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autoCompressPictures="0" defaultThemeVersion="166925"/>
  <mc:AlternateContent xmlns:mc="http://schemas.openxmlformats.org/markup-compatibility/2006">
    <mc:Choice Requires="x15">
      <x15ac:absPath xmlns:x15ac="http://schemas.microsoft.com/office/spreadsheetml/2010/11/ac" url="https://d.docs.live.net/6f3345b1e2d9972e/Job-Application/portfolio/SFL/R/"/>
    </mc:Choice>
  </mc:AlternateContent>
  <xr:revisionPtr revIDLastSave="43" documentId="8_{47ADDCA7-CEBC-4CA6-A568-1EF1F2711583}" xr6:coauthVersionLast="47" xr6:coauthVersionMax="47" xr10:uidLastSave="{B15181CF-1D58-4327-B93B-F844C78CC47A}"/>
  <bookViews>
    <workbookView xWindow="-120" yWindow="-120" windowWidth="29040" windowHeight="15840" tabRatio="655" activeTab="2" xr2:uid="{00000000-000D-0000-FFFF-FFFF00000000}"/>
  </bookViews>
  <sheets>
    <sheet name="Population" sheetId="73" r:id="rId1"/>
    <sheet name="Location" sheetId="114" r:id="rId2"/>
    <sheet name="Tracker" sheetId="115" r:id="rId3"/>
    <sheet name="donor_list" sheetId="116" r:id="rId4"/>
    <sheet name="Master" sheetId="6" r:id="rId5"/>
    <sheet name="Board Approved Budget" sheetId="113" r:id="rId6"/>
    <sheet name="Data inputs " sheetId="2" r:id="rId7"/>
  </sheets>
  <externalReferences>
    <externalReference r:id="rId8"/>
    <externalReference r:id="rId9"/>
  </externalReferences>
  <definedNames>
    <definedName name="_xlnm._FilterDatabase" localSheetId="4" hidden="1">Master!$B$1:$AA$471</definedName>
    <definedName name="ExternalData_1" localSheetId="2" hidden="1">Tracker!$A$1:$V$404</definedName>
    <definedName name="_xlnm.Print_Area" localSheetId="4">Master!$B$1:$T$33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62" i="6" l="1"/>
  <c r="N461" i="6"/>
  <c r="N459" i="6"/>
  <c r="N458" i="6"/>
  <c r="N456" i="6"/>
  <c r="N451" i="6"/>
  <c r="N450" i="6"/>
  <c r="N449" i="6"/>
  <c r="N413" i="6"/>
  <c r="N354" i="6"/>
  <c r="N300" i="6"/>
  <c r="N167" i="6"/>
  <c r="K2" i="6"/>
  <c r="K4" i="6"/>
  <c r="K5" i="6"/>
  <c r="K6" i="6"/>
  <c r="K8" i="6"/>
  <c r="K9" i="6"/>
  <c r="K10" i="6"/>
  <c r="K11" i="6"/>
  <c r="K12" i="6"/>
  <c r="K15" i="6"/>
  <c r="K20" i="6"/>
  <c r="K21" i="6"/>
  <c r="K25" i="6"/>
  <c r="K30" i="6"/>
  <c r="K31" i="6"/>
  <c r="K32" i="6"/>
  <c r="K36" i="6"/>
  <c r="K38" i="6"/>
  <c r="K39" i="6"/>
  <c r="K40" i="6"/>
  <c r="K41" i="6"/>
  <c r="K42" i="6"/>
  <c r="K44" i="6"/>
  <c r="K45" i="6"/>
  <c r="K53" i="6"/>
  <c r="K54" i="6"/>
  <c r="K55" i="6"/>
  <c r="K56" i="6"/>
  <c r="K57" i="6"/>
  <c r="K59" i="6"/>
  <c r="K60" i="6"/>
  <c r="K61" i="6"/>
  <c r="K62" i="6"/>
  <c r="K65" i="6"/>
  <c r="K69" i="6"/>
  <c r="K70" i="6"/>
  <c r="K72" i="6"/>
  <c r="K73" i="6"/>
  <c r="K76" i="6"/>
  <c r="K78" i="6"/>
  <c r="K79" i="6"/>
  <c r="K80" i="6"/>
  <c r="K81" i="6"/>
  <c r="K82" i="6"/>
  <c r="K83" i="6"/>
  <c r="K84" i="6"/>
  <c r="K85" i="6"/>
  <c r="K86" i="6"/>
  <c r="K88" i="6"/>
  <c r="K89" i="6"/>
  <c r="K91" i="6"/>
  <c r="K92" i="6"/>
  <c r="K93" i="6"/>
  <c r="K94" i="6"/>
  <c r="K97" i="6"/>
  <c r="K110" i="6"/>
  <c r="K111" i="6"/>
  <c r="K113" i="6"/>
  <c r="K114" i="6"/>
  <c r="K115" i="6"/>
  <c r="K116" i="6"/>
  <c r="K117" i="6"/>
  <c r="K118" i="6"/>
  <c r="K119" i="6"/>
  <c r="K121" i="6"/>
  <c r="K122" i="6"/>
  <c r="K123" i="6"/>
  <c r="K124" i="6"/>
  <c r="K126" i="6"/>
  <c r="K127" i="6"/>
  <c r="K128" i="6"/>
  <c r="K129" i="6"/>
  <c r="K130" i="6"/>
  <c r="K136" i="6"/>
  <c r="K137" i="6"/>
  <c r="K138" i="6"/>
  <c r="K139" i="6"/>
  <c r="K140" i="6"/>
  <c r="K141" i="6"/>
  <c r="K143" i="6"/>
  <c r="K146" i="6"/>
  <c r="K147" i="6"/>
  <c r="K148" i="6"/>
  <c r="K151" i="6"/>
  <c r="K152" i="6"/>
  <c r="K153" i="6"/>
  <c r="K154" i="6"/>
  <c r="K164" i="6"/>
  <c r="K165" i="6"/>
  <c r="K166" i="6"/>
  <c r="K216" i="6"/>
  <c r="K217" i="6"/>
  <c r="K223" i="6"/>
  <c r="K224" i="6"/>
  <c r="K225" i="6"/>
  <c r="K235" i="6"/>
  <c r="K236" i="6"/>
  <c r="K238" i="6"/>
  <c r="K239" i="6"/>
  <c r="K268" i="6"/>
  <c r="K269" i="6"/>
  <c r="K271" i="6"/>
  <c r="K301" i="6"/>
  <c r="K302" i="6"/>
  <c r="K303" i="6"/>
  <c r="K304" i="6"/>
  <c r="K305" i="6"/>
  <c r="K306" i="6"/>
  <c r="K312" i="6"/>
  <c r="K315" i="6"/>
  <c r="K316" i="6"/>
  <c r="K317" i="6"/>
  <c r="K318" i="6"/>
  <c r="K321" i="6"/>
  <c r="K322" i="6"/>
  <c r="K330" i="6"/>
  <c r="K333" i="6"/>
  <c r="K340" i="6"/>
  <c r="K341" i="6"/>
  <c r="K342" i="6"/>
  <c r="K355" i="6"/>
  <c r="K356" i="6"/>
  <c r="K357" i="6"/>
  <c r="K358" i="6"/>
  <c r="K359" i="6"/>
  <c r="K360" i="6"/>
  <c r="K361" i="6"/>
  <c r="K363" i="6"/>
  <c r="K364" i="6"/>
  <c r="K366" i="6"/>
  <c r="K367" i="6"/>
  <c r="K368" i="6"/>
  <c r="K372" i="6"/>
  <c r="K376" i="6"/>
  <c r="K379" i="6"/>
  <c r="K390" i="6"/>
  <c r="K391" i="6"/>
  <c r="K393" i="6"/>
  <c r="K395" i="6"/>
  <c r="K399" i="6"/>
  <c r="K400" i="6"/>
  <c r="K401" i="6"/>
  <c r="K402" i="6"/>
  <c r="K403" i="6"/>
  <c r="K404" i="6"/>
  <c r="K405" i="6"/>
  <c r="K406" i="6"/>
  <c r="K408" i="6"/>
  <c r="K409" i="6"/>
  <c r="K410" i="6"/>
  <c r="K411" i="6"/>
  <c r="K412" i="6"/>
  <c r="K413" i="6"/>
  <c r="K424" i="6"/>
  <c r="K425" i="6"/>
  <c r="K426" i="6"/>
  <c r="K427" i="6"/>
  <c r="K430" i="6"/>
  <c r="K432" i="6"/>
  <c r="K433" i="6"/>
  <c r="K434" i="6"/>
  <c r="K435" i="6"/>
  <c r="K436" i="6"/>
  <c r="K442" i="6"/>
  <c r="K444" i="6"/>
  <c r="K445" i="6"/>
  <c r="K446" i="6"/>
  <c r="K447" i="6"/>
  <c r="K448" i="6"/>
  <c r="K450" i="6"/>
  <c r="K451" i="6"/>
  <c r="K453" i="6"/>
  <c r="K454" i="6"/>
  <c r="K455" i="6"/>
  <c r="K456" i="6"/>
  <c r="K457" i="6"/>
  <c r="K460" i="6"/>
  <c r="K461" i="6"/>
  <c r="K462" i="6"/>
  <c r="K463" i="6"/>
  <c r="K464" i="6"/>
  <c r="K466" i="6"/>
  <c r="K467" i="6"/>
  <c r="K468" i="6"/>
  <c r="K469" i="6"/>
  <c r="K470" i="6"/>
  <c r="K471" i="6"/>
  <c r="I2" i="6"/>
  <c r="I9" i="6"/>
  <c r="I10" i="6"/>
  <c r="I11" i="6"/>
  <c r="I12" i="6"/>
  <c r="I13" i="6"/>
  <c r="I15" i="6"/>
  <c r="I17" i="6"/>
  <c r="I18" i="6"/>
  <c r="I19" i="6"/>
  <c r="I20" i="6"/>
  <c r="I21" i="6"/>
  <c r="I24" i="6"/>
  <c r="I25" i="6"/>
  <c r="I26" i="6"/>
  <c r="I27" i="6"/>
  <c r="I28" i="6"/>
  <c r="I29" i="6"/>
  <c r="I30" i="6"/>
  <c r="I31" i="6"/>
  <c r="I32" i="6"/>
  <c r="I33" i="6"/>
  <c r="I34" i="6"/>
  <c r="I35" i="6"/>
  <c r="I36" i="6"/>
  <c r="I38" i="6"/>
  <c r="I39" i="6"/>
  <c r="I40" i="6"/>
  <c r="I41" i="6"/>
  <c r="I42" i="6"/>
  <c r="I43" i="6"/>
  <c r="I44" i="6"/>
  <c r="I45" i="6"/>
  <c r="I46" i="6"/>
  <c r="I47" i="6"/>
  <c r="I48" i="6"/>
  <c r="I49" i="6"/>
  <c r="I50" i="6"/>
  <c r="I53" i="6"/>
  <c r="I54" i="6"/>
  <c r="I55" i="6"/>
  <c r="I56" i="6"/>
  <c r="I57" i="6"/>
  <c r="I59" i="6"/>
  <c r="I60" i="6"/>
  <c r="I61" i="6"/>
  <c r="I62" i="6"/>
  <c r="I65" i="6"/>
  <c r="I69" i="6"/>
  <c r="I70" i="6"/>
  <c r="I72" i="6"/>
  <c r="I73" i="6"/>
  <c r="I76" i="6"/>
  <c r="I78" i="6"/>
  <c r="I79" i="6"/>
  <c r="I80" i="6"/>
  <c r="I82" i="6"/>
  <c r="I83" i="6"/>
  <c r="I84" i="6"/>
  <c r="I86" i="6"/>
  <c r="I87" i="6"/>
  <c r="I89" i="6"/>
  <c r="I97" i="6"/>
  <c r="I113" i="6"/>
  <c r="I114" i="6"/>
  <c r="I115" i="6"/>
  <c r="I116" i="6"/>
  <c r="I117" i="6"/>
  <c r="I118" i="6"/>
  <c r="I119" i="6"/>
  <c r="I121" i="6"/>
  <c r="I122" i="6"/>
  <c r="I123" i="6"/>
  <c r="I124" i="6"/>
  <c r="I126" i="6"/>
  <c r="I127" i="6"/>
  <c r="I128" i="6"/>
  <c r="I129" i="6"/>
  <c r="I130" i="6"/>
  <c r="I136" i="6"/>
  <c r="I137" i="6"/>
  <c r="I138" i="6"/>
  <c r="I139" i="6"/>
  <c r="I140" i="6"/>
  <c r="I141" i="6"/>
  <c r="I143" i="6"/>
  <c r="I144" i="6"/>
  <c r="I146" i="6"/>
  <c r="I151" i="6"/>
  <c r="I152" i="6"/>
  <c r="I153" i="6"/>
  <c r="I154" i="6"/>
  <c r="I155" i="6"/>
  <c r="I158" i="6"/>
  <c r="I159" i="6"/>
  <c r="I160" i="6"/>
  <c r="I161" i="6"/>
  <c r="I162" i="6"/>
  <c r="I164" i="6"/>
  <c r="I165" i="6"/>
  <c r="I166" i="6"/>
  <c r="I179" i="6"/>
  <c r="I180" i="6"/>
  <c r="I181" i="6"/>
  <c r="I182" i="6"/>
  <c r="I183" i="6"/>
  <c r="I184" i="6"/>
  <c r="I190" i="6"/>
  <c r="I191" i="6"/>
  <c r="I192" i="6"/>
  <c r="I201" i="6"/>
  <c r="I202" i="6"/>
  <c r="I203" i="6"/>
  <c r="I204" i="6"/>
  <c r="I205" i="6"/>
  <c r="I206" i="6"/>
  <c r="I212" i="6"/>
  <c r="I213" i="6"/>
  <c r="I214" i="6"/>
  <c r="I223" i="6"/>
  <c r="I224" i="6"/>
  <c r="I225" i="6"/>
  <c r="I226" i="6"/>
  <c r="I227" i="6"/>
  <c r="I228" i="6"/>
  <c r="I234" i="6"/>
  <c r="I235" i="6"/>
  <c r="I236" i="6"/>
  <c r="I237" i="6"/>
  <c r="I238" i="6"/>
  <c r="I239" i="6"/>
  <c r="I245" i="6"/>
  <c r="I246" i="6"/>
  <c r="I247" i="6"/>
  <c r="I248" i="6"/>
  <c r="I249" i="6"/>
  <c r="I250" i="6"/>
  <c r="I256" i="6"/>
  <c r="I257" i="6"/>
  <c r="I258" i="6"/>
  <c r="I259" i="6"/>
  <c r="I260" i="6"/>
  <c r="I261" i="6"/>
  <c r="I267" i="6"/>
  <c r="I268" i="6"/>
  <c r="I269" i="6"/>
  <c r="I270" i="6"/>
  <c r="I271" i="6"/>
  <c r="I272" i="6"/>
  <c r="I278" i="6"/>
  <c r="I279" i="6"/>
  <c r="I280" i="6"/>
  <c r="I281" i="6"/>
  <c r="I282" i="6"/>
  <c r="I283" i="6"/>
  <c r="I289" i="6"/>
  <c r="I290" i="6"/>
  <c r="I291" i="6"/>
  <c r="I292" i="6"/>
  <c r="I293" i="6"/>
  <c r="I294" i="6"/>
  <c r="I301" i="6"/>
  <c r="I302" i="6"/>
  <c r="I303" i="6"/>
  <c r="I304" i="6"/>
  <c r="I305" i="6"/>
  <c r="I306" i="6"/>
  <c r="I312" i="6"/>
  <c r="I315" i="6"/>
  <c r="I316" i="6"/>
  <c r="I317" i="6"/>
  <c r="I318" i="6"/>
  <c r="I319" i="6"/>
  <c r="I321" i="6"/>
  <c r="I322" i="6"/>
  <c r="I324" i="6"/>
  <c r="I325" i="6"/>
  <c r="I326" i="6"/>
  <c r="I327" i="6"/>
  <c r="I329" i="6"/>
  <c r="I330" i="6"/>
  <c r="I331" i="6"/>
  <c r="I332" i="6"/>
  <c r="I333" i="6"/>
  <c r="I340" i="6"/>
  <c r="I341" i="6"/>
  <c r="I342" i="6"/>
  <c r="I355" i="6"/>
  <c r="I356" i="6"/>
  <c r="I357" i="6"/>
  <c r="I358" i="6"/>
  <c r="I359" i="6"/>
  <c r="I360" i="6"/>
  <c r="I361" i="6"/>
  <c r="I363" i="6"/>
  <c r="I364" i="6"/>
  <c r="I366" i="6"/>
  <c r="I367" i="6"/>
  <c r="I368" i="6"/>
  <c r="I372" i="6"/>
  <c r="I374" i="6"/>
  <c r="I375" i="6"/>
  <c r="I376" i="6"/>
  <c r="I378" i="6"/>
  <c r="I380" i="6"/>
  <c r="I381" i="6"/>
  <c r="I382" i="6"/>
  <c r="I383" i="6"/>
  <c r="I390" i="6"/>
  <c r="I391" i="6"/>
  <c r="I393" i="6"/>
  <c r="I394" i="6"/>
  <c r="I395" i="6"/>
  <c r="I396" i="6"/>
  <c r="I397" i="6"/>
  <c r="I398" i="6"/>
  <c r="I399" i="6"/>
  <c r="I406" i="6"/>
  <c r="I407" i="6"/>
  <c r="I408" i="6"/>
  <c r="I409" i="6"/>
  <c r="I411" i="6"/>
  <c r="I412" i="6"/>
  <c r="I413" i="6"/>
  <c r="I415" i="6"/>
  <c r="I416" i="6"/>
  <c r="I417" i="6"/>
  <c r="I419" i="6"/>
  <c r="I420" i="6"/>
  <c r="I424" i="6"/>
  <c r="I425" i="6"/>
  <c r="I427" i="6"/>
  <c r="I430" i="6"/>
  <c r="I432" i="6"/>
  <c r="I433" i="6"/>
  <c r="I434" i="6"/>
  <c r="I435" i="6"/>
  <c r="I436" i="6"/>
  <c r="I437" i="6"/>
  <c r="I438" i="6"/>
  <c r="I440" i="6"/>
  <c r="I441" i="6"/>
  <c r="I442" i="6"/>
  <c r="I443" i="6"/>
  <c r="I444" i="6"/>
  <c r="I445" i="6"/>
  <c r="I446" i="6"/>
  <c r="I447" i="6"/>
  <c r="I448" i="6"/>
  <c r="I449" i="6"/>
  <c r="I450" i="6"/>
  <c r="I451" i="6"/>
  <c r="I452" i="6"/>
  <c r="I453" i="6"/>
  <c r="I454" i="6"/>
  <c r="I455" i="6"/>
  <c r="I456" i="6"/>
  <c r="I457" i="6"/>
  <c r="I460" i="6"/>
  <c r="I461" i="6"/>
  <c r="I463" i="6"/>
  <c r="I464" i="6"/>
  <c r="I465" i="6"/>
  <c r="I466" i="6"/>
  <c r="I467" i="6"/>
  <c r="I468" i="6"/>
  <c r="I469" i="6"/>
  <c r="I470" i="6"/>
  <c r="I471" i="6"/>
  <c r="AE2" i="6" a="1"/>
  <c r="AE2" i="6" s="1"/>
  <c r="B17" i="113"/>
  <c r="H426" i="6"/>
  <c r="I426" i="6" s="1"/>
  <c r="J455" i="6"/>
  <c r="J319" i="6" l="1"/>
  <c r="K319" i="6" s="1"/>
  <c r="J441" i="6"/>
  <c r="K441" i="6" s="1"/>
  <c r="J431" i="6"/>
  <c r="K431" i="6" s="1"/>
  <c r="J329" i="6"/>
  <c r="K329" i="6" s="1"/>
  <c r="J375" i="6"/>
  <c r="K375" i="6" s="1"/>
  <c r="H410" i="6" l="1"/>
  <c r="I410" i="6" s="1"/>
  <c r="H405" i="6"/>
  <c r="I405" i="6" s="1"/>
  <c r="H404" i="6"/>
  <c r="I404" i="6" s="1"/>
  <c r="H402" i="6"/>
  <c r="I402" i="6" s="1"/>
  <c r="H400" i="6"/>
  <c r="I400" i="6" s="1"/>
  <c r="Z376" i="6"/>
  <c r="J407" i="6"/>
  <c r="K407" i="6" s="1"/>
  <c r="Z409" i="6" l="1"/>
  <c r="J465" i="6" l="1"/>
  <c r="K465" i="6" s="1"/>
  <c r="J332" i="6"/>
  <c r="K332" i="6" s="1"/>
  <c r="J422" i="6" l="1"/>
  <c r="K422" i="6" s="1"/>
  <c r="J421" i="6"/>
  <c r="K421" i="6" s="1"/>
  <c r="Z403" i="6"/>
  <c r="H431" i="6"/>
  <c r="I431" i="6" s="1"/>
  <c r="H403" i="6" l="1"/>
  <c r="I403" i="6" s="1"/>
  <c r="J162" i="6" l="1"/>
  <c r="K162" i="6" s="1"/>
  <c r="J324" i="6"/>
  <c r="K324" i="6" s="1"/>
  <c r="J396" i="6"/>
  <c r="K396" i="6" s="1"/>
  <c r="J383" i="6" l="1"/>
  <c r="K383" i="6" s="1"/>
  <c r="J397" i="6"/>
  <c r="K397" i="6" s="1"/>
  <c r="J440" i="6"/>
  <c r="K440" i="6" s="1"/>
  <c r="H379" i="6"/>
  <c r="I379" i="6" s="1"/>
  <c r="J267" i="6" l="1"/>
  <c r="K267" i="6" s="1"/>
  <c r="J365" i="6"/>
  <c r="K365" i="6" s="1"/>
  <c r="J354" i="6"/>
  <c r="K354" i="6" s="1"/>
  <c r="H354" i="6"/>
  <c r="I354" i="6" s="1"/>
  <c r="J418" i="6" l="1"/>
  <c r="K418" i="6" s="1"/>
  <c r="H418" i="6"/>
  <c r="I418" i="6" s="1"/>
  <c r="J370" i="6" l="1"/>
  <c r="K370" i="6" s="1"/>
  <c r="J369" i="6"/>
  <c r="K369" i="6" s="1"/>
  <c r="J382" i="6"/>
  <c r="K382" i="6" s="1"/>
  <c r="J377" i="6" l="1"/>
  <c r="K377" i="6" s="1"/>
  <c r="Z300" i="6"/>
  <c r="J392" i="6"/>
  <c r="K392" i="6" s="1"/>
  <c r="J353" i="6"/>
  <c r="K353" i="6" s="1"/>
  <c r="J320" i="6"/>
  <c r="K320" i="6" s="1"/>
  <c r="H392" i="6"/>
  <c r="I392" i="6" s="1"/>
  <c r="H353" i="6"/>
  <c r="I353" i="6" s="1"/>
  <c r="H320" i="6"/>
  <c r="I320" i="6" s="1"/>
  <c r="J362" i="6" l="1"/>
  <c r="K362" i="6" s="1"/>
  <c r="H362" i="6"/>
  <c r="I362" i="6" s="1"/>
  <c r="J336" i="6" l="1"/>
  <c r="K336" i="6" s="1"/>
  <c r="J313" i="6"/>
  <c r="K313" i="6" s="1"/>
  <c r="J347" i="6" l="1"/>
  <c r="K347" i="6" s="1"/>
  <c r="J345" i="6" l="1"/>
  <c r="K345" i="6" s="1"/>
  <c r="H63" i="6"/>
  <c r="I63" i="6" s="1"/>
  <c r="H51" i="6"/>
  <c r="I51" i="6" s="1"/>
  <c r="H106" i="6"/>
  <c r="I106" i="6" s="1"/>
  <c r="H66" i="6"/>
  <c r="I66" i="6" s="1"/>
  <c r="J163" i="6"/>
  <c r="K163" i="6" s="1"/>
  <c r="J150" i="6"/>
  <c r="K150" i="6" s="1"/>
  <c r="H150" i="6"/>
  <c r="I150" i="6" s="1"/>
  <c r="J125" i="6"/>
  <c r="K125" i="6" s="1"/>
  <c r="H125" i="6"/>
  <c r="I125" i="6" s="1"/>
  <c r="J7" i="6" l="1"/>
  <c r="K7" i="6" s="1"/>
  <c r="H7" i="6"/>
  <c r="I7" i="6" s="1"/>
  <c r="J74" i="6"/>
  <c r="K74" i="6" s="1"/>
  <c r="H74" i="6"/>
  <c r="I74" i="6" s="1"/>
  <c r="H68" i="6"/>
  <c r="I68" i="6" s="1"/>
  <c r="J68" i="6"/>
  <c r="K68" i="6" s="1"/>
  <c r="J132" i="6"/>
  <c r="K132" i="6" s="1"/>
  <c r="H132" i="6"/>
  <c r="I132" i="6" s="1"/>
  <c r="H167" i="6"/>
  <c r="I167" i="6" s="1"/>
  <c r="H3" i="6"/>
  <c r="I3" i="6" s="1"/>
  <c r="J167" i="6"/>
  <c r="K167" i="6" s="1"/>
  <c r="J3" i="6"/>
  <c r="K3" i="6" s="1"/>
  <c r="H107" i="6"/>
  <c r="I107" i="6" s="1"/>
  <c r="J77" i="6"/>
  <c r="K77" i="6" s="1"/>
  <c r="J52" i="6"/>
  <c r="K52" i="6" s="1"/>
  <c r="H77" i="6"/>
  <c r="I77" i="6" s="1"/>
  <c r="H52" i="6"/>
  <c r="I52" i="6" s="1"/>
  <c r="J104" i="6"/>
  <c r="K104" i="6" s="1"/>
  <c r="H104" i="6"/>
  <c r="I104" i="6" s="1"/>
  <c r="J23" i="6"/>
  <c r="K23" i="6" s="1"/>
  <c r="J98" i="6"/>
  <c r="K98" i="6" s="1"/>
  <c r="H98" i="6"/>
  <c r="I98" i="6" s="1"/>
  <c r="J103" i="6"/>
  <c r="K103" i="6" s="1"/>
  <c r="H103" i="6"/>
  <c r="I103" i="6" s="1"/>
  <c r="J145" i="6"/>
  <c r="K145" i="6" s="1"/>
  <c r="J149" i="6"/>
  <c r="K149" i="6" s="1"/>
  <c r="H149" i="6"/>
  <c r="I149" i="6" s="1"/>
  <c r="J157" i="6"/>
  <c r="K157" i="6" s="1"/>
  <c r="H37" i="6" l="1"/>
  <c r="I37" i="6" s="1"/>
  <c r="H14" i="6"/>
  <c r="I14" i="6" s="1"/>
  <c r="H148" i="6"/>
  <c r="I148" i="6" s="1"/>
  <c r="H157" i="6"/>
  <c r="I157" i="6" s="1"/>
  <c r="H110" i="6"/>
  <c r="I110" i="6" s="1"/>
  <c r="H94" i="6"/>
  <c r="I94" i="6" s="1"/>
  <c r="H93" i="6"/>
  <c r="I93" i="6" s="1"/>
  <c r="H92" i="6"/>
  <c r="I92" i="6" s="1"/>
  <c r="H91" i="6"/>
  <c r="I91" i="6" s="1"/>
  <c r="H90" i="6"/>
  <c r="I90" i="6" s="1"/>
  <c r="J120" i="6" l="1"/>
  <c r="K120" i="6" s="1"/>
  <c r="J109" i="6"/>
  <c r="K109" i="6" s="1"/>
  <c r="J108" i="6"/>
  <c r="K108" i="6" s="1"/>
  <c r="J96" i="6"/>
  <c r="K96" i="6" s="1"/>
  <c r="J95" i="6"/>
  <c r="K95" i="6" s="1"/>
  <c r="J67" i="6"/>
  <c r="K67" i="6" s="1"/>
  <c r="H67" i="6"/>
  <c r="I67" i="6" s="1"/>
  <c r="J58" i="6"/>
  <c r="K58" i="6" s="1"/>
  <c r="H120" i="6"/>
  <c r="I120" i="6" s="1"/>
  <c r="H96" i="6"/>
  <c r="I96" i="6" s="1"/>
  <c r="H95" i="6"/>
  <c r="I95" i="6" s="1"/>
  <c r="H109" i="6"/>
  <c r="I109" i="6" s="1"/>
  <c r="H108" i="6"/>
  <c r="I108" i="6" s="1"/>
  <c r="H58" i="6"/>
  <c r="I58" i="6" s="1"/>
  <c r="J102" i="6" l="1"/>
  <c r="K102" i="6" s="1"/>
  <c r="J101" i="6"/>
  <c r="K101" i="6" s="1"/>
  <c r="J100" i="6"/>
  <c r="K100" i="6" s="1"/>
  <c r="J99" i="6"/>
  <c r="K99" i="6" s="1"/>
  <c r="H101" i="6"/>
  <c r="I101" i="6" s="1"/>
  <c r="H102" i="6"/>
  <c r="I102" i="6" s="1"/>
  <c r="H100" i="6"/>
  <c r="I100" i="6" s="1"/>
  <c r="H99" i="6"/>
  <c r="I99" i="6" s="1"/>
  <c r="J458" i="6"/>
  <c r="K458" i="6" s="1"/>
  <c r="J459" i="6"/>
  <c r="K459" i="6" s="1"/>
  <c r="H459" i="6"/>
  <c r="I459" i="6" s="1"/>
  <c r="H458" i="6"/>
  <c r="I458" i="6" s="1"/>
  <c r="J389" i="6"/>
  <c r="K389" i="6" s="1"/>
  <c r="H389" i="6"/>
  <c r="I389" i="6" s="1"/>
  <c r="J344" i="6" l="1"/>
  <c r="K344" i="6" s="1"/>
  <c r="H344" i="6"/>
  <c r="I344" i="6" s="1"/>
  <c r="H347" i="6"/>
  <c r="I347" i="6" s="1"/>
  <c r="J352" i="6"/>
  <c r="K352" i="6" s="1"/>
  <c r="H352" i="6"/>
  <c r="I352" i="6" s="1"/>
  <c r="H369" i="6"/>
  <c r="I369" i="6" s="1"/>
  <c r="J428" i="6"/>
  <c r="K428" i="6" s="1"/>
  <c r="J420" i="6"/>
  <c r="K420" i="6" s="1"/>
  <c r="J386" i="6"/>
  <c r="K386" i="6" s="1"/>
  <c r="J343" i="6"/>
  <c r="K343" i="6" s="1"/>
  <c r="J338" i="6"/>
  <c r="K338" i="6" s="1"/>
  <c r="J331" i="6"/>
  <c r="K331" i="6" s="1"/>
  <c r="H328" i="6"/>
  <c r="I328" i="6" s="1"/>
  <c r="J328" i="6"/>
  <c r="K328" i="6" s="1"/>
  <c r="J294" i="6"/>
  <c r="K294" i="6" s="1"/>
  <c r="J293" i="6"/>
  <c r="K293" i="6" s="1"/>
  <c r="J292" i="6"/>
  <c r="K292" i="6" s="1"/>
  <c r="J291" i="6"/>
  <c r="K291" i="6" s="1"/>
  <c r="J290" i="6"/>
  <c r="K290" i="6" s="1"/>
  <c r="J289" i="6"/>
  <c r="K289" i="6" s="1"/>
  <c r="J283" i="6"/>
  <c r="K283" i="6" s="1"/>
  <c r="J282" i="6"/>
  <c r="K282" i="6" s="1"/>
  <c r="J281" i="6"/>
  <c r="K281" i="6" s="1"/>
  <c r="J258" i="6"/>
  <c r="K258" i="6" s="1"/>
  <c r="J257" i="6"/>
  <c r="K257" i="6" s="1"/>
  <c r="J256" i="6"/>
  <c r="K256" i="6" s="1"/>
  <c r="J214" i="6"/>
  <c r="K214" i="6" s="1"/>
  <c r="J213" i="6"/>
  <c r="K213" i="6" s="1"/>
  <c r="J212" i="6"/>
  <c r="K212" i="6" s="1"/>
  <c r="J173" i="6"/>
  <c r="K173" i="6" s="1"/>
  <c r="J172" i="6"/>
  <c r="K172" i="6" s="1"/>
  <c r="J171" i="6"/>
  <c r="K171" i="6" s="1"/>
  <c r="J161" i="6"/>
  <c r="K161" i="6" s="1"/>
  <c r="J64" i="6"/>
  <c r="K64" i="6" s="1"/>
  <c r="H64" i="6"/>
  <c r="I64" i="6" s="1"/>
  <c r="J50" i="6"/>
  <c r="K50" i="6" s="1"/>
  <c r="J443" i="6"/>
  <c r="K443" i="6" s="1"/>
  <c r="J423" i="6"/>
  <c r="K423" i="6" s="1"/>
  <c r="J87" i="6"/>
  <c r="K87" i="6" s="1"/>
  <c r="J371" i="6"/>
  <c r="K371" i="6" s="1"/>
  <c r="J378" i="6"/>
  <c r="K378" i="6" s="1"/>
  <c r="J385" i="6"/>
  <c r="K385" i="6" s="1"/>
  <c r="J14" i="6"/>
  <c r="K14" i="6" s="1"/>
  <c r="Z469" i="6"/>
  <c r="Z401" i="6"/>
  <c r="H401" i="6" l="1"/>
  <c r="I401" i="6" s="1"/>
  <c r="Z405" i="6" l="1"/>
  <c r="Z404" i="6"/>
  <c r="Z410" i="6"/>
  <c r="AC409" i="6"/>
  <c r="AB409" i="6"/>
  <c r="Z340" i="6"/>
  <c r="J373" i="6"/>
  <c r="K373" i="6" s="1"/>
  <c r="J437" i="6"/>
  <c r="K437" i="6" s="1"/>
  <c r="J452" i="6"/>
  <c r="K452" i="6" s="1"/>
  <c r="J159" i="6"/>
  <c r="K159" i="6" s="1"/>
  <c r="J380" i="6"/>
  <c r="K380" i="6" s="1"/>
  <c r="H422" i="6"/>
  <c r="I422" i="6" s="1"/>
  <c r="H421" i="6"/>
  <c r="I421" i="6" s="1"/>
  <c r="H370" i="6"/>
  <c r="I370" i="6" s="1"/>
  <c r="H371" i="6"/>
  <c r="I371" i="6" s="1"/>
  <c r="Z369" i="6"/>
  <c r="J394" i="6"/>
  <c r="K394" i="6" s="1"/>
  <c r="J13" i="6"/>
  <c r="K13" i="6" s="1"/>
  <c r="J438" i="6" l="1"/>
  <c r="K438" i="6" s="1"/>
  <c r="Z457" i="6"/>
  <c r="J339" i="6"/>
  <c r="K339" i="6" s="1"/>
  <c r="J158" i="6" l="1"/>
  <c r="K158" i="6" s="1"/>
  <c r="AC407" i="6"/>
  <c r="AB407" i="6"/>
  <c r="AC396" i="6"/>
  <c r="AB396" i="6"/>
  <c r="H339" i="6" l="1"/>
  <c r="I339" i="6" s="1"/>
  <c r="J234" i="6"/>
  <c r="K234" i="6" s="1"/>
  <c r="J168" i="6"/>
  <c r="K168" i="6" s="1"/>
  <c r="J169" i="6"/>
  <c r="K169" i="6" s="1"/>
  <c r="J170" i="6"/>
  <c r="K170" i="6" s="1"/>
  <c r="J325" i="6"/>
  <c r="K325" i="6" s="1"/>
  <c r="J374" i="6"/>
  <c r="K374" i="6" s="1"/>
  <c r="J49" i="6"/>
  <c r="K49" i="6" s="1"/>
  <c r="J16" i="6"/>
  <c r="K16" i="6" s="1"/>
  <c r="J327" i="6"/>
  <c r="K327" i="6" s="1"/>
  <c r="Z332" i="6" l="1"/>
  <c r="H365" i="6"/>
  <c r="I365" i="6" s="1"/>
  <c r="J272" i="6"/>
  <c r="K272" i="6" s="1"/>
  <c r="J270" i="6"/>
  <c r="K270" i="6" s="1"/>
  <c r="J398" i="6"/>
  <c r="K398" i="6" s="1"/>
  <c r="J417" i="6"/>
  <c r="K417" i="6" s="1"/>
  <c r="J388" i="6"/>
  <c r="K388" i="6" s="1"/>
  <c r="J419" i="6"/>
  <c r="K419" i="6" s="1"/>
  <c r="H135" i="6"/>
  <c r="I135" i="6" s="1"/>
  <c r="H414" i="6" l="1"/>
  <c r="I414" i="6" s="1"/>
  <c r="H439" i="6" l="1"/>
  <c r="I439" i="6" s="1"/>
  <c r="J439" i="6"/>
  <c r="K439" i="6" s="1"/>
  <c r="J351" i="6"/>
  <c r="K351" i="6" s="1"/>
  <c r="H351" i="6"/>
  <c r="I351" i="6" s="1"/>
  <c r="Z465" i="6"/>
  <c r="J314" i="6"/>
  <c r="K314" i="6" s="1"/>
  <c r="J335" i="6"/>
  <c r="K335" i="6" s="1"/>
  <c r="J47" i="6"/>
  <c r="K47" i="6" s="1"/>
  <c r="J48" i="6"/>
  <c r="K48" i="6" s="1"/>
  <c r="J46" i="6"/>
  <c r="K46" i="6" s="1"/>
  <c r="J237" i="6"/>
  <c r="K237" i="6" s="1"/>
  <c r="H423" i="6"/>
  <c r="I423" i="6" s="1"/>
  <c r="H314" i="6"/>
  <c r="I314" i="6" s="1"/>
  <c r="H335" i="6"/>
  <c r="I335" i="6" s="1"/>
  <c r="J206" i="6"/>
  <c r="K206" i="6" s="1"/>
  <c r="J205" i="6"/>
  <c r="K205" i="6" s="1"/>
  <c r="J204" i="6"/>
  <c r="K204" i="6" s="1"/>
  <c r="J350" i="6"/>
  <c r="K350" i="6" s="1"/>
  <c r="J326" i="6"/>
  <c r="K326" i="6" s="1"/>
  <c r="J215" i="6"/>
  <c r="K215" i="6" s="1"/>
  <c r="J181" i="6"/>
  <c r="K181" i="6" s="1"/>
  <c r="J180" i="6"/>
  <c r="K180" i="6" s="1"/>
  <c r="J179" i="6"/>
  <c r="K179" i="6" s="1"/>
  <c r="Z321" i="6"/>
  <c r="Z425" i="6"/>
  <c r="Z434" i="6"/>
  <c r="H350" i="6"/>
  <c r="I350" i="6" s="1"/>
  <c r="J416" i="6"/>
  <c r="K416" i="6" s="1"/>
  <c r="J415" i="6"/>
  <c r="K415" i="6" s="1"/>
  <c r="Z452" i="6"/>
  <c r="Z423" i="6"/>
  <c r="Z422" i="6"/>
  <c r="Z421" i="6"/>
  <c r="Z370" i="6"/>
  <c r="Z228" i="6"/>
  <c r="Z227" i="6"/>
  <c r="Z226" i="6"/>
  <c r="Z314" i="6"/>
  <c r="H313" i="6"/>
  <c r="I313" i="6" s="1"/>
  <c r="H336" i="6"/>
  <c r="I336" i="6" s="1"/>
  <c r="Z47" i="6"/>
  <c r="Z48" i="6"/>
  <c r="Z46" i="6"/>
  <c r="J135" i="6"/>
  <c r="K135" i="6" s="1"/>
  <c r="J28" i="6"/>
  <c r="K28" i="6" s="1"/>
  <c r="J160" i="6"/>
  <c r="K160" i="6" s="1"/>
  <c r="H386" i="6"/>
  <c r="I386" i="6" s="1"/>
  <c r="J384" i="6"/>
  <c r="K384" i="6" s="1"/>
  <c r="H384" i="6"/>
  <c r="I384" i="6" s="1"/>
  <c r="J34" i="6"/>
  <c r="K34" i="6" s="1"/>
  <c r="J131" i="6"/>
  <c r="K131" i="6" s="1"/>
  <c r="H131" i="6"/>
  <c r="I131" i="6" s="1"/>
  <c r="J35" i="6"/>
  <c r="K35" i="6" s="1"/>
  <c r="J334" i="6"/>
  <c r="K334" i="6" s="1"/>
  <c r="J337" i="6"/>
  <c r="K337" i="6" s="1"/>
  <c r="J387" i="6"/>
  <c r="K387" i="6" s="1"/>
  <c r="Z441" i="6"/>
  <c r="H387" i="6"/>
  <c r="I387" i="6" s="1"/>
  <c r="J381" i="6"/>
  <c r="K381" i="6" s="1"/>
  <c r="H385" i="6"/>
  <c r="I385" i="6" s="1"/>
  <c r="Z433" i="6"/>
  <c r="J192" i="6"/>
  <c r="K192" i="6" s="1"/>
  <c r="J191" i="6"/>
  <c r="K191" i="6" s="1"/>
  <c r="J190" i="6"/>
  <c r="K190" i="6" s="1"/>
  <c r="J90" i="6"/>
  <c r="K90" i="6" s="1"/>
  <c r="H215" i="6"/>
  <c r="I215" i="6" s="1"/>
  <c r="H216" i="6"/>
  <c r="I216" i="6" s="1"/>
  <c r="H217" i="6"/>
  <c r="I217" i="6" s="1"/>
  <c r="H88" i="6"/>
  <c r="I88" i="6" s="1"/>
  <c r="J202" i="6"/>
  <c r="K202" i="6" s="1"/>
  <c r="J201" i="6"/>
  <c r="K201" i="6" s="1"/>
  <c r="J203" i="6"/>
  <c r="K203" i="6" s="1"/>
  <c r="X429" i="6"/>
  <c r="X428" i="6"/>
  <c r="J429" i="6"/>
  <c r="K429" i="6" s="1"/>
  <c r="H429" i="6"/>
  <c r="I429" i="6" s="1"/>
  <c r="J43" i="6"/>
  <c r="K43" i="6" s="1"/>
  <c r="H338" i="6"/>
  <c r="I338" i="6" s="1"/>
  <c r="H377" i="6"/>
  <c r="I377" i="6" s="1"/>
  <c r="H388" i="6"/>
  <c r="I388" i="6" s="1"/>
  <c r="H462" i="6"/>
  <c r="I462" i="6" s="1"/>
  <c r="J323" i="6"/>
  <c r="K323" i="6" s="1"/>
  <c r="H323" i="6"/>
  <c r="I323" i="6" s="1"/>
  <c r="H337" i="6"/>
  <c r="I337" i="6" s="1"/>
  <c r="H186" i="6"/>
  <c r="I186" i="6" s="1"/>
  <c r="J186" i="6"/>
  <c r="K186" i="6" s="1"/>
  <c r="H187" i="6"/>
  <c r="I187" i="6" s="1"/>
  <c r="J187" i="6"/>
  <c r="K187" i="6" s="1"/>
  <c r="H4" i="6"/>
  <c r="I4" i="6" s="1"/>
  <c r="H5" i="6"/>
  <c r="I5" i="6" s="1"/>
  <c r="H6" i="6"/>
  <c r="I6" i="6" s="1"/>
  <c r="H8" i="6"/>
  <c r="I8" i="6" s="1"/>
  <c r="H16" i="6"/>
  <c r="I16" i="6" s="1"/>
  <c r="J17" i="6"/>
  <c r="K17" i="6" s="1"/>
  <c r="J18" i="6"/>
  <c r="K18" i="6" s="1"/>
  <c r="J19" i="6"/>
  <c r="K19" i="6" s="1"/>
  <c r="H22" i="6"/>
  <c r="I22" i="6" s="1"/>
  <c r="J22" i="6"/>
  <c r="K22" i="6" s="1"/>
  <c r="H23" i="6"/>
  <c r="I23" i="6" s="1"/>
  <c r="J24" i="6"/>
  <c r="K24" i="6" s="1"/>
  <c r="J26" i="6"/>
  <c r="K26" i="6" s="1"/>
  <c r="J27" i="6"/>
  <c r="K27" i="6" s="1"/>
  <c r="J29" i="6"/>
  <c r="K29" i="6" s="1"/>
  <c r="J33" i="6"/>
  <c r="K33" i="6" s="1"/>
  <c r="J37" i="6"/>
  <c r="K37" i="6" s="1"/>
  <c r="J51" i="6"/>
  <c r="K51" i="6" s="1"/>
  <c r="J63" i="6"/>
  <c r="K63" i="6" s="1"/>
  <c r="J66" i="6"/>
  <c r="K66" i="6" s="1"/>
  <c r="H71" i="6"/>
  <c r="I71" i="6" s="1"/>
  <c r="J71" i="6"/>
  <c r="K71" i="6" s="1"/>
  <c r="H75" i="6"/>
  <c r="I75" i="6" s="1"/>
  <c r="J75" i="6"/>
  <c r="K75" i="6" s="1"/>
  <c r="H81" i="6"/>
  <c r="I81" i="6" s="1"/>
  <c r="H85" i="6"/>
  <c r="I85" i="6" s="1"/>
  <c r="H105" i="6"/>
  <c r="I105" i="6" s="1"/>
  <c r="J105" i="6"/>
  <c r="K105" i="6" s="1"/>
  <c r="J106" i="6"/>
  <c r="K106" i="6" s="1"/>
  <c r="J107" i="6"/>
  <c r="K107" i="6" s="1"/>
  <c r="H111" i="6"/>
  <c r="I111" i="6" s="1"/>
  <c r="H112" i="6"/>
  <c r="I112" i="6" s="1"/>
  <c r="J112" i="6"/>
  <c r="K112" i="6" s="1"/>
  <c r="H133" i="6"/>
  <c r="I133" i="6" s="1"/>
  <c r="J133" i="6"/>
  <c r="K133" i="6" s="1"/>
  <c r="H134" i="6"/>
  <c r="I134" i="6" s="1"/>
  <c r="J134" i="6"/>
  <c r="K134" i="6" s="1"/>
  <c r="H142" i="6"/>
  <c r="I142" i="6" s="1"/>
  <c r="J142" i="6"/>
  <c r="K142" i="6" s="1"/>
  <c r="J144" i="6"/>
  <c r="K144" i="6" s="1"/>
  <c r="H145" i="6"/>
  <c r="I145" i="6" s="1"/>
  <c r="H147" i="6"/>
  <c r="I147" i="6" s="1"/>
  <c r="J155" i="6"/>
  <c r="K155" i="6" s="1"/>
  <c r="H156" i="6"/>
  <c r="I156" i="6" s="1"/>
  <c r="J156" i="6"/>
  <c r="K156" i="6" s="1"/>
  <c r="H163" i="6"/>
  <c r="I163" i="6" s="1"/>
  <c r="H168" i="6"/>
  <c r="I168" i="6" s="1"/>
  <c r="H169" i="6"/>
  <c r="I169" i="6" s="1"/>
  <c r="H170" i="6"/>
  <c r="I170" i="6" s="1"/>
  <c r="H171" i="6"/>
  <c r="I171" i="6" s="1"/>
  <c r="H172" i="6"/>
  <c r="I172" i="6" s="1"/>
  <c r="H173" i="6"/>
  <c r="I173" i="6" s="1"/>
  <c r="H174" i="6"/>
  <c r="I174" i="6" s="1"/>
  <c r="J174" i="6"/>
  <c r="K174" i="6" s="1"/>
  <c r="H175" i="6"/>
  <c r="I175" i="6" s="1"/>
  <c r="J175" i="6"/>
  <c r="K175" i="6" s="1"/>
  <c r="H176" i="6"/>
  <c r="I176" i="6" s="1"/>
  <c r="J176" i="6"/>
  <c r="K176" i="6" s="1"/>
  <c r="H177" i="6"/>
  <c r="I177" i="6" s="1"/>
  <c r="J177" i="6"/>
  <c r="K177" i="6" s="1"/>
  <c r="H178" i="6"/>
  <c r="I178" i="6" s="1"/>
  <c r="J178" i="6"/>
  <c r="K178" i="6" s="1"/>
  <c r="J182" i="6"/>
  <c r="K182" i="6" s="1"/>
  <c r="J183" i="6"/>
  <c r="K183" i="6" s="1"/>
  <c r="J184" i="6"/>
  <c r="K184" i="6" s="1"/>
  <c r="H185" i="6"/>
  <c r="I185" i="6" s="1"/>
  <c r="J185" i="6"/>
  <c r="K185" i="6" s="1"/>
  <c r="H188" i="6"/>
  <c r="I188" i="6" s="1"/>
  <c r="J188" i="6"/>
  <c r="K188" i="6" s="1"/>
  <c r="H189" i="6"/>
  <c r="I189" i="6" s="1"/>
  <c r="J189" i="6"/>
  <c r="K189" i="6" s="1"/>
  <c r="H193" i="6"/>
  <c r="I193" i="6" s="1"/>
  <c r="J193" i="6"/>
  <c r="K193" i="6" s="1"/>
  <c r="H194" i="6"/>
  <c r="I194" i="6" s="1"/>
  <c r="J194" i="6"/>
  <c r="K194" i="6" s="1"/>
  <c r="H195" i="6"/>
  <c r="I195" i="6" s="1"/>
  <c r="J195" i="6"/>
  <c r="K195" i="6" s="1"/>
  <c r="H196" i="6"/>
  <c r="I196" i="6" s="1"/>
  <c r="J196" i="6"/>
  <c r="K196" i="6" s="1"/>
  <c r="H197" i="6"/>
  <c r="I197" i="6" s="1"/>
  <c r="J197" i="6"/>
  <c r="K197" i="6" s="1"/>
  <c r="H198" i="6"/>
  <c r="I198" i="6" s="1"/>
  <c r="J198" i="6"/>
  <c r="K198" i="6" s="1"/>
  <c r="H199" i="6"/>
  <c r="I199" i="6" s="1"/>
  <c r="J199" i="6"/>
  <c r="K199" i="6" s="1"/>
  <c r="H200" i="6"/>
  <c r="I200" i="6" s="1"/>
  <c r="J200" i="6"/>
  <c r="K200" i="6" s="1"/>
  <c r="H207" i="6"/>
  <c r="I207" i="6" s="1"/>
  <c r="J207" i="6"/>
  <c r="K207" i="6" s="1"/>
  <c r="H208" i="6"/>
  <c r="I208" i="6" s="1"/>
  <c r="J208" i="6"/>
  <c r="K208" i="6" s="1"/>
  <c r="H209" i="6"/>
  <c r="I209" i="6" s="1"/>
  <c r="J209" i="6"/>
  <c r="K209" i="6" s="1"/>
  <c r="H210" i="6"/>
  <c r="I210" i="6" s="1"/>
  <c r="J210" i="6"/>
  <c r="K210" i="6" s="1"/>
  <c r="H211" i="6"/>
  <c r="I211" i="6" s="1"/>
  <c r="J211" i="6"/>
  <c r="K211" i="6" s="1"/>
  <c r="H218" i="6"/>
  <c r="I218" i="6" s="1"/>
  <c r="J218" i="6"/>
  <c r="K218" i="6" s="1"/>
  <c r="H219" i="6"/>
  <c r="I219" i="6" s="1"/>
  <c r="J219" i="6"/>
  <c r="K219" i="6" s="1"/>
  <c r="H220" i="6"/>
  <c r="I220" i="6" s="1"/>
  <c r="J220" i="6"/>
  <c r="K220" i="6" s="1"/>
  <c r="H221" i="6"/>
  <c r="I221" i="6" s="1"/>
  <c r="J221" i="6"/>
  <c r="K221" i="6" s="1"/>
  <c r="H222" i="6"/>
  <c r="I222" i="6" s="1"/>
  <c r="J222" i="6"/>
  <c r="K222" i="6" s="1"/>
  <c r="J226" i="6"/>
  <c r="K226" i="6" s="1"/>
  <c r="J227" i="6"/>
  <c r="K227" i="6" s="1"/>
  <c r="J228" i="6"/>
  <c r="K228" i="6" s="1"/>
  <c r="H229" i="6"/>
  <c r="I229" i="6" s="1"/>
  <c r="J229" i="6"/>
  <c r="K229" i="6" s="1"/>
  <c r="H230" i="6"/>
  <c r="I230" i="6" s="1"/>
  <c r="J230" i="6"/>
  <c r="K230" i="6" s="1"/>
  <c r="H231" i="6"/>
  <c r="I231" i="6" s="1"/>
  <c r="J231" i="6"/>
  <c r="K231" i="6" s="1"/>
  <c r="H232" i="6"/>
  <c r="I232" i="6" s="1"/>
  <c r="J232" i="6"/>
  <c r="K232" i="6" s="1"/>
  <c r="H233" i="6"/>
  <c r="I233" i="6" s="1"/>
  <c r="J233" i="6"/>
  <c r="K233" i="6" s="1"/>
  <c r="H240" i="6"/>
  <c r="I240" i="6" s="1"/>
  <c r="J240" i="6"/>
  <c r="K240" i="6" s="1"/>
  <c r="H241" i="6"/>
  <c r="I241" i="6" s="1"/>
  <c r="J241" i="6"/>
  <c r="K241" i="6" s="1"/>
  <c r="H242" i="6"/>
  <c r="I242" i="6" s="1"/>
  <c r="J242" i="6"/>
  <c r="K242" i="6" s="1"/>
  <c r="H243" i="6"/>
  <c r="I243" i="6" s="1"/>
  <c r="J243" i="6"/>
  <c r="K243" i="6" s="1"/>
  <c r="H244" i="6"/>
  <c r="I244" i="6" s="1"/>
  <c r="J244" i="6"/>
  <c r="K244" i="6" s="1"/>
  <c r="J245" i="6"/>
  <c r="K245" i="6" s="1"/>
  <c r="J246" i="6"/>
  <c r="K246" i="6" s="1"/>
  <c r="J247" i="6"/>
  <c r="K247" i="6" s="1"/>
  <c r="J248" i="6"/>
  <c r="K248" i="6" s="1"/>
  <c r="J249" i="6"/>
  <c r="K249" i="6" s="1"/>
  <c r="J250" i="6"/>
  <c r="K250" i="6" s="1"/>
  <c r="H251" i="6"/>
  <c r="I251" i="6" s="1"/>
  <c r="J251" i="6"/>
  <c r="K251" i="6" s="1"/>
  <c r="H252" i="6"/>
  <c r="I252" i="6" s="1"/>
  <c r="J252" i="6"/>
  <c r="K252" i="6" s="1"/>
  <c r="H253" i="6"/>
  <c r="I253" i="6" s="1"/>
  <c r="J253" i="6"/>
  <c r="K253" i="6" s="1"/>
  <c r="H254" i="6"/>
  <c r="I254" i="6" s="1"/>
  <c r="J254" i="6"/>
  <c r="K254" i="6" s="1"/>
  <c r="H255" i="6"/>
  <c r="I255" i="6" s="1"/>
  <c r="J255" i="6"/>
  <c r="K255" i="6" s="1"/>
  <c r="J259" i="6"/>
  <c r="K259" i="6" s="1"/>
  <c r="J260" i="6"/>
  <c r="K260" i="6" s="1"/>
  <c r="J261" i="6"/>
  <c r="K261" i="6" s="1"/>
  <c r="H262" i="6"/>
  <c r="I262" i="6" s="1"/>
  <c r="J262" i="6"/>
  <c r="K262" i="6" s="1"/>
  <c r="H263" i="6"/>
  <c r="I263" i="6" s="1"/>
  <c r="J263" i="6"/>
  <c r="K263" i="6" s="1"/>
  <c r="H264" i="6"/>
  <c r="I264" i="6" s="1"/>
  <c r="J264" i="6"/>
  <c r="K264" i="6" s="1"/>
  <c r="H265" i="6"/>
  <c r="I265" i="6" s="1"/>
  <c r="J265" i="6"/>
  <c r="K265" i="6" s="1"/>
  <c r="H266" i="6"/>
  <c r="I266" i="6" s="1"/>
  <c r="J266" i="6"/>
  <c r="K266" i="6" s="1"/>
  <c r="H273" i="6"/>
  <c r="I273" i="6" s="1"/>
  <c r="J273" i="6"/>
  <c r="K273" i="6" s="1"/>
  <c r="H274" i="6"/>
  <c r="I274" i="6" s="1"/>
  <c r="J274" i="6"/>
  <c r="K274" i="6" s="1"/>
  <c r="H275" i="6"/>
  <c r="I275" i="6" s="1"/>
  <c r="J275" i="6"/>
  <c r="K275" i="6" s="1"/>
  <c r="H276" i="6"/>
  <c r="I276" i="6" s="1"/>
  <c r="J276" i="6"/>
  <c r="K276" i="6" s="1"/>
  <c r="H277" i="6"/>
  <c r="I277" i="6" s="1"/>
  <c r="J277" i="6"/>
  <c r="K277" i="6" s="1"/>
  <c r="J278" i="6"/>
  <c r="K278" i="6" s="1"/>
  <c r="J279" i="6"/>
  <c r="K279" i="6" s="1"/>
  <c r="J280" i="6"/>
  <c r="K280" i="6" s="1"/>
  <c r="H284" i="6"/>
  <c r="I284" i="6" s="1"/>
  <c r="J284" i="6"/>
  <c r="K284" i="6" s="1"/>
  <c r="H285" i="6"/>
  <c r="I285" i="6" s="1"/>
  <c r="J285" i="6"/>
  <c r="K285" i="6" s="1"/>
  <c r="H286" i="6"/>
  <c r="I286" i="6" s="1"/>
  <c r="J286" i="6"/>
  <c r="K286" i="6" s="1"/>
  <c r="H287" i="6"/>
  <c r="I287" i="6" s="1"/>
  <c r="J287" i="6"/>
  <c r="K287" i="6" s="1"/>
  <c r="H288" i="6"/>
  <c r="I288" i="6" s="1"/>
  <c r="J288" i="6"/>
  <c r="K288" i="6" s="1"/>
  <c r="H295" i="6"/>
  <c r="I295" i="6" s="1"/>
  <c r="J295" i="6"/>
  <c r="K295" i="6" s="1"/>
  <c r="H296" i="6"/>
  <c r="I296" i="6" s="1"/>
  <c r="J296" i="6"/>
  <c r="K296" i="6" s="1"/>
  <c r="H297" i="6"/>
  <c r="I297" i="6" s="1"/>
  <c r="J297" i="6"/>
  <c r="K297" i="6" s="1"/>
  <c r="H298" i="6"/>
  <c r="I298" i="6" s="1"/>
  <c r="J298" i="6"/>
  <c r="K298" i="6" s="1"/>
  <c r="H299" i="6"/>
  <c r="I299" i="6" s="1"/>
  <c r="J299" i="6"/>
  <c r="K299" i="6" s="1"/>
  <c r="H300" i="6"/>
  <c r="I300" i="6" s="1"/>
  <c r="J300" i="6"/>
  <c r="K300" i="6" s="1"/>
  <c r="H307" i="6"/>
  <c r="I307" i="6" s="1"/>
  <c r="J307" i="6"/>
  <c r="K307" i="6" s="1"/>
  <c r="H308" i="6"/>
  <c r="I308" i="6" s="1"/>
  <c r="J308" i="6"/>
  <c r="K308" i="6" s="1"/>
  <c r="H309" i="6"/>
  <c r="I309" i="6" s="1"/>
  <c r="J309" i="6"/>
  <c r="K309" i="6" s="1"/>
  <c r="H310" i="6"/>
  <c r="I310" i="6" s="1"/>
  <c r="J310" i="6"/>
  <c r="K310" i="6" s="1"/>
  <c r="H311" i="6"/>
  <c r="I311" i="6" s="1"/>
  <c r="J311" i="6"/>
  <c r="K311" i="6" s="1"/>
  <c r="H334" i="6"/>
  <c r="I334" i="6" s="1"/>
  <c r="H343" i="6"/>
  <c r="I343" i="6" s="1"/>
  <c r="H345" i="6"/>
  <c r="I345" i="6" s="1"/>
  <c r="H346" i="6"/>
  <c r="I346" i="6" s="1"/>
  <c r="J346" i="6"/>
  <c r="K346" i="6" s="1"/>
  <c r="H348" i="6"/>
  <c r="I348" i="6" s="1"/>
  <c r="J348" i="6"/>
  <c r="K348" i="6" s="1"/>
  <c r="H349" i="6"/>
  <c r="I349" i="6" s="1"/>
  <c r="J349" i="6"/>
  <c r="K349" i="6" s="1"/>
  <c r="H373" i="6"/>
  <c r="I373" i="6" s="1"/>
  <c r="J414" i="6"/>
  <c r="K414" i="6" s="1"/>
  <c r="H428" i="6"/>
  <c r="I428" i="6" s="1"/>
  <c r="J449" i="6"/>
  <c r="K449" i="6" s="1"/>
  <c r="Z430" i="6"/>
  <c r="Z331" i="6"/>
  <c r="Q50" i="6"/>
  <c r="Q49" i="6"/>
  <c r="Q271" i="6"/>
  <c r="Q272" i="6"/>
  <c r="Q270" i="6"/>
  <c r="Q279" i="6"/>
  <c r="Q280" i="6"/>
  <c r="Q278" i="6"/>
  <c r="Q283" i="6"/>
  <c r="Q282" i="6"/>
  <c r="Q281" i="6"/>
  <c r="Q205" i="6"/>
  <c r="Q206" i="6"/>
  <c r="Q204" i="6"/>
  <c r="Q191" i="6"/>
  <c r="Q192" i="6"/>
  <c r="Q190" i="6"/>
  <c r="Q180" i="6"/>
  <c r="Q181" i="6"/>
  <c r="Q179" i="6"/>
  <c r="Q246" i="6"/>
  <c r="Q247" i="6"/>
  <c r="Q245" i="6"/>
  <c r="Q249" i="6"/>
  <c r="Q250" i="6"/>
  <c r="Q248" i="6"/>
  <c r="Q227" i="6"/>
  <c r="Q228" i="6"/>
  <c r="Q226" i="6"/>
  <c r="Q183" i="6"/>
  <c r="Q184" i="6"/>
  <c r="Q182" i="6"/>
  <c r="Q202" i="6"/>
  <c r="Q203" i="6"/>
  <c r="Q201" i="6"/>
  <c r="Q290" i="6"/>
  <c r="Q291" i="6"/>
  <c r="Q289" i="6"/>
  <c r="Q293" i="6"/>
  <c r="Q294" i="6"/>
  <c r="Q292" i="6"/>
  <c r="Q194" i="6"/>
  <c r="Q195" i="6"/>
  <c r="Q193" i="6"/>
  <c r="Q257" i="6"/>
  <c r="Q258" i="6"/>
  <c r="Q256" i="6"/>
  <c r="Q260" i="6"/>
  <c r="Q261" i="6"/>
  <c r="Q259" i="6"/>
  <c r="Q302" i="6"/>
  <c r="Q303" i="6"/>
  <c r="Q304" i="6"/>
  <c r="Q305" i="6"/>
  <c r="Q306" i="6"/>
  <c r="Q301" i="6"/>
  <c r="Q169" i="6"/>
  <c r="Q170" i="6"/>
  <c r="Q172" i="6"/>
  <c r="Q173" i="6"/>
  <c r="Q171" i="6"/>
  <c r="Q168" i="6"/>
  <c r="Q224" i="6"/>
  <c r="Q225" i="6"/>
  <c r="Q223" i="6"/>
  <c r="Q133" i="6"/>
  <c r="Q129" i="6"/>
  <c r="Q140" i="6"/>
  <c r="Q130" i="6"/>
  <c r="Q17" i="6"/>
  <c r="Q33" i="6"/>
  <c r="Q27" i="6"/>
  <c r="Q19" i="6"/>
  <c r="Q29" i="6"/>
  <c r="Q25" i="6"/>
  <c r="Q12" i="6"/>
  <c r="Q23" i="6"/>
  <c r="Q21" i="6"/>
  <c r="Q24" i="6"/>
  <c r="Q22" i="6"/>
  <c r="Q127" i="6"/>
  <c r="Q113" i="6"/>
  <c r="Q112" i="6"/>
  <c r="Q114" i="6"/>
  <c r="Q126" i="6"/>
  <c r="Q119" i="6"/>
  <c r="Q145" i="6"/>
  <c r="Q156" i="6"/>
  <c r="Q143" i="6"/>
  <c r="Q142" i="6"/>
  <c r="Q144" i="6"/>
  <c r="Q151" i="6"/>
  <c r="Q146" i="6"/>
  <c r="N6" i="73"/>
  <c r="N9" i="73"/>
  <c r="N13" i="73"/>
  <c r="N16" i="73"/>
  <c r="F24" i="73"/>
  <c r="F25" i="73"/>
  <c r="F26" i="73"/>
  <c r="F32" i="73"/>
  <c r="F34" i="73"/>
  <c r="Z456" i="6"/>
  <c r="F22" i="73"/>
  <c r="M5" i="73"/>
  <c r="M6" i="73"/>
  <c r="M8" i="73"/>
  <c r="M9" i="73"/>
  <c r="M10" i="73"/>
  <c r="M12" i="73"/>
  <c r="M13" i="73"/>
  <c r="M14" i="73"/>
  <c r="M16" i="73"/>
  <c r="Z419" i="6"/>
  <c r="D35" i="73"/>
  <c r="G16" i="73"/>
  <c r="G9" i="73"/>
  <c r="G6" i="73"/>
  <c r="I5" i="73"/>
  <c r="K16" i="73"/>
  <c r="K13" i="73"/>
  <c r="K6" i="73"/>
  <c r="K5" i="73"/>
  <c r="H9" i="73"/>
  <c r="H8" i="73"/>
  <c r="H5" i="73"/>
  <c r="F14" i="73"/>
  <c r="F5" i="73"/>
  <c r="F13" i="73"/>
  <c r="F16" i="73"/>
  <c r="F9" i="73"/>
  <c r="Z335" i="6"/>
  <c r="AC13" i="6"/>
  <c r="AB13" i="6"/>
  <c r="J10" i="73"/>
  <c r="J12" i="73"/>
  <c r="J14" i="73"/>
  <c r="J16" i="73"/>
  <c r="I8" i="73"/>
  <c r="I12" i="73"/>
  <c r="I6" i="73"/>
  <c r="H6" i="73"/>
  <c r="H12" i="73"/>
  <c r="H14" i="73"/>
  <c r="F6" i="73"/>
  <c r="F12" i="73"/>
  <c r="G5" i="73"/>
  <c r="AC398" i="6"/>
  <c r="AB398" i="6"/>
  <c r="Z449" i="6"/>
  <c r="Z162" i="6"/>
  <c r="Z395" i="6"/>
  <c r="AC397" i="6"/>
  <c r="AB397" i="6"/>
  <c r="AC395" i="6"/>
  <c r="AB395" i="6"/>
  <c r="Z88" i="6"/>
  <c r="Z343" i="6"/>
  <c r="Z327" i="6"/>
  <c r="Z326" i="6"/>
  <c r="Z325" i="6"/>
  <c r="Z334" i="6"/>
  <c r="AC134" i="6"/>
  <c r="AC135" i="6"/>
  <c r="AC139" i="6"/>
  <c r="AC375" i="6"/>
  <c r="AB134" i="6"/>
  <c r="AB135" i="6"/>
  <c r="AB139" i="6"/>
  <c r="AB375" i="6"/>
  <c r="Z136" i="6"/>
  <c r="Z348" i="6"/>
  <c r="Z394" i="6"/>
  <c r="Z417" i="6"/>
  <c r="Z415" i="6"/>
  <c r="Z416" i="6"/>
  <c r="Z237" i="6"/>
  <c r="Z238" i="6"/>
  <c r="Z239" i="6"/>
  <c r="Z412" i="6"/>
  <c r="Z435" i="6"/>
  <c r="Z436" i="6"/>
  <c r="Z437" i="6"/>
  <c r="Z438" i="6"/>
  <c r="Z439" i="6"/>
  <c r="Z442" i="6"/>
  <c r="Z390" i="6"/>
  <c r="Z393" i="6"/>
  <c r="Z411" i="6"/>
  <c r="Z427" i="6"/>
  <c r="Z358" i="6"/>
  <c r="Z361" i="6"/>
  <c r="Z363" i="6"/>
  <c r="Z364" i="6"/>
  <c r="Z372" i="6"/>
  <c r="Z374" i="6"/>
  <c r="Z375" i="6"/>
  <c r="Z378" i="6"/>
  <c r="Z381" i="6"/>
  <c r="Z382" i="6"/>
  <c r="Z383" i="6"/>
  <c r="Z388" i="6"/>
  <c r="Z389" i="6"/>
  <c r="Z352" i="6"/>
  <c r="Z349" i="6"/>
  <c r="Z347" i="6"/>
  <c r="Z346" i="6"/>
  <c r="Z312" i="6"/>
  <c r="Z315" i="6"/>
  <c r="Z322" i="6"/>
  <c r="Z330" i="6"/>
  <c r="Z333" i="6"/>
  <c r="Z342" i="6"/>
  <c r="Z301" i="6"/>
  <c r="Z302" i="6"/>
  <c r="Z303" i="6"/>
  <c r="Z304" i="6"/>
  <c r="Z305" i="6"/>
  <c r="Z306" i="6"/>
  <c r="Z111" i="6"/>
  <c r="Z112" i="6"/>
  <c r="Z113" i="6"/>
  <c r="Z114" i="6"/>
  <c r="Z115" i="6"/>
  <c r="Z116" i="6"/>
  <c r="Z117" i="6"/>
  <c r="Z118" i="6"/>
  <c r="Z119" i="6"/>
  <c r="Z121" i="6"/>
  <c r="Z122" i="6"/>
  <c r="Z123" i="6"/>
  <c r="Z124" i="6"/>
  <c r="Z126" i="6"/>
  <c r="Z127" i="6"/>
  <c r="Z128" i="6"/>
  <c r="Z129" i="6"/>
  <c r="Z130" i="6"/>
  <c r="Z137" i="6"/>
  <c r="Z138" i="6"/>
  <c r="Z139" i="6"/>
  <c r="Z140" i="6"/>
  <c r="Z141" i="6"/>
  <c r="Z142" i="6"/>
  <c r="Z143" i="6"/>
  <c r="Z145" i="6"/>
  <c r="Z146" i="6"/>
  <c r="Z148" i="6"/>
  <c r="Z151" i="6"/>
  <c r="Z152" i="6"/>
  <c r="Z153" i="6"/>
  <c r="Z154" i="6"/>
  <c r="Z155" i="6"/>
  <c r="Z156" i="6"/>
  <c r="Z157" i="6"/>
  <c r="Z159" i="6"/>
  <c r="Z160" i="6"/>
  <c r="Z164" i="6"/>
  <c r="Z165" i="6"/>
  <c r="Z166" i="6"/>
  <c r="Z168" i="6"/>
  <c r="Z169" i="6"/>
  <c r="Z170" i="6"/>
  <c r="Z171" i="6"/>
  <c r="Z172" i="6"/>
  <c r="Z173" i="6"/>
  <c r="Z179" i="6"/>
  <c r="Z180" i="6"/>
  <c r="Z181" i="6"/>
  <c r="Z182" i="6"/>
  <c r="Z183" i="6"/>
  <c r="Z184" i="6"/>
  <c r="Z190" i="6"/>
  <c r="Z191" i="6"/>
  <c r="Z192" i="6"/>
  <c r="Z193" i="6"/>
  <c r="Z194" i="6"/>
  <c r="Z195" i="6"/>
  <c r="Z204" i="6"/>
  <c r="Z205" i="6"/>
  <c r="Z206" i="6"/>
  <c r="Z212" i="6"/>
  <c r="Z213" i="6"/>
  <c r="Z214" i="6"/>
  <c r="Z215" i="6"/>
  <c r="Z216" i="6"/>
  <c r="Z217" i="6"/>
  <c r="Z223" i="6"/>
  <c r="Z224" i="6"/>
  <c r="Z225" i="6"/>
  <c r="Z234" i="6"/>
  <c r="Z235" i="6"/>
  <c r="Z236" i="6"/>
  <c r="Z245" i="6"/>
  <c r="Z246" i="6"/>
  <c r="Z247" i="6"/>
  <c r="Z248" i="6"/>
  <c r="Z249" i="6"/>
  <c r="Z250" i="6"/>
  <c r="Z256" i="6"/>
  <c r="Z257" i="6"/>
  <c r="Z258" i="6"/>
  <c r="Z259" i="6"/>
  <c r="Z260" i="6"/>
  <c r="Z261" i="6"/>
  <c r="Z267" i="6"/>
  <c r="Z268" i="6"/>
  <c r="Z269" i="6"/>
  <c r="Z270" i="6"/>
  <c r="Z271" i="6"/>
  <c r="Z272" i="6"/>
  <c r="Z278" i="6"/>
  <c r="Z279" i="6"/>
  <c r="Z280" i="6"/>
  <c r="Z289" i="6"/>
  <c r="Z290" i="6"/>
  <c r="Z291" i="6"/>
  <c r="Z292" i="6"/>
  <c r="Z293" i="6"/>
  <c r="Z294" i="6"/>
  <c r="Z78" i="6"/>
  <c r="Z79" i="6"/>
  <c r="Z80" i="6"/>
  <c r="Z81" i="6"/>
  <c r="Z82" i="6"/>
  <c r="Z83" i="6"/>
  <c r="Z84" i="6"/>
  <c r="Z86" i="6"/>
  <c r="Z89" i="6"/>
  <c r="Z97" i="6"/>
  <c r="Z104" i="6"/>
  <c r="Z24" i="6"/>
  <c r="Z26" i="6"/>
  <c r="Z27" i="6"/>
  <c r="Z28" i="6"/>
  <c r="Z29" i="6"/>
  <c r="Z30" i="6"/>
  <c r="Z31" i="6"/>
  <c r="Z32" i="6"/>
  <c r="Z33" i="6"/>
  <c r="Z34" i="6"/>
  <c r="Z36" i="6"/>
  <c r="Z37" i="6"/>
  <c r="Z38" i="6"/>
  <c r="Z39" i="6"/>
  <c r="Z40" i="6"/>
  <c r="Z41" i="6"/>
  <c r="Z42" i="6"/>
  <c r="Z43" i="6"/>
  <c r="Z44" i="6"/>
  <c r="Z45" i="6"/>
  <c r="Z49" i="6"/>
  <c r="Z50" i="6"/>
  <c r="Z53" i="6"/>
  <c r="Z54" i="6"/>
  <c r="Z55" i="6"/>
  <c r="Z56" i="6"/>
  <c r="Z57" i="6"/>
  <c r="Z59" i="6"/>
  <c r="Z60" i="6"/>
  <c r="Z61" i="6"/>
  <c r="Z65" i="6"/>
  <c r="Z69" i="6"/>
  <c r="Z70" i="6"/>
  <c r="Z73" i="6"/>
  <c r="Z76" i="6"/>
  <c r="Z4" i="6"/>
  <c r="Z5" i="6"/>
  <c r="Z6" i="6"/>
  <c r="Z8" i="6"/>
  <c r="Z9" i="6"/>
  <c r="Z10" i="6"/>
  <c r="Z11" i="6"/>
  <c r="Z13" i="6"/>
  <c r="Z14" i="6"/>
  <c r="Z15" i="6"/>
  <c r="Z17" i="6"/>
  <c r="Z18" i="6"/>
  <c r="Z19" i="6"/>
  <c r="Z20" i="6"/>
  <c r="Z21" i="6"/>
  <c r="Z22" i="6"/>
  <c r="Z2" i="6"/>
  <c r="F35" i="73" l="1"/>
  <c r="G17" i="73"/>
  <c r="K15" i="73"/>
  <c r="K17" i="73" s="1"/>
  <c r="D17" i="73"/>
  <c r="J17" i="73"/>
  <c r="N17" i="73"/>
  <c r="H17" i="73"/>
  <c r="I15" i="73"/>
  <c r="I17" i="73" s="1"/>
  <c r="F15" i="73"/>
  <c r="F17" i="73" s="1"/>
  <c r="M15" i="73"/>
  <c r="M17" i="7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tc={23FEEE5F-6C43-451C-A01C-5CF01BBF5484}</author>
    <author>tc={EBC448F2-4F2B-46A6-96C7-BF4E8294D183}</author>
  </authors>
  <commentList>
    <comment ref="D14" authorId="0" shapeId="0" xr:uid="{23FEEE5F-6C43-451C-A01C-5CF01BBF5484}">
      <text>
        <t>[Threaded comment]
Your version of Excel allows you to read this threaded comment; however, any edits to it will get removed if the file is opened in a newer version of Excel. Learn more: https://go.microsoft.com/fwlink/?linkid=870924
Comment:
    2006 est wiki</t>
      </text>
    </comment>
    <comment ref="D24" authorId="1" shapeId="0" xr:uid="{EBC448F2-4F2B-46A6-96C7-BF4E8294D183}">
      <text>
        <t>[Threaded comment]
Your version of Excel allows you to read this threaded comment; however, any edits to it will get removed if the file is opened in a newer version of Excel. Learn more: https://go.microsoft.com/fwlink/?linkid=870924
Comment:
    as received from Saeed Zekry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tc={133B8105-FB95-4D5B-80DF-7BFEDC1D4B44}</author>
    <author>tc={CDDB756D-0EC3-4E2E-A46C-C9CE9DCFC3E0}</author>
    <author>tc={87463642-4C04-43A8-A876-96D78618F8B4}</author>
    <author>tc={0D513570-E99B-438E-96A0-BBDB8C3A76F6}</author>
    <author>tc={C4651834-D9FB-499F-8529-F2C8E320FDFA}</author>
    <author>tc={149AC071-E29A-4EC6-A7C6-98B369BE38C5}</author>
    <author>tc={56D29C90-B71E-487D-8B70-16A57583A7F9}</author>
    <author>tc={5007963D-8CE7-440B-ADA5-50CCA8D45156}</author>
    <author>tc={2FA6A36A-BE4A-4CDA-92ED-63C0A8FA2367}</author>
    <author>tc={13DAAD6A-1E60-47B2-9CAF-1693D359B8D3}</author>
    <author>tc={D201B0D5-E1F2-48CC-ADA8-650B24C87952}</author>
    <author>tc={85896FDA-8024-4FDA-A826-53DA0E58169C}</author>
    <author>tc={91AEA554-7E4C-4B8E-A568-73204EFA1431}</author>
    <author>tc={58DE6AAC-C486-43A3-997F-FB18B95A23E7}</author>
    <author>tc={A7D62C77-11F7-48E8-BDAB-2A4F4C0EC563}</author>
    <author>tc={EC3B568F-1F97-4F2D-A0E2-1C5F2224F48C}</author>
    <author>tc={85661C28-A9AB-4DDB-B851-6099014F0E34}</author>
    <author>tc={17F61C9C-7A90-453B-A5AE-5CB42AB33501}</author>
    <author>tc={E61D9CCD-A662-48FB-A48D-9DEB5D738DC9}</author>
    <author>tc={2EBCB3FC-8B42-4CA9-BAAB-FE4B833041DB}</author>
    <author>tc={EB0C4832-56B6-4EAA-B2C1-EAE77A2C51DF}</author>
    <author>tc={E063257C-C927-44A5-9E0F-3AA48B170106}</author>
    <author>tc={2799534F-6FC8-4CE6-AFBD-F71AEB338348}</author>
    <author>tc={800F3424-B6E2-45E8-9357-AA2E4E6BC5A6}</author>
    <author>tc={23F23E9C-7A4C-4473-85D7-2FA3D4659235}</author>
    <author>tc={4B36A4EB-EDB8-4747-AB44-5C7ED41F2A90}</author>
    <author>tc={B52B212F-B03D-48DC-9EBB-C703D0F39655}</author>
    <author>tc={6162AA11-CA17-459F-9B56-9AAC950F0893}</author>
    <author>tc={9ECA464A-5290-4482-9597-889CF01F7CE2}</author>
    <author>tc={26854ABC-F155-48AE-91A7-C350A78E2C89}</author>
    <author>tc={113696C5-586B-4E14-9F3D-FEF954AEAF8C}</author>
    <author>tc={7FC31DEB-51CA-49F0-9B9D-6FFFA9C90CFF}</author>
    <author>tc={C4412527-96CD-4158-9FD3-5CE0387E9EB5}</author>
    <author>tc={CEF216E9-5373-4698-B340-A415CD9BC234}</author>
    <author>tc={26BE0925-0860-456A-8853-5A9DD1CC6D86}</author>
    <author>tc={B09A544E-3D69-4CEA-B105-CC6450AB9382}</author>
    <author>tc={A3BB96E1-4C6E-45DC-8866-026B083A9A99}</author>
    <author>tc={E13E2C3C-B4EB-41C7-A057-9BCCF6579FB1}</author>
    <author>tc={F4EF13EB-02ED-489F-A6A4-8F52DA657207}</author>
    <author>tc={64FD1270-80C7-487D-B29E-4928F00D06EC}</author>
    <author>tc={FE1E9556-D1E8-4144-8F22-5B3E0713E6A8}</author>
    <author>tc={BEDAE604-9E75-4273-ABED-2E3A36DC5CCC}</author>
    <author>tc={758AB971-F3B6-45FD-A2A3-299808CECC28}</author>
    <author>tc={E31C0EC2-C50B-4400-B28E-C73856826754}</author>
    <author>tc={90D3528C-4CA7-4673-B9A8-DBA8E958A201}</author>
    <author>tc={66937AE3-A44C-4EF8-8A94-861D1B6F0A7D}</author>
    <author>tc={17C0C60B-3239-406A-AFDA-55D48DAED1A3}</author>
    <author>tc={9458AB69-1F98-43A0-AA4A-0C1953B835CD}</author>
    <author>tc={B2160D66-B0E3-4BEF-AAF9-9096FD5E76D5}</author>
    <author>tc={3B6EFAEA-15A6-4FE9-8208-7A4BA4767EDE}</author>
    <author>tc={0E2A1075-0130-4DAA-89F9-E19AF8A964B1}</author>
    <author>tc={5A7C6ECB-3D81-4CAA-BEB3-17729604E842}</author>
    <author>tc={A591F936-7AC4-4BE8-B424-6571CE93EE92}</author>
    <author>tc={B26A35DE-E1A4-4E0B-8B5C-DB825F981BDD}</author>
    <author>tc={43E82E20-D2F5-46F3-8AF2-75938665C01A}</author>
    <author>tc={AF35D304-AA0F-41C1-833B-4B873A75664B}</author>
    <author>tc={2181D913-5964-4EA1-8018-0F7A1C744275}</author>
    <author>tc={2C13C776-671F-43B7-88C1-E9D290AA55B4}</author>
    <author>tc={62F853FA-0AF2-431E-9B6E-93AD3768D42A}</author>
    <author>tc={C9788ED5-EECA-4B6C-95A3-0B57D24F8F0D}</author>
    <author>tc={5764538A-BEF0-423A-8EF8-6B8854E39ACA}</author>
    <author>tc={AA05E89A-F0DD-4248-8812-EFBC02D738DD}</author>
    <author>tc={31C32DD7-4076-431E-BE63-66ACEF707AEE}</author>
    <author>tc={2A02723D-4C9F-460C-B67E-1292374D18B0}</author>
    <author>tc={3AAB664C-5D6B-4BBA-84BD-3E0CE7D0E7DB}</author>
    <author>tc={DF256079-F058-4590-9F6A-E6590CE407D9}</author>
    <author>tc={01FF78E2-F9D0-4E72-8F36-C404FFFCBF7A}</author>
    <author>tc={84EAB7CF-1E5C-497B-8079-0BF03F9F4B48}</author>
    <author>tc={9EF0B8BD-9777-441D-84B8-7B328C5E0E17}</author>
    <author>tc={7A55B340-880C-47BF-9646-AC58603CC14A}</author>
    <author>tc={FA84C8BD-7376-415D-A3F4-9AC907020BB8}</author>
    <author>tc={F2250816-A61C-477D-9E58-EB2E97AA1D83}</author>
    <author>tc={8A02E0DF-11FB-4B84-94D8-8E24B05C7A3B}</author>
    <author>tc={05EBFAF3-1B1F-4864-9391-7A3D55D6D179}</author>
    <author>tc={D92F3E54-3842-44F8-BE46-06D10E19147D}</author>
    <author>tc={31DF15D2-DBF0-444B-A766-105FCEF8D2B4}</author>
    <author>tc={5CA39974-4B1F-4352-BC77-9972396CEDAA}</author>
    <author>tc={9F35F88A-4A3E-478E-A153-F86107EA1344}</author>
    <author>tc={EC7026B1-E280-4067-812A-5FDD2958BF09}</author>
    <author>tc={4A672D01-03BC-4D8B-ACFA-2508CB7B34E0}</author>
    <author>tc={966883A7-D374-4E6C-9A33-42C07836ADE5}</author>
    <author>tc={E0C8F9B3-861E-458D-8D2D-016A093CA978}</author>
    <author>tc={6D1BAAC5-4B5F-4423-82E8-189CAFAECD74}</author>
    <author>tc={E1ABC2C6-B302-43CA-8BA3-AA5B5FECBD8B}</author>
    <author>tc={C0D151BE-BE10-435E-90B1-25F641268398}</author>
    <author>tc={CCAD8276-CB78-4A41-A8F7-13248FA85C3C}</author>
    <author>tc={D9F6A83E-1558-4718-BE14-2F7F38744A42}</author>
    <author>tc={3812C4CE-F8B7-403E-9C39-6361B2881E13}</author>
    <author>tc={B5A8AF3F-BDE8-4D1D-91CD-7865862970B6}</author>
    <author>tc={98E6CEF3-4762-4348-B36A-4B2414D8C7C9}</author>
    <author>tc={A3DA1F11-4FF4-4FEC-8DA3-8086259D2EA9}</author>
    <author>tc={D5792E99-A953-4D7F-B3C6-E804E423E573}</author>
    <author>tc={3A1DF75C-DAD7-490D-890E-D76016CA2B2D}</author>
    <author>tc={AF2FD5D2-765D-4FE8-911D-5560B2CABCD4}</author>
    <author>tc={82145E09-CC6D-4C20-B09F-5D496B547C43}</author>
    <author>tc={E5CFAFB8-1D69-4024-A18B-9E6FFFE9AC46}</author>
    <author>tc={850CA377-70F0-4DC3-B9BF-ADA1104C6FAE}</author>
    <author>tc={2335A232-6019-456A-93BD-864C4C3FD40E}</author>
    <author>tc={F4EE91C1-E96F-4D7F-83B9-C9DD22B3EFE7}</author>
    <author>tc={E1CBC6A1-F8CC-47C3-8165-46C56DA024E8}</author>
    <author>tc={B44860E9-C2F0-49F1-A5AC-C0E42FD732C8}</author>
    <author>tc={82E0D079-147E-426B-95A6-5019481E95DC}</author>
    <author>tc={4DF7AD44-3ACB-46A6-94EB-B03E897B3AB0}</author>
    <author>tc={AE7B184D-6AC9-44BC-A48B-249845C6A252}</author>
    <author>tc={3E40126A-2C97-4DFD-B71C-A04B72E4F695}</author>
    <author>tc={026CABEF-6D95-4AF2-8C8E-14CB8F77E01D}</author>
    <author>tc={4F6BBBC0-949D-4BF7-8A5E-414AEA940880}</author>
    <author>tc={C1C05FDB-CA92-4C11-9270-CD21F792D481}</author>
    <author>tc={498E6398-5875-4D9C-9C08-9A4A2869FD13}</author>
    <author>tc={E33557F7-EC1F-4534-B24C-4779B3BF81A0}</author>
    <author>tc={D9869F11-F001-4360-A936-5FC421A80696}</author>
    <author>tc={52E8A1A4-F1A8-4DCB-97A4-C7AEAC4DFD8D}</author>
    <author>tc={67E3F6AE-4012-493D-93EC-ECC99D92CF12}</author>
    <author>tc={93E0F1D0-D269-43B0-9AB8-A62D85D86353}</author>
    <author>tc={52FD1D51-2ADE-4661-AEF7-F0ECBD12CAD4}</author>
    <author>tc={AD24529A-CF5E-483B-B1E9-C9C8E2624392}</author>
    <author>tc={EBB3DEC9-28FF-430A-B155-7576E9E2EEEA}</author>
    <author>tc={9E808CAF-0FBE-45E4-81E5-91A63E1D5125}</author>
    <author>tc={E2C60D3E-0499-4402-AF01-61218D87BED0}</author>
    <author>tc={D0BFD292-2952-4412-85D2-CE808108B3FD}</author>
    <author>tc={35B91E12-20B5-4491-9D77-EF029978D54C}</author>
    <author>tc={C6827F5D-00FE-4F4A-923B-B390C622DEF8}</author>
    <author>tc={7DDEF349-9EE8-41B2-97E6-0E66C200EF75}</author>
    <author>tc={118ED1DE-380A-42E7-8098-1A516625E3E2}</author>
    <author>tc={258649A1-0370-4161-971D-EE078E76592A}</author>
    <author>tc={AF3EF435-FB14-4436-9093-2A1EB188DC17}</author>
    <author>tc={BFC67385-1017-44CB-9960-8E541F0D2D37}</author>
    <author>tc={BEE3AE9E-29CA-4068-A698-1D0C4A9B6C99}</author>
    <author>tc={C1CE1C9E-12D2-4ADB-A614-82EC11DACC9B}</author>
    <author>tc={C538D2C6-0FE8-4060-A1B0-24FADF296846}</author>
    <author>tc={0DF7D297-10FF-4C1D-A93C-370CF36E7017}</author>
    <author>tc={545BF82B-ECC8-4AB9-BEB3-961E5D1B1FB7}</author>
    <author>tc={3203C64E-2E8F-44DF-9557-CE415133FFCE}</author>
    <author>tc={122C5A19-5727-4D2F-9E1B-DA83433EF654}</author>
    <author>tc={2E7425D6-BA27-4E74-8318-8B10E089D61F}</author>
    <author>tc={3DD85C57-C225-4C6E-AD03-D4886492B72D}</author>
    <author>tc={C5740367-F3C6-4282-BF0D-2B7E0A30C22E}</author>
    <author>tc={ED36CF4A-2516-4532-9720-558257119FFD}</author>
    <author>tc={468478D3-0494-4229-9BE8-CB7480F20848}</author>
    <author>tc={7E817520-5F52-4D19-80DF-2448D9C7044B}</author>
    <author>tc={4D22D2F2-2BDD-4546-8E66-E3CDA000D480}</author>
    <author>tc={1BCE86C2-0051-4EB7-ACE4-D68BACB6112D}</author>
    <author>tc={C1E2702F-A07F-4175-9721-8FBD436DCDAA}</author>
    <author>tc={BA12F197-8021-4E09-A0F6-E159E7638C47}</author>
    <author>tc={A11E9816-7D4C-4708-A6F0-AC8A524ABA25}</author>
    <author>tc={26C35C38-FAC2-45F8-9E08-77C53C8F0BEA}</author>
    <author>tc={F5AEAA00-EF24-4143-8A53-9CC1C89A48CE}</author>
    <author>tc={01909DEA-0CC0-4557-8ECD-B632BA17A745}</author>
    <author>tc={0BF42295-4C08-4116-BC39-14C861C1ECBA}</author>
    <author>tc={DF3FB301-B206-4F0B-A13B-CE09CBB35505}</author>
    <author>tc={78B25767-6CA1-40B7-A22D-FA459D795E2C}</author>
    <author>tc={5BC73A05-2640-4BE1-B8C3-99E80A0A17C1}</author>
    <author>tc={7A959316-4000-48A7-95CB-378D821FE44C}</author>
    <author>tc={1214720D-E7BF-4312-A164-14039ABC9BC7}</author>
    <author>tc={E80D01F3-2D6C-4566-9164-E29C9CC1E494}</author>
    <author>tc={BB493693-77EA-41AB-9DEE-5E4BFE978B6E}</author>
    <author>tc={DB2CFF8E-BE4B-4664-BDA3-1D15B2FFDD39}</author>
    <author>tc={C64D9D16-A064-4809-B065-278EBF4F96B5}</author>
    <author>tc={76A6CB1C-DC03-4771-ADFF-4942D786A0CA}</author>
    <author>tc={1D36320A-CDD9-4458-A37D-7C994AEBA1EF}</author>
    <author>tc={330491A2-61F7-40C7-B07D-F79F0A05FF82}</author>
    <author>tc={C2FE0F18-7FF6-4DC9-B833-1E5124ED059B}</author>
    <author>tc={9AE3E707-B716-41E1-816A-A04C62DA6433}</author>
    <author>tc={85CE7A6E-9189-4054-8DD0-8195663A046A}</author>
    <author>tc={5C6C02D3-1EE8-4846-AE51-41D5A7CFF0A0}</author>
    <author>tc={3AA067DE-AA32-4D49-BC9E-F5CBFCA469C8}</author>
    <author>tc={7BE30662-DA4E-4FEE-9247-7CCED6A129DD}</author>
    <author>tc={D5F403A6-04F6-4527-888E-8052B6E19EC9}</author>
    <author>tc={054CC564-C244-433A-AED7-701BF82947AF}</author>
    <author>tc={BF16A3D8-247D-4F61-8555-488319409CB2}</author>
    <author>tc={A1403A5C-112F-40E3-9868-3E1DEA96F3B3}</author>
    <author>tc={29341596-BFDC-4D54-8EB5-139639895582}</author>
    <author>tc={3F59C7F5-2FA4-4280-92FF-37DAB13EDB76}</author>
    <author>tc={9C666D44-10B7-444F-AF4B-4E9872B149C5}</author>
    <author>tc={813B69C8-AA1D-45C0-857C-FD62679DDA20}</author>
    <author>tc={CC5E4961-CB64-41F2-84CD-813A665A613A}</author>
    <author>tc={4922DA7F-5800-4117-8256-A4A53BA1583E}</author>
    <author>tc={AA4BF593-F3C1-430D-A451-774E1A5B4620}</author>
    <author>tc={444FF925-4C3E-4FDF-ACD2-4699208D5EE6}</author>
    <author>tc={BD111A98-94D0-4EBA-A60A-0503E9FCB886}</author>
    <author>tc={ABDE85C2-755C-4474-A3AB-BE8B16B689DE}</author>
    <author>tc={1BC7F327-2752-4FC7-9127-1A15D35D867B}</author>
    <author>tc={EE1C340B-45A1-4046-A7D7-11DD474FB441}</author>
    <author>tc={67A343C1-2E09-4B6C-A428-9B2E1230E405}</author>
    <author>tc={592CABD3-6FB2-402B-BBA2-BDA4EFC035D7}</author>
    <author>tc={E76107CE-D922-469C-8A09-5E787E9BA270}</author>
    <author>tc={5DCF6C0C-B6F8-43AB-BDD5-B575F6BB79B9}</author>
    <author>tc={F72AC8C6-D474-4230-920E-B2AFF81F6C80}</author>
    <author>tc={619285F3-2765-4CEF-BDD9-45B347551AFD}</author>
    <author>tc={5017D75B-5AE4-46D1-B1CF-8222C4DB67AB}</author>
    <author>tc={D59E8F91-515F-4B0C-8C8E-ACE75D26784A}</author>
    <author>tc={F118B21C-8A00-4EAB-827B-918F2F3A7D7E}</author>
    <author>tc={C177BD23-C5BE-41EE-9FAE-6D48B43CBDD9}</author>
    <author>tc={21AFE829-9971-4608-ACB2-487C63464E96}</author>
    <author>tc={19B42AC8-B92E-4514-87E4-E37B9BC08461}</author>
    <author>tc={5E17672F-D2DC-4B77-9A98-383A99B58860}</author>
    <author>tc={1EE77406-3A16-4620-B8E7-9DCD213669B1}</author>
    <author>tc={421ACB75-D464-44C8-9F34-0AF672240E17}</author>
    <author>tc={249B19F2-A2F4-49B6-81ED-D1561E46D0D7}</author>
    <author>tc={78E416E8-E87A-4DA2-A5EF-F17A66A34841}</author>
    <author>tc={98970C6D-10D2-4F16-923D-1FF796A22D37}</author>
    <author>tc={698BFDD2-AC2D-4FE3-BB01-12E20F0D150A}</author>
    <author>tc={F1929741-FB34-426A-A878-E6DF0DFB0C5A}</author>
    <author>tc={D7602A08-9DE2-4270-9D3A-D662E8FDA328}</author>
    <author>tc={15A3A549-C7C5-49CA-AA25-7A184BFC43D6}</author>
    <author>tc={57F46A90-7759-496E-9EB8-F99457977BE8}</author>
    <author>tc={6079812A-25E0-412A-A781-90AE0F348E9B}</author>
    <author>tc={22434D56-ABD9-4896-BD93-8766B86CA362}</author>
    <author>tc={425BD6A2-B582-4298-90BF-AD473BEDBBAD}</author>
    <author>tc={AB4E0C7F-EF9A-42BB-8624-94C2641F50AF}</author>
    <author>tc={06570D4E-4A98-4181-A14F-6D52963522C9}</author>
    <author>tc={C24A1A4F-47C9-4E30-A424-F2C93784BBB7}</author>
    <author>tc={94F67D1D-36AA-47D3-AECE-EE3611921EA4}</author>
    <author>tc={BB149F7C-667E-40DF-BB5A-9425381FED02}</author>
    <author>tc={D36F7914-84E6-4BAC-B8E1-7E8578337438}</author>
    <author>tc={E0993B1A-BBB8-4E3A-8A15-EC78C20C30CD}</author>
    <author>tc={014DD221-0ADC-4B98-A0DE-376EC82F7844}</author>
    <author>tc={368CC33F-A527-4B92-BE7A-9278E66414F4}</author>
    <author>tc={E6F83D01-213E-4DF4-A674-7885455BBF84}</author>
  </authors>
  <commentList>
    <comment ref="J3" authorId="0" shapeId="0" xr:uid="{133B8105-FB95-4D5B-80DF-7BFEDC1D4B44}">
      <text>
        <t>[Threaded comment]
Your version of Excel allows you to read this threaded comment; however, any edits to it will get removed if the file is opened in a newer version of Excel. Learn more: https://go.microsoft.com/fwlink/?linkid=870924
Comment:
    cost for 8 out of 9 garbage trucks</t>
      </text>
    </comment>
    <comment ref="R3" authorId="1" shapeId="0" xr:uid="{CDDB756D-0EC3-4E2E-A46C-C9CE9DCFC3E0}">
      <text>
        <t xml:space="preserve">[Threaded comment]
Your version of Excel allows you to read this threaded comment; however, any edits to it will get removed if the file is opened in a newer version of Excel. Learn more: https://go.microsoft.com/fwlink/?linkid=870924
Comment:
    1 - 10 dec 2017
4 - 24 July 2018
3 - 28 Aug 2018
</t>
      </text>
    </comment>
    <comment ref="Z3" authorId="2" shapeId="0" xr:uid="{87463642-4C04-43A8-A876-96D78618F8B4}">
      <text>
        <t>[Threaded comment]
Your version of Excel allows you to read this threaded comment; however, any edits to it will get removed if the file is opened in a newer version of Excel. Learn more: https://go.microsoft.com/fwlink/?linkid=870924
Comment:
    Korea - PO 4772 @ US$ 35,532.17</t>
      </text>
    </comment>
    <comment ref="F4" authorId="3" shapeId="0" xr:uid="{0D513570-E99B-438E-96A0-BBDB8C3A76F6}">
      <text>
        <t xml:space="preserve">[Threaded comment]
Your version of Excel allows you to read this threaded comment; however, any edits to it will get removed if the file is opened in a newer version of Excel. Learn more: https://go.microsoft.com/fwlink/?linkid=870924
Comment:
    Not specific enough
Cost Calculation:
apart from Fire trucks every other truck's average cost was USD 150,000 per truck or higher
but this estimate may be farfetched from realistic costs in absence of further info
</t>
      </text>
    </comment>
    <comment ref="F5" authorId="4" shapeId="0" xr:uid="{C4651834-D9FB-499F-8529-F2C8E320FDFA}">
      <text>
        <t>[Threaded comment]
Your version of Excel allows you to read this threaded comment; however, any edits to it will get removed if the file is opened in a newer version of Excel. Learn more: https://go.microsoft.com/fwlink/?linkid=870924
Comment:
    15 m3 USD 116,000 per truck for sirt in June 2018</t>
      </text>
    </comment>
    <comment ref="F6" authorId="5" shapeId="0" xr:uid="{149AC071-E29A-4EC6-A7C6-98B369BE38C5}">
      <text>
        <t xml:space="preserve">[Threaded comment]
Your version of Excel allows you to read this threaded comment; however, any edits to it will get removed if the file is opened in a newer version of Excel. Learn more: https://go.microsoft.com/fwlink/?linkid=870924
Comment:
    Not specific enough
Cost Calculation:
apart from Fire trucks every other truck's average cost was USD 150,000 per truck or higher
but this estimate may be farfetched from realistic costs in absence of further info
</t>
      </text>
    </comment>
    <comment ref="Z7" authorId="6" shapeId="0" xr:uid="{56D29C90-B71E-487D-8B70-16A57583A7F9}">
      <text>
        <t>[Threaded comment]
Your version of Excel allows you to read this threaded comment; however, any edits to it will get removed if the file is opened in a newer version of Excel. Learn more: https://go.microsoft.com/fwlink/?linkid=870924
Comment:
    Korea - PO 4752 @ US$ 18,714.12</t>
      </text>
    </comment>
    <comment ref="F8" authorId="7" shapeId="0" xr:uid="{5007963D-8CE7-440B-ADA5-50CCA8D45156}">
      <text>
        <t>[Threaded comment]
Your version of Excel allows you to read this threaded comment; however, any edits to it will get removed if the file is opened in a newer version of Excel. Learn more: https://go.microsoft.com/fwlink/?linkid=870924
Comment:
    USD 500 per bin for sirt back in June 2018</t>
      </text>
    </comment>
    <comment ref="F13" authorId="8" shapeId="0" xr:uid="{2FA6A36A-BE4A-4CDA-92ED-63C0A8FA2367}">
      <text>
        <t>[Threaded comment]
Your version of Excel allows you to read this threaded comment; however, any edits to it will get removed if the file is opened in a newer version of Excel. Learn more: https://go.microsoft.com/fwlink/?linkid=870924
Comment:
    Renamed from Supply of Refrigeration for vaccines, cold chain for Health Directorate.</t>
      </text>
    </comment>
    <comment ref="F14" authorId="9" shapeId="0" xr:uid="{13DAAD6A-1E60-47B2-9CAF-1693D359B8D3}">
      <text>
        <t>[Threaded comment]
Your version of Excel allows you to read this threaded comment; however, any edits to it will get removed if the file is opened in a newer version of Excel. Learn more: https://go.microsoft.com/fwlink/?linkid=870924
Comment:
    USD 58,000 for regular ambulance for Ghodowah in Sep 2019
Approximately USD 45,000 for both ICU and regular back in Jan 2017</t>
      </text>
    </comment>
    <comment ref="H14" authorId="10" shapeId="0" xr:uid="{D201B0D5-E1F2-48CC-ADA8-650B24C87952}">
      <text>
        <t>[Threaded comment]
Your version of Excel allows you to read this threaded comment; however, any edits to it will get removed if the file is opened in a newer version of Excel. Learn more: https://go.microsoft.com/fwlink/?linkid=870924
Comment:
    3 already delivered as test case.</t>
      </text>
    </comment>
    <comment ref="J14" authorId="11" shapeId="0" xr:uid="{85896FDA-8024-4FDA-A826-53DA0E58169C}">
      <text>
        <t xml:space="preserve">[Threaded comment]
Your version of Excel allows you to read this threaded comment; however, any edits to it will get removed if the file is opened in a newer version of Excel. Learn more: https://go.microsoft.com/fwlink/?linkid=870924
Comment:
    Based on SFL Procurement Monitoring cost breakdown Cost Reconciliation tab Rows 4&amp;5
</t>
      </text>
    </comment>
    <comment ref="Z22" authorId="12" shapeId="0" xr:uid="{91AEA554-7E4C-4B8E-A568-73204EFA1431}">
      <text>
        <t>[Threaded comment]
Your version of Excel allows you to read this threaded comment; however, any edits to it will get removed if the file is opened in a newer version of Excel. Learn more: https://go.microsoft.com/fwlink/?linkid=870924
Comment:
    Japan - PO 4936 @ US$ 14,080</t>
      </text>
    </comment>
    <comment ref="Z23" authorId="13" shapeId="0" xr:uid="{58DE6AAC-C486-43A3-997F-FB18B95A23E7}">
      <text>
        <t>[Threaded comment]
Your version of Excel allows you to read this threaded comment; however, any edits to it will get removed if the file is opened in a newer version of Excel. Learn more: https://go.microsoft.com/fwlink/?linkid=870924
Comment:
    Korea - PO 4831 @ US$ 10,844</t>
      </text>
    </comment>
    <comment ref="Z25" authorId="14" shapeId="0" xr:uid="{A7D62C77-11F7-48E8-BDAB-2A4F4C0EC563}">
      <text>
        <t>[Threaded comment]
Your version of Excel allows you to read this threaded comment; however, any edits to it will get removed if the file is opened in a newer version of Excel. Learn more: https://go.microsoft.com/fwlink/?linkid=870924
Comment:
    KfW - PO 5430 @US$ 11,416</t>
      </text>
    </comment>
    <comment ref="AA25" authorId="15" shapeId="0" xr:uid="{EC3B568F-1F97-4F2D-A0E2-1C5F2224F48C}">
      <text>
        <t>[Threaded comment]
Your version of Excel allows you to read this threaded comment; however, any edits to it will get removed if the file is opened in a newer version of Excel. Learn more: https://go.microsoft.com/fwlink/?linkid=870924
Comment:
    KfW @ US$ 11,416 under 112158</t>
      </text>
    </comment>
    <comment ref="Z26" authorId="16" shapeId="0" xr:uid="{85661C28-A9AB-4DDB-B851-6099014F0E34}">
      <text>
        <t>[Threaded comment]
Your version of Excel allows you to read this threaded comment; however, any edits to it will get removed if the file is opened in a newer version of Excel. Learn more: https://go.microsoft.com/fwlink/?linkid=870924
Comment:
    As per info on GJLE reversal from Korea, provided by Basma on 24 Feb 2022</t>
      </text>
    </comment>
    <comment ref="F30" authorId="17" shapeId="0" xr:uid="{17F61C9C-7A90-453B-A5AE-5CB42AB33501}">
      <text>
        <t>[Threaded comment]
Your version of Excel allows you to read this threaded comment; however, any edits to it will get removed if the file is opened in a newer version of Excel. Learn more: https://go.microsoft.com/fwlink/?linkid=870924
Comment:
    estimated at $100,000</t>
      </text>
    </comment>
    <comment ref="F31" authorId="18" shapeId="0" xr:uid="{E61D9CCD-A662-48FB-A48D-9DEB5D738DC9}">
      <text>
        <t>[Threaded comment]
Your version of Excel allows you to read this threaded comment; however, any edits to it will get removed if the file is opened in a newer version of Excel. Learn more: https://go.microsoft.com/fwlink/?linkid=870924
Comment:
    estimated at $100,000</t>
      </text>
    </comment>
    <comment ref="F32" authorId="19" shapeId="0" xr:uid="{2EBCB3FC-8B42-4CA9-BAAB-FE4B833041DB}">
      <text>
        <t>[Threaded comment]
Your version of Excel allows you to read this threaded comment; however, any edits to it will get removed if the file is opened in a newer version of Excel. Learn more: https://go.microsoft.com/fwlink/?linkid=870924
Comment:
    estimated at $100,000</t>
      </text>
    </comment>
    <comment ref="Z35" authorId="20" shapeId="0" xr:uid="{EB0C4832-56B6-4EAA-B2C1-EAE77A2C51DF}">
      <text>
        <t>[Threaded comment]
Your version of Excel allows you to read this threaded comment; however, any edits to it will get removed if the file is opened in a newer version of Excel. Learn more: https://go.microsoft.com/fwlink/?linkid=870924
Comment:
    KfW - US$ 119,427.89 transferred from Netherlands through GLJE (in process)</t>
      </text>
    </comment>
    <comment ref="J37" authorId="21" shapeId="0" xr:uid="{E063257C-C927-44A5-9E0F-3AA48B170106}">
      <text>
        <t>[Threaded comment]
Your version of Excel allows you to read this threaded comment; however, any edits to it will get removed if the file is opened in a newer version of Excel. Learn more: https://go.microsoft.com/fwlink/?linkid=870924
Comment:
    Based on SFL Procurement Monitoring cost breakdown Cost Reconciliation tab Rows 4&amp;5</t>
      </text>
    </comment>
    <comment ref="J51" authorId="22" shapeId="0" xr:uid="{2799534F-6FC8-4CE6-AFBD-F71AEB338348}">
      <text>
        <t xml:space="preserve">[Threaded comment]
Your version of Excel allows you to read this threaded comment; however, any edits to it will get removed if the file is opened in a newer version of Excel. Learn more: https://go.microsoft.com/fwlink/?linkid=870924
Comment:
    PO 4626 for transportation of 3 ambulances to Bani walid
</t>
      </text>
    </comment>
    <comment ref="Z51" authorId="23" shapeId="0" xr:uid="{800F3424-B6E2-45E8-9357-AA2E4E6BC5A6}">
      <text>
        <t>[Threaded comment]
Your version of Excel allows you to read this threaded comment; however, any edits to it will get removed if the file is opened in a newer version of Excel. Learn more: https://go.microsoft.com/fwlink/?linkid=870924
Comment:
    Denmark - PO 4626 @ US$ 6,575</t>
      </text>
    </comment>
    <comment ref="Z52" authorId="24" shapeId="0" xr:uid="{23F23E9C-7A4C-4473-85D7-2FA3D4659235}">
      <text>
        <t>[Threaded comment]
Your version of Excel allows you to read this threaded comment; however, any edits to it will get removed if the file is opened in a newer version of Excel. Learn more: https://go.microsoft.com/fwlink/?linkid=870924
Comment:
    KfW - @ US$ 335,223.44 transferred from Italy through GLJE 7164218</t>
      </text>
    </comment>
    <comment ref="Z58" authorId="25" shapeId="0" xr:uid="{4B36A4EB-EDB8-4747-AB44-5C7ED41F2A90}">
      <text>
        <t>[Threaded comment]
Your version of Excel allows you to read this threaded comment; however, any edits to it will get removed if the file is opened in a newer version of Excel. Learn more: https://go.microsoft.com/fwlink/?linkid=870924
Comment:
    Italy  - PO 4005 @ US$ 43,885.27  for shipment of 14 generators
Denmark - PO 4704 @ US$ 3,846.15</t>
      </text>
    </comment>
    <comment ref="Z62" authorId="26" shapeId="0" xr:uid="{B52B212F-B03D-48DC-9EBB-C703D0F39655}">
      <text>
        <t>[Threaded comment]
Your version of Excel allows you to read this threaded comment; however, any edits to it will get removed if the file is opened in a newer version of Excel. Learn more: https://go.microsoft.com/fwlink/?linkid=870924
Comment:
    Netherlands - PO 6746 @ US$ 57,248.81 for retention amount</t>
      </text>
    </comment>
    <comment ref="J63" authorId="27" shapeId="0" xr:uid="{6162AA11-CA17-459F-9B56-9AAC950F0893}">
      <text>
        <t>[Threaded comment]
Your version of Excel allows you to read this threaded comment; however, any edits to it will get removed if the file is opened in a newer version of Excel. Learn more: https://go.microsoft.com/fwlink/?linkid=870924
Comment:
    Based on SFL Procurement Monitoring cost breakdown Cost Reconciliation tab Rows 4&amp;5</t>
      </text>
    </comment>
    <comment ref="Z63" authorId="28" shapeId="0" xr:uid="{9ECA464A-5290-4482-9597-889CF01F7CE2}">
      <text>
        <t>[Threaded comment]
Your version of Excel allows you to read this threaded comment; however, any edits to it will get removed if the file is opened in a newer version of Excel. Learn more: https://go.microsoft.com/fwlink/?linkid=870924
Comment:
    Denmark - PO 4626 @ US$ 6,575</t>
      </text>
    </comment>
    <comment ref="J64" authorId="29" shapeId="0" xr:uid="{26854ABC-F155-48AE-91A7-C350A78E2C89}">
      <text>
        <t>[Threaded comment]
Your version of Excel allows you to read this threaded comment; however, any edits to it will get removed if the file is opened in a newer version of Excel. Learn more: https://go.microsoft.com/fwlink/?linkid=870924
Comment:
    $ 237.63 insurance for shipment (non PO voucher-0027332)
516 euros damco demurrage cost-processed to finance on 23 dec 2019
6,501.65 shipment</t>
      </text>
    </comment>
    <comment ref="Z64" authorId="30" shapeId="0" xr:uid="{113696C5-586B-4E14-9F3D-FEF954AEAF8C}">
      <text>
        <t>[Threaded comment]
Your version of Excel allows you to read this threaded comment; however, any edits to it will get removed if the file is opened in a newer version of Excel. Learn more: https://go.microsoft.com/fwlink/?linkid=870924
Comment:
    KfW - PO 5242 @ US$ 6,501.65</t>
      </text>
    </comment>
    <comment ref="AA64" authorId="31" shapeId="0" xr:uid="{7FC31DEB-51CA-49F0-9B9D-6FFFA9C90CFF}">
      <text>
        <t>[Threaded comment]
Your version of Excel allows you to read this threaded comment; however, any edits to it will get removed if the file is opened in a newer version of Excel. Learn more: https://go.microsoft.com/fwlink/?linkid=870924
Comment:
    KfW - PO 5242 @ US$ 6,501.65 under 112158</t>
      </text>
    </comment>
    <comment ref="R66" authorId="32" shapeId="0" xr:uid="{C4412527-96CD-4158-9FD3-5CE0387E9EB5}">
      <text>
        <t>[Threaded comment]
Your version of Excel allows you to read this threaded comment; however, any edits to it will get removed if the file is opened in a newer version of Excel. Learn more: https://go.microsoft.com/fwlink/?linkid=870924
Comment:
    1 - 8 Feb 2018</t>
      </text>
    </comment>
    <comment ref="Z67" authorId="33" shapeId="0" xr:uid="{CEF216E9-5373-4698-B340-A415CD9BC234}">
      <text>
        <t>[Threaded comment]
Your version of Excel allows you to read this threaded comment; however, any edits to it will get removed if the file is opened in a newer version of Excel. Learn more: https://go.microsoft.com/fwlink/?linkid=870924
Comment:
    Italy  - PO 4005 @ US$ 43,885.27  for shipment of 14 generators
Denmark - PO 4704 @ US$ 3,846.15</t>
      </text>
    </comment>
    <comment ref="F69" authorId="34" shapeId="0" xr:uid="{26BE0925-0860-456A-8853-5A9DD1CC6D86}">
      <text>
        <t>[Threaded comment]
Your version of Excel allows you to read this threaded comment; however, any edits to it will get removed if the file is opened in a newer version of Excel. Learn more: https://go.microsoft.com/fwlink/?linkid=870924
Comment:
    estimated $55000</t>
      </text>
    </comment>
    <comment ref="F70" authorId="35" shapeId="0" xr:uid="{B09A544E-3D69-4CEA-B105-CC6450AB9382}">
      <text>
        <t>[Threaded comment]
Your version of Excel allows you to read this threaded comment; however, any edits to it will get removed if the file is opened in a newer version of Excel. Learn more: https://go.microsoft.com/fwlink/?linkid=870924
Comment:
    estimated $30000</t>
      </text>
    </comment>
    <comment ref="J71" authorId="36" shapeId="0" xr:uid="{A3BB96E1-4C6E-45DC-8866-026B083A9A99}">
      <text>
        <t>[Threaded comment]
Your version of Excel allows you to read this threaded comment; however, any edits to it will get removed if the file is opened in a newer version of Excel. Learn more: https://go.microsoft.com/fwlink/?linkid=870924
Comment:
    US$ 299.25 insurance for delivery of goods.</t>
      </text>
    </comment>
    <comment ref="Z71" authorId="37" shapeId="0" xr:uid="{E13E2C3C-B4EB-41C7-A057-9BCCF6579FB1}">
      <text>
        <t>[Threaded comment]
Your version of Excel allows you to read this threaded comment; however, any edits to it will get removed if the file is opened in a newer version of Excel. Learn more: https://go.microsoft.com/fwlink/?linkid=870924
Comment:
    UK - PO 5102 @ US$ 7,146.04</t>
      </text>
    </comment>
    <comment ref="J72" authorId="38" shapeId="0" xr:uid="{F4EF13EB-02ED-489F-A6A4-8F52DA657207}">
      <text>
        <t>[Threaded comment]
Your version of Excel allows you to read this threaded comment; however, any edits to it will get removed if the file is opened in a newer version of Excel. Learn more: https://go.microsoft.com/fwlink/?linkid=870924
Comment:
    payment of shipping services for 6 pcs</t>
      </text>
    </comment>
    <comment ref="Z72" authorId="39" shapeId="0" xr:uid="{64FD1270-80C7-487D-B29E-4928F00D06EC}">
      <text>
        <t>[Threaded comment]
Your version of Excel allows you to read this threaded comment; however, any edits to it will get removed if the file is opened in a newer version of Excel. Learn more: https://go.microsoft.com/fwlink/?linkid=870924
Comment:
    USAID - PO 5089 @ US$ 7,554.95</t>
      </text>
    </comment>
    <comment ref="AA72" authorId="40" shapeId="0" xr:uid="{FE1E9556-D1E8-4144-8F22-5B3E0713E6A8}">
      <text>
        <t>[Threaded comment]
Your version of Excel allows you to read this threaded comment; however, any edits to it will get removed if the file is opened in a newer version of Excel. Learn more: https://go.microsoft.com/fwlink/?linkid=870924
Comment:
    USAID - PO 5089 @ US$ 7,554.95 under 112158</t>
      </text>
    </comment>
    <comment ref="H74" authorId="41" shapeId="0" xr:uid="{BEDAE604-9E75-4273-ABED-2E3A36DC5CCC}">
      <text>
        <t>[Threaded comment]
Your version of Excel allows you to read this threaded comment; however, any edits to it will get removed if the file is opened in a newer version of Excel. Learn more: https://go.microsoft.com/fwlink/?linkid=870924
Comment:
    Includes transportation to palm city</t>
      </text>
    </comment>
    <comment ref="J74" authorId="42" shapeId="0" xr:uid="{758AB971-F3B6-45FD-A2A3-299808CECC28}">
      <text>
        <t>[Threaded comment]
Your version of Excel allows you to read this threaded comment; however, any edits to it will get removed if the file is opened in a newer version of Excel. Learn more: https://go.microsoft.com/fwlink/?linkid=870924
Comment:
    Includes transportation to palm city</t>
      </text>
    </comment>
    <comment ref="Z74" authorId="43" shapeId="0" xr:uid="{E31C0EC2-C50B-4400-B28E-C73856826754}">
      <text>
        <t>[Threaded comment]
Your version of Excel allows you to read this threaded comment; however, any edits to it will get removed if the file is opened in a newer version of Excel. Learn more: https://go.microsoft.com/fwlink/?linkid=870924
Comment:
    Korea - PO 4832 @ US$ 5,835.23
Japan - PO 4704 @ US$ 3,226.18</t>
      </text>
    </comment>
    <comment ref="Z75" authorId="44" shapeId="0" xr:uid="{90D3528C-4CA7-4673-B9A8-DBA8E958A201}">
      <text>
        <t>[Threaded comment]
Your version of Excel allows you to read this threaded comment; however, any edits to it will get removed if the file is opened in a newer version of Excel. Learn more: https://go.microsoft.com/fwlink/?linkid=870924
Comment:
    Japan - PO 4997 @ US$ 11,178.45</t>
      </text>
    </comment>
    <comment ref="F76" authorId="45" shapeId="0" xr:uid="{66937AE3-A44C-4EF8-8A94-861D1B6F0A7D}">
      <text>
        <t>[Threaded comment]
Your version of Excel allows you to read this threaded comment; however, any edits to it will get removed if the file is opened in a newer version of Excel. Learn more: https://go.microsoft.com/fwlink/?linkid=870924
Comment:
    estimated $25000</t>
      </text>
    </comment>
    <comment ref="Z77" authorId="46" shapeId="0" xr:uid="{17C0C60B-3239-406A-AFDA-55D48DAED1A3}">
      <text>
        <t>[Threaded comment]
Your version of Excel allows you to read this threaded comment; however, any edits to it will get removed if the file is opened in a newer version of Excel. Learn more: https://go.microsoft.com/fwlink/?linkid=870924
Comment:
    KfW - @ US$ 335,223.44 transferred from Italy through GLJE 7164218</t>
      </text>
    </comment>
    <comment ref="H82" authorId="47" shapeId="0" xr:uid="{9458AB69-1F98-43A0-AA4A-0C1953B835CD}">
      <text>
        <t>[Threaded comment]
Your version of Excel allows you to read this threaded comment; however, any edits to it will get removed if the file is opened in a newer version of Excel. Learn more: https://go.microsoft.com/fwlink/?linkid=870924
Comment:
    initial amount reflected as per PO 3975</t>
      </text>
    </comment>
    <comment ref="N85" authorId="48" shapeId="0" xr:uid="{B2160D66-B0E3-4BEF-AAF9-9096FD5E76D5}">
      <text>
        <t>[Threaded comment]
Your version of Excel allows you to read this threaded comment; however, any edits to it will get removed if the file is opened in a newer version of Excel. Learn more: https://go.microsoft.com/fwlink/?linkid=870924
Comment:
    amendmend signed on 28 August 17</t>
      </text>
    </comment>
    <comment ref="Z85" authorId="49" shapeId="0" xr:uid="{3B6EFAEA-15A6-4FE9-8208-7A4BA4767EDE}">
      <text>
        <t>[Threaded comment]
Your version of Excel allows you to read this threaded comment; however, any edits to it will get removed if the file is opened in a newer version of Excel. Learn more: https://go.microsoft.com/fwlink/?linkid=870924
Comment:
    KfW - PO 4440 @ US$ 19,133</t>
      </text>
    </comment>
    <comment ref="Z87" authorId="50" shapeId="0" xr:uid="{0E2A1075-0130-4DAA-89F9-E19AF8A964B1}">
      <text>
        <t>[Threaded comment]
Your version of Excel allows you to read this threaded comment; however, any edits to it will get removed if the file is opened in a newer version of Excel. Learn more: https://go.microsoft.com/fwlink/?linkid=870924
Comment:
    GoL - 6498 for retention @ US$ 26,232.50</t>
      </text>
    </comment>
    <comment ref="F89" authorId="51" shapeId="0" xr:uid="{5A7C6ECB-3D81-4CAA-BEB3-17729604E842}">
      <text>
        <t xml:space="preserve">[Threaded comment]
Your version of Excel allows you to read this threaded comment; however, any edits to it will get removed if the file is opened in a newer version of Excel. Learn more: https://go.microsoft.com/fwlink/?linkid=870924
Comment:
    200 bins for $95,667 
</t>
      </text>
    </comment>
    <comment ref="Z99" authorId="52" shapeId="0" xr:uid="{A591F936-7AC4-4BE8-B424-6571CE93EE92}">
      <text>
        <t>[Threaded comment]
Your version of Excel allows you to read this threaded comment; however, any edits to it will get removed if the file is opened in a newer version of Excel. Learn more: https://go.microsoft.com/fwlink/?linkid=870924
Comment:
    US$ 29,750 transferred to KfW from Norway through GLJE 7164218</t>
      </text>
    </comment>
    <comment ref="Z100" authorId="53" shapeId="0" xr:uid="{B26A35DE-E1A4-4E0B-8B5C-DB825F981BDD}">
      <text>
        <t>[Threaded comment]
Your version of Excel allows you to read this threaded comment; however, any edits to it will get removed if the file is opened in a newer version of Excel. Learn more: https://go.microsoft.com/fwlink/?linkid=870924
Comment:
    US$ 29,750 transferred to KfW from Norway through GLJE 7164218</t>
      </text>
    </comment>
    <comment ref="Z101" authorId="54" shapeId="0" xr:uid="{43E82E20-D2F5-46F3-8AF2-75938665C01A}">
      <text>
        <t>[Threaded comment]
Your version of Excel allows you to read this threaded comment; however, any edits to it will get removed if the file is opened in a newer version of Excel. Learn more: https://go.microsoft.com/fwlink/?linkid=870924
Comment:
    US$ 29,750 transferred to KfW from Norway through GLJE 7164218</t>
      </text>
    </comment>
    <comment ref="Z102" authorId="55" shapeId="0" xr:uid="{AF35D304-AA0F-41C1-833B-4B873A75664B}">
      <text>
        <t>[Threaded comment]
Your version of Excel allows you to read this threaded comment; however, any edits to it will get removed if the file is opened in a newer version of Excel. Learn more: https://go.microsoft.com/fwlink/?linkid=870924
Comment:
    US$ 29,750 transferred to KfW from Norway through GLJE 7164218</t>
      </text>
    </comment>
    <comment ref="H105" authorId="56" shapeId="0" xr:uid="{2181D913-5964-4EA1-8018-0F7A1C744275}">
      <text>
        <t>[Threaded comment]
Your version of Excel allows you to read this threaded comment; however, any edits to it will get removed if the file is opened in a newer version of Excel. Learn more: https://go.microsoft.com/fwlink/?linkid=870924
Comment:
    100000 allocation shifted to tawergha case (PO 5364)</t>
      </text>
    </comment>
    <comment ref="J105" authorId="57" shapeId="0" xr:uid="{2C13C776-671F-43B7-88C1-E9D290AA55B4}">
      <text>
        <t>[Threaded comment]
Your version of Excel allows you to read this threaded comment; however, any edits to it will get removed if the file is opened in a newer version of Excel. Learn more: https://go.microsoft.com/fwlink/?linkid=870924
Comment:
    100000 allocation shifted to tawergha case (PO 5364)</t>
      </text>
    </comment>
    <comment ref="Z105" authorId="58" shapeId="0" xr:uid="{62F853FA-0AF2-431E-9B6E-93AD3768D42A}">
      <text>
        <t>[Threaded comment]
Your version of Excel allows you to read this threaded comment; however, any edits to it will get removed if the file is opened in a newer version of Excel. Learn more: https://go.microsoft.com/fwlink/?linkid=870924
Comment:
    KfW - GP600439-1 @ US$ 2,700 transferred from Italy Through GLJE 7164218
Korea- GP600439-2 @ US$ 59,900
KfW- GP600439-2 &amp; GP600439-8 @ US$ 60,935.05
Japan- GP600439-3 @ US$ 71,689.49
Norway- GP600439-4 @ US$ 13,468.01</t>
      </text>
    </comment>
    <comment ref="Z106" authorId="59" shapeId="0" xr:uid="{C9788ED5-EECA-4B6C-95A3-0B57D24F8F0D}">
      <text>
        <t>[Threaded comment]
Your version of Excel allows you to read this threaded comment; however, any edits to it will get removed if the file is opened in a newer version of Excel. Learn more: https://go.microsoft.com/fwlink/?linkid=870924
Comment:
    KfW - PO 4409 @ US$ 119,099.78
Denmark - PO 4699 @ US$ 5,565.07
EU - PO 4592 @ US$ 9,250
USAID - PO 4338 @ US$ 245,880.4 transferred from France through GLJE 7686419</t>
      </text>
    </comment>
    <comment ref="F107" authorId="60" shapeId="0" xr:uid="{5764538A-BEF0-423A-8EF8-6B8854E39ACA}">
      <text>
        <t>[Threaded comment]
Your version of Excel allows you to read this threaded comment; however, any edits to it will get removed if the file is opened in a newer version of Excel. Learn more: https://go.microsoft.com/fwlink/?linkid=870924
Comment:
    Need to check if there is transport cost under a different PO.</t>
      </text>
    </comment>
    <comment ref="Z107" authorId="61" shapeId="0" xr:uid="{AA05E89A-F0DD-4248-8812-EFBC02D738DD}">
      <text>
        <t>[Threaded comment]
Your version of Excel allows you to read this threaded comment; however, any edits to it will get removed if the file is opened in a newer version of Excel. Learn more: https://go.microsoft.com/fwlink/?linkid=870924
Comment:
    255,036.4 transferred to USAID from Norway through GLJE 7686419</t>
      </text>
    </comment>
    <comment ref="H111" authorId="62" shapeId="0" xr:uid="{31C32DD7-4076-431E-BE63-66ACEF707AEE}">
      <text>
        <t xml:space="preserve">[Threaded comment]
Your version of Excel allows you to read this threaded comment; however, any edits to it will get removed if the file is opened in a newer version of Excel. Learn more: https://go.microsoft.com/fwlink/?linkid=870924
Comment:
    includes shipment by air and sea
</t>
      </text>
    </comment>
    <comment ref="Z125" authorId="63" shapeId="0" xr:uid="{2A02723D-4C9F-460C-B67E-1292374D18B0}">
      <text>
        <t>[Threaded comment]
Your version of Excel allows you to read this threaded comment; however, any edits to it will get removed if the file is opened in a newer version of Excel. Learn more: https://go.microsoft.com/fwlink/?linkid=870924
Comment:
    Korea - PO GP-2 @ US$ 4,914.29
Korea - PO 4792 @ US$ 1,934.01 for transport</t>
      </text>
    </comment>
    <comment ref="Z128" authorId="64" shapeId="0" xr:uid="{3AAB664C-5D6B-4BBA-84BD-3E0CE7D0E7DB}">
      <text>
        <t>[Threaded comment]
Your version of Excel allows you to read this threaded comment; however, any edits to it will get removed if the file is opened in a newer version of Excel. Learn more: https://go.microsoft.com/fwlink/?linkid=870924
Comment:
    Transferred from Italy through GLJE 7164218</t>
      </text>
    </comment>
    <comment ref="Z131" authorId="65" shapeId="0" xr:uid="{DF256079-F058-4590-9F6A-E6590CE407D9}">
      <text>
        <t>[Threaded comment]
Your version of Excel allows you to read this threaded comment; however, any edits to it will get removed if the file is opened in a newer version of Excel. Learn more: https://go.microsoft.com/fwlink/?linkid=870924
Comment:
    France - PO 4754 @ US$ 394,093.35
Canada - PO 4754 @ US$ 82,957.77 
USAID - PO 4754 @ US$ 33,393.57
Japan - PO 5080 @ US$ 17,502.76</t>
      </text>
    </comment>
    <comment ref="AA131" authorId="66" shapeId="0" xr:uid="{01FF78E2-F9D0-4E72-8F36-C404FFFCBF7A}">
      <text>
        <t>[Threaded comment]
Your version of Excel allows you to read this threaded comment; however, any edits to it will get removed if the file is opened in a newer version of Excel. Learn more: https://go.microsoft.com/fwlink/?linkid=870924
Comment:
    Japan - PO 5080 @ US$ 17,502.76 under 112158</t>
      </text>
    </comment>
    <comment ref="H132" authorId="67" shapeId="0" xr:uid="{84EAB7CF-1E5C-497B-8079-0BF03F9F4B48}">
      <text>
        <t>[Threaded comment]
Your version of Excel allows you to read this threaded comment; however, any edits to it will get removed if the file is opened in a newer version of Excel. Learn more: https://go.microsoft.com/fwlink/?linkid=870924
Comment:
    Includes transportation to Palm city
$39.28 for insurance of shipment (non PO voucher 00028950)</t>
      </text>
    </comment>
    <comment ref="Z132" authorId="68" shapeId="0" xr:uid="{9EF0B8BD-9777-441D-84B8-7B328C5E0E17}">
      <text>
        <t>[Threaded comment]
Your version of Excel allows you to read this threaded comment; however, any edits to it will get removed if the file is opened in a newer version of Excel. Learn more: https://go.microsoft.com/fwlink/?linkid=870924
Comment:
    Korea - PO 4832 @ US$ 15,202.31
KfW - PO 5259 @ US$ 9.349.5</t>
      </text>
    </comment>
    <comment ref="AA132" authorId="69" shapeId="0" xr:uid="{7A55B340-880C-47BF-9646-AC58603CC14A}">
      <text>
        <t>[Threaded comment]
Your version of Excel allows you to read this threaded comment; however, any edits to it will get removed if the file is opened in a newer version of Excel. Learn more: https://go.microsoft.com/fwlink/?linkid=870924
Comment:
    KfW - PO 5259 @ US$ 9.349.5 under 112158
EU - PO 5318 @ US$ 9,318.68 under 112158
EU - PO 5344 @ US$ 16,307.69 under 112158</t>
      </text>
    </comment>
    <comment ref="Z133" authorId="70" shapeId="0" xr:uid="{FA84C8BD-7376-415D-A3F4-9AC907020BB8}">
      <text>
        <t>[Threaded comment]
Your version of Excel allows you to read this threaded comment; however, any edits to it will get removed if the file is opened in a newer version of Excel. Learn more: https://go.microsoft.com/fwlink/?linkid=870924
Comment:
    Japan - PO 5528 @ US$ 5,714.5</t>
      </text>
    </comment>
    <comment ref="J134" authorId="71" shapeId="0" xr:uid="{F2250816-A61C-477D-9E58-EB2E97AA1D83}">
      <text>
        <t>[Threaded comment]
Your version of Excel allows you to read this threaded comment; however, any edits to it will get removed if the file is opened in a newer version of Excel. Learn more: https://go.microsoft.com/fwlink/?linkid=870924
Comment:
    $ 118.81  insurance for shipment (non PO voucher-0027332)</t>
      </text>
    </comment>
    <comment ref="Z134" authorId="72" shapeId="0" xr:uid="{8A02E0DF-11FB-4B84-94D8-8E24B05C7A3B}">
      <text>
        <t>[Threaded comment]
Your version of Excel allows you to read this threaded comment; however, any edits to it will get removed if the file is opened in a newer version of Excel. Learn more: https://go.microsoft.com/fwlink/?linkid=870924
Comment:
    Germany (KfW)-PO 5241 @ US$ 6,668.77
USAID-PO 5222 @ US$ 13,076.92</t>
      </text>
    </comment>
    <comment ref="AA134" authorId="73" shapeId="0" xr:uid="{05EBFAF3-1B1F-4864-9391-7A3D55D6D179}">
      <text>
        <t>[Threaded comment]
Your version of Excel allows you to read this threaded comment; however, any edits to it will get removed if the file is opened in a newer version of Excel. Learn more: https://go.microsoft.com/fwlink/?linkid=870924
Comment:
    USAID-PO 5222 @ US$ 13,076.92 under 98720</t>
      </text>
    </comment>
    <comment ref="Z135" authorId="74" shapeId="0" xr:uid="{D92F3E54-3842-44F8-BE46-06D10E19147D}">
      <text>
        <t>[Threaded comment]
Your version of Excel allows you to read this threaded comment; however, any edits to it will get removed if the file is opened in a newer version of Excel. Learn more: https://go.microsoft.com/fwlink/?linkid=870924
Comment:
    Italy - PO 5071 @ US$ 8,615.97
Japan - PO 5632 @ US$ 8,825.09
Japan - PO 5633 @ US$ 34,596.94
UK - PO 6115 @ US$ 900</t>
      </text>
    </comment>
    <comment ref="AA135" authorId="75" shapeId="0" xr:uid="{31DF15D2-DBF0-444B-A766-105FCEF8D2B4}">
      <text>
        <t>[Threaded comment]
Your version of Excel allows you to read this threaded comment; however, any edits to it will get removed if the file is opened in a newer version of Excel. Learn more: https://go.microsoft.com/fwlink/?linkid=870924
Comment:
    Japan - PO 5632 @ US$ 8,825.09 under 112158
Japan - PO 5633 @ US$ 34,596.94 under 112158</t>
      </text>
    </comment>
    <comment ref="F136" authorId="76" shapeId="0" xr:uid="{5CA39974-4B1F-4352-BC77-9972396CEDAA}">
      <text>
        <t>[Threaded comment]
Your version of Excel allows you to read this threaded comment; however, any edits to it will get removed if the file is opened in a newer version of Excel. Learn more: https://go.microsoft.com/fwlink/?linkid=870924
Comment:
    Initially advertised in 2 April 2020. Readvertised in September 2020 for 2 wks.
Readvertised in 6 January 2022 for 3rd time
Readvertised on 18 July 2022</t>
      </text>
    </comment>
    <comment ref="H136" authorId="77" shapeId="0" xr:uid="{9F35F88A-4A3E-478E-A153-F86107EA1344}">
      <text>
        <t>[Threaded comment]
Your version of Excel allows you to read this threaded comment; however, any edits to it will get removed if the file is opened in a newer version of Excel. Learn more: https://go.microsoft.com/fwlink/?linkid=870924
Comment:
    updated engineering estimate</t>
      </text>
    </comment>
    <comment ref="F137" authorId="78" shapeId="0" xr:uid="{EC7026B1-E280-4067-812A-5FDD2958BF09}">
      <text>
        <t>[Threaded comment]
Your version of Excel allows you to read this threaded comment; however, any edits to it will get removed if the file is opened in a newer version of Excel. Learn more: https://go.microsoft.com/fwlink/?linkid=870924
Comment:
    estiamted at $20,000</t>
      </text>
    </comment>
    <comment ref="F138" authorId="79" shapeId="0" xr:uid="{4A672D01-03BC-4D8B-ACFA-2508CB7B34E0}">
      <text>
        <t>[Threaded comment]
Your version of Excel allows you to read this threaded comment; however, any edits to it will get removed if the file is opened in a newer version of Excel. Learn more: https://go.microsoft.com/fwlink/?linkid=870924
Comment:
    estimated at $130,000</t>
      </text>
    </comment>
    <comment ref="J142" authorId="80" shapeId="0" xr:uid="{966883A7-D374-4E6C-9A33-42C07836ADE5}">
      <text>
        <t>[Threaded comment]
Your version of Excel allows you to read this threaded comment; however, any edits to it will get removed if the file is opened in a newer version of Excel. Learn more: https://go.microsoft.com/fwlink/?linkid=870924
Comment:
    formerly =712320+56000</t>
      </text>
    </comment>
    <comment ref="Z144" authorId="81" shapeId="0" xr:uid="{E0C8F9B3-861E-458D-8D2D-016A093CA978}">
      <text>
        <t>[Threaded comment]
Your version of Excel allows you to read this threaded comment; however, any edits to it will get removed if the file is opened in a newer version of Excel. Learn more: https://go.microsoft.com/fwlink/?linkid=870924
Comment:
    US$ 198,410.47 transferred to KfW from USDoS through GLJE 7299501</t>
      </text>
    </comment>
    <comment ref="Z147" authorId="82" shapeId="0" xr:uid="{6D1BAAC5-4B5F-4423-82E8-189CAFAECD74}">
      <text>
        <t>[Threaded comment]
Your version of Excel allows you to read this threaded comment; however, any edits to it will get removed if the file is opened in a newer version of Excel. Learn more: https://go.microsoft.com/fwlink/?linkid=870924
Comment:
    Demark - GP405127-1 (one line) @ US$ 10,416.48</t>
      </text>
    </comment>
    <comment ref="H150" authorId="83" shapeId="0" xr:uid="{E1ABC2C6-B302-43CA-8BA3-AA5B5FECBD8B}">
      <text>
        <t xml:space="preserve">[Threaded comment]
Your version of Excel allows you to read this threaded comment; however, any edits to it will get removed if the file is opened in a newer version of Excel. Learn more: https://go.microsoft.com/fwlink/?linkid=870924
Comment:
    Add cost for transportation once PO is raised
</t>
      </text>
    </comment>
    <comment ref="J157" authorId="84" shapeId="0" xr:uid="{C0D151BE-BE10-435E-90B1-25F641268398}">
      <text>
        <t xml:space="preserve">[Threaded comment]
Your version of Excel allows you to read this threaded comment; however, any edits to it will get removed if the file is opened in a newer version of Excel. Learn more: https://go.microsoft.com/fwlink/?linkid=870924
Comment:
    Includes delivery cost
</t>
      </text>
    </comment>
    <comment ref="Z158" authorId="85" shapeId="0" xr:uid="{CCAD8276-CB78-4A41-A8F7-13248FA85C3C}">
      <text>
        <t>[Threaded comment]
Your version of Excel allows you to read this threaded comment; however, any edits to it will get removed if the file is opened in a newer version of Excel. Learn more: https://go.microsoft.com/fwlink/?linkid=870924
Comment:
    Italy - US$ 173,303.93 transferred from UK through GLJE 8676295</t>
      </text>
    </comment>
    <comment ref="Z161" authorId="86" shapeId="0" xr:uid="{D9F6A83E-1558-4718-BE14-2F7F38744A42}">
      <text>
        <t>[Threaded comment]
Your version of Excel allows you to read this threaded comment; however, any edits to it will get removed if the file is opened in a newer version of Excel. Learn more: https://go.microsoft.com/fwlink/?linkid=870924
Comment:
    Netherlands - PO 6745 @ US$ 22,695.11 for retention</t>
      </text>
    </comment>
    <comment ref="J163" authorId="87" shapeId="0" xr:uid="{3812C4CE-F8B7-403E-9C39-6361B2881E13}">
      <text>
        <t>[Threaded comment]
Your version of Excel allows you to read this threaded comment; however, any edits to it will get removed if the file is opened in a newer version of Excel. Learn more: https://go.microsoft.com/fwlink/?linkid=870924
Comment:
    1040.86 insurance for shipment of 4 from Belgium to Tripoli</t>
      </text>
    </comment>
    <comment ref="Z163" authorId="88" shapeId="0" xr:uid="{B5A8AF3F-BDE8-4D1D-91CD-7865862970B6}">
      <text>
        <t>[Threaded comment]
Your version of Excel allows you to read this threaded comment; however, any edits to it will get removed if the file is opened in a newer version of Excel. Learn more: https://go.microsoft.com/fwlink/?linkid=870924
Comment:
    Norway - PO 5188 @ US$ 81,619.26</t>
      </text>
    </comment>
    <comment ref="AA163" authorId="89" shapeId="0" xr:uid="{98E6CEF3-4762-4348-B36A-4B2414D8C7C9}">
      <text>
        <t>[Threaded comment]
Your version of Excel allows you to read this threaded comment; however, any edits to it will get removed if the file is opened in a newer version of Excel. Learn more: https://go.microsoft.com/fwlink/?linkid=870924
Comment:
    Japan - PO 5091 @ US$ 20,562.29 under 112158</t>
      </text>
    </comment>
    <comment ref="F166" authorId="90" shapeId="0" xr:uid="{A3DA1F11-4FF4-4FEC-8DA3-8086259D2EA9}">
      <text>
        <t>[Threaded comment]
Your version of Excel allows you to read this threaded comment; however, any edits to it will get removed if the file is opened in a newer version of Excel. Learn more: https://go.microsoft.com/fwlink/?linkid=870924
Comment:
    initial estimate $ 1,500,000</t>
      </text>
    </comment>
    <comment ref="J167" authorId="91" shapeId="0" xr:uid="{D5792E99-A953-4D7F-B3C6-E804E423E573}">
      <text>
        <t>[Threaded comment]
Your version of Excel allows you to read this threaded comment; however, any edits to it will get removed if the file is opened in a newer version of Excel. Learn more: https://go.microsoft.com/fwlink/?linkid=870924
Comment:
    cost of 1 out of 9 garbage trucks</t>
      </text>
    </comment>
    <comment ref="Z167" authorId="92" shapeId="0" xr:uid="{3A1DF75C-DAD7-490D-890E-D76016CA2B2D}">
      <text>
        <t>[Threaded comment]
Your version of Excel allows you to read this threaded comment; however, any edits to it will get removed if the file is opened in a newer version of Excel. Learn more: https://go.microsoft.com/fwlink/?linkid=870924
Comment:
    Korea - PO 4772 @ US$ 8,883.04</t>
      </text>
    </comment>
    <comment ref="Y174" authorId="93" shapeId="0" xr:uid="{AF2FD5D2-765D-4FE8-911D-5560B2CABCD4}">
      <text>
        <t xml:space="preserve">[Threaded comment]
Your version of Excel allows you to read this threaded comment; however, any edits to it will get removed if the file is opened in a newer version of Excel. Learn more: https://go.microsoft.com/fwlink/?linkid=870924
Comment:
    Canada - GP405110-1 @ US$ 614,020.9
MOFA - GP405110-1 @ US$ 151,553.73
USAID - GP405110-3 @ US$ 12,950
</t>
      </text>
    </comment>
    <comment ref="Z174" authorId="94" shapeId="0" xr:uid="{82145E09-CC6D-4C20-B09F-5D496B547C43}">
      <text>
        <t xml:space="preserve">[Threaded comment]
Your version of Excel allows you to read this threaded comment; however, any edits to it will get removed if the file is opened in a newer version of Excel. Learn more: https://go.microsoft.com/fwlink/?linkid=870924
Comment:
    USAID - GP405110-3 @ US$ 12,950 under 112158
</t>
      </text>
    </comment>
    <comment ref="AA174" authorId="95" shapeId="0" xr:uid="{E5CFAFB8-1D69-4024-A18B-9E6FFFE9AC46}">
      <text>
        <t xml:space="preserve">[Threaded comment]
Your version of Excel allows you to read this threaded comment; however, any edits to it will get removed if the file is opened in a newer version of Excel. Learn more: https://go.microsoft.com/fwlink/?linkid=870924
Comment:
    USAID - GP405110-3 @ US$ 12,950 under 112158
</t>
      </text>
    </comment>
    <comment ref="Z201" authorId="96" shapeId="0" xr:uid="{850CA377-70F0-4DC3-B9BF-ADA1104C6FAE}">
      <text>
        <t>[Threaded comment]
Your version of Excel allows you to read this threaded comment; however, any edits to it will get removed if the file is opened in a newer version of Excel. Learn more: https://go.microsoft.com/fwlink/?linkid=870924
Comment:
    Italy - PO 5895 @ US$ 10,245.5 for retention</t>
      </text>
    </comment>
    <comment ref="Z202" authorId="97" shapeId="0" xr:uid="{2335A232-6019-456A-93BD-864C4C3FD40E}">
      <text>
        <t>[Threaded comment]
Your version of Excel allows you to read this threaded comment; however, any edits to it will get removed if the file is opened in a newer version of Excel. Learn more: https://go.microsoft.com/fwlink/?linkid=870924
Comment:
    Italy - PO 5895 @ US$ 10,245.5 for retention</t>
      </text>
    </comment>
    <comment ref="Z203" authorId="98" shapeId="0" xr:uid="{F4EE91C1-E96F-4D7F-83B9-C9DD22B3EFE7}">
      <text>
        <t>[Threaded comment]
Your version of Excel allows you to read this threaded comment; however, any edits to it will get removed if the file is opened in a newer version of Excel. Learn more: https://go.microsoft.com/fwlink/?linkid=870924
Comment:
    Italy - PO 5895 @ US$ 10,245.5 for retention</t>
      </text>
    </comment>
    <comment ref="R278" authorId="99" shapeId="0" xr:uid="{E1CBC6A1-F8CC-47C3-8165-46C56DA024E8}">
      <text>
        <t>[Threaded comment]
Your version of Excel allows you to read this threaded comment; however, any edits to it will get removed if the file is opened in a newer version of Excel. Learn more: https://go.microsoft.com/fwlink/?linkid=870924
Comment:
    completed in march but substantial handover document availed near end of 2019</t>
      </text>
    </comment>
    <comment ref="R279" authorId="100" shapeId="0" xr:uid="{B44860E9-C2F0-49F1-A5AC-C0E42FD732C8}">
      <text>
        <t>[Threaded comment]
Your version of Excel allows you to read this threaded comment; however, any edits to it will get removed if the file is opened in a newer version of Excel. Learn more: https://go.microsoft.com/fwlink/?linkid=870924
Comment:
    completed in march but substantial handover document availed near end of 2019</t>
      </text>
    </comment>
    <comment ref="R280" authorId="101" shapeId="0" xr:uid="{82E0D079-147E-426B-95A6-5019481E95DC}">
      <text>
        <t>[Threaded comment]
Your version of Excel allows you to read this threaded comment; however, any edits to it will get removed if the file is opened in a newer version of Excel. Learn more: https://go.microsoft.com/fwlink/?linkid=870924
Comment:
    completed in march but substantial handover document availed near end of 2019</t>
      </text>
    </comment>
    <comment ref="Z281" authorId="102" shapeId="0" xr:uid="{4DF7AD44-3ACB-46A6-94EB-B03E897B3AB0}">
      <text>
        <t>[Threaded comment]
Your version of Excel allows you to read this threaded comment; however, any edits to it will get removed if the file is opened in a newer version of Excel. Learn more: https://go.microsoft.com/fwlink/?linkid=870924
Comment:
    KfW - US$ 4,845.20 transferred from USAID through GLJE 8630159. This is for PO 4982 for 3 schools Omar Ebn Al-Khatab, Al-Nidhal, and Ebn Al-Hasan Schools</t>
      </text>
    </comment>
    <comment ref="Z282" authorId="103" shapeId="0" xr:uid="{AE7B184D-6AC9-44BC-A48B-249845C6A252}">
      <text>
        <t>[Threaded comment]
Your version of Excel allows you to read this threaded comment; however, any edits to it will get removed if the file is opened in a newer version of Excel. Learn more: https://go.microsoft.com/fwlink/?linkid=870924
Comment:
    KfW - US$ 4,845.20 transferred from USAID through GLJE 8630159. This is for PO 4982 for 3 schools Omar Ebn Al-Khatab, Al-Nidhal, and Ebn Al-Hasan Schools</t>
      </text>
    </comment>
    <comment ref="Z283" authorId="104" shapeId="0" xr:uid="{3E40126A-2C97-4DFD-B71C-A04B72E4F695}">
      <text>
        <t>[Threaded comment]
Your version of Excel allows you to read this threaded comment; however, any edits to it will get removed if the file is opened in a newer version of Excel. Learn more: https://go.microsoft.com/fwlink/?linkid=870924
Comment:
    KfW - US$ 4,845.20 transferred from USAID through GLJE 8630159. This is for PO 4982 for 3 schools Omar Ebn Al-Khatab, Al-Nidhal, and Ebn Al-Hasan Schools</t>
      </text>
    </comment>
    <comment ref="Z300" authorId="105" shapeId="0" xr:uid="{026CABEF-6D95-4AF2-8C8E-14CB8F77E01D}">
      <text>
        <t>[Threaded comment]
Your version of Excel allows you to read this threaded comment; however, any edits to it will get removed if the file is opened in a newer version of Excel. Learn more: https://go.microsoft.com/fwlink/?linkid=870924
Comment:
    KfW - @ US$ 335,223.44 transferred from Italy through GLJE 7164218</t>
      </text>
    </comment>
    <comment ref="Z313" authorId="106" shapeId="0" xr:uid="{4F6BBBC0-949D-4BF7-8A5E-414AEA940880}">
      <text>
        <t>[Threaded comment]
Your version of Excel allows you to read this threaded comment; however, any edits to it will get removed if the file is opened in a newer version of Excel. Learn more: https://go.microsoft.com/fwlink/?linkid=870924
Comment:
    Total expenditure of Trucks procurement US$ 678,696.51 shifted to KfW from GoL through GLJE 0009128005
Korea - PO 6071 @ US$ 52,753.94 divided equally between 2</t>
      </text>
    </comment>
    <comment ref="H316" authorId="107" shapeId="0" xr:uid="{C1C05FDB-CA92-4C11-9270-CD21F792D481}">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H317" authorId="108" shapeId="0" xr:uid="{498E6398-5875-4D9C-9C08-9A4A2869FD13}">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H318" authorId="109" shapeId="0" xr:uid="{E33557F7-EC1F-4534-B24C-4779B3BF81A0}">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J319" authorId="110" shapeId="0" xr:uid="{D9869F11-F001-4360-A936-5FC421A80696}">
      <text>
        <t>[Threaded comment]
Your version of Excel allows you to read this threaded comment; however, any edits to it will get removed if the file is opened in a newer version of Excel. Learn more: https://go.microsoft.com/fwlink/?linkid=870924
Comment:
    10,707.45 request submitted on 22 August 2022</t>
      </text>
    </comment>
    <comment ref="H320" authorId="111" shapeId="0" xr:uid="{52E8A1A4-F1A8-4DCB-97A4-C7AEAC4DFD8D}">
      <text>
        <t>[Threaded comment]
Your version of Excel allows you to read this threaded comment; however, any edits to it will get removed if the file is opened in a newer version of Excel. Learn more: https://go.microsoft.com/fwlink/?linkid=870924
Comment:
    76.59 for insurance of shipment (non po voucher 00028950)</t>
      </text>
    </comment>
    <comment ref="Z320" authorId="112" shapeId="0" xr:uid="{67E3F6AE-4012-493D-93EC-ECC99D92CF12}">
      <text>
        <t>[Threaded comment]
Your version of Excel allows you to read this threaded comment; however, any edits to it will get removed if the file is opened in a newer version of Excel. Learn more: https://go.microsoft.com/fwlink/?linkid=870924
Comment:
    USAID - US$ 452,877.5 total cost of 8000m cable transferred to Repsol through GLJE 8282350
EU - PO 5403 for shipment</t>
      </text>
    </comment>
    <comment ref="Z323" authorId="113" shapeId="0" xr:uid="{93E0F1D0-D269-43B0-9AB8-A62D85D86353}">
      <text>
        <t>[Threaded comment]
Your version of Excel allows you to read this threaded comment; however, any edits to it will get removed if the file is opened in a newer version of Excel. Learn more: https://go.microsoft.com/fwlink/?linkid=870924
Comment:
    EU - PO 5365 @ US$ 285,344.73
Japan - PO 5334 @ US$ 54,651.42</t>
      </text>
    </comment>
    <comment ref="Z324" authorId="114" shapeId="0" xr:uid="{52FD1D51-2ADE-4661-AEF7-F0ECBD12CAD4}">
      <text>
        <t>[Threaded comment]
Your version of Excel allows you to read this threaded comment; however, any edits to it will get removed if the file is opened in a newer version of Excel. Learn more: https://go.microsoft.com/fwlink/?linkid=870924
Comment:
    KfW - @ US$ 95,753.84 payment reversed from Norway through GLJE 9141924</t>
      </text>
    </comment>
    <comment ref="H328" authorId="115" shapeId="0" xr:uid="{AD24529A-CF5E-483B-B1E9-C9C8E2624392}">
      <text>
        <t>[Threaded comment]
Your version of Excel allows you to read this threaded comment; however, any edits to it will get removed if the file is opened in a newer version of Excel. Learn more: https://go.microsoft.com/fwlink/?linkid=870924
Comment:
    VID 29492 @ $750 for custom clearance of Benghazi Solar Shipment</t>
      </text>
    </comment>
    <comment ref="Z328" authorId="116" shapeId="0" xr:uid="{EBB3DEC9-28FF-430A-B155-7576E9E2EEEA}">
      <text>
        <t>[Threaded comment]
Your version of Excel allows you to read this threaded comment; however, any edits to it will get removed if the file is opened in a newer version of Excel. Learn more: https://go.microsoft.com/fwlink/?linkid=870924
Comment:
    Libya - PO GP600788-4 @ US$ 55,202.70</t>
      </text>
    </comment>
    <comment ref="J329" authorId="117" shapeId="0" xr:uid="{9E808CAF-0FBE-45E4-81E5-91A63E1D5125}">
      <text>
        <t>[Threaded comment]
Your version of Excel allows you to read this threaded comment; however, any edits to it will get removed if the file is opened in a newer version of Excel. Learn more: https://go.microsoft.com/fwlink/?linkid=870924
Comment:
    37.008.84 payment request submitted on 17 August 2022</t>
      </text>
    </comment>
    <comment ref="Z329" authorId="118" shapeId="0" xr:uid="{E2C60D3E-0499-4402-AF01-61218D87BED0}">
      <text>
        <t>[Threaded comment]
Your version of Excel allows you to read this threaded comment; however, any edits to it will get removed if the file is opened in a newer version of Excel. Learn more: https://go.microsoft.com/fwlink/?linkid=870924
Comment:
    $228,842.70 shifted from Norway to KfW through GLJE 0009128005
Therefore Norway contribution becomes $141,291.3</t>
      </text>
    </comment>
    <comment ref="H334" authorId="119" shapeId="0" xr:uid="{D0BFD292-2952-4412-85D2-CE808108B3FD}">
      <text>
        <t>[Threaded comment]
Your version of Excel allows you to read this threaded comment; however, any edits to it will get removed if the file is opened in a newer version of Excel. Learn more: https://go.microsoft.com/fwlink/?linkid=870924
Comment:
    $16633.42 shipment cost of 3 ICUs to Derna 
EUR 3250 shipment of 1 regular to Derna
VID 29450 @ $250 for custom clearance of 2 ICU ambulances
VID 29451 @ $200 for custom clearance of 1 ICU ambulance</t>
      </text>
    </comment>
    <comment ref="Z336" authorId="120" shapeId="0" xr:uid="{35B91E12-20B5-4491-9D77-EF029978D54C}">
      <text>
        <t>[Threaded comment]
Your version of Excel allows you to read this threaded comment; however, any edits to it will get removed if the file is opened in a newer version of Excel. Learn more: https://go.microsoft.com/fwlink/?linkid=870924
Comment:
    Total expenditure of Trucks procurement US$ 678,696.51 shifted to KfW from GoL through GLJE 0009128005
Korea - PO 6071 @ US$ 52,753.94 divided equally between 2</t>
      </text>
    </comment>
    <comment ref="H337" authorId="121" shapeId="0" xr:uid="{C6827F5D-00FE-4F4A-923B-B390C622DEF8}">
      <text>
        <t>[Threaded comment]
Your version of Excel allows you to read this threaded comment; however, any edits to it will get removed if the file is opened in a newer version of Excel. Learn more: https://go.microsoft.com/fwlink/?linkid=870924
Comment:
    shipment cost 11538.35</t>
      </text>
    </comment>
    <comment ref="Z337" authorId="122" shapeId="0" xr:uid="{7DDEF349-9EE8-41B2-97E6-0E66C200EF75}">
      <text>
        <t>[Threaded comment]
Your version of Excel allows you to read this threaded comment; however, any edits to it will get removed if the file is opened in a newer version of Excel. Learn more: https://go.microsoft.com/fwlink/?linkid=870924
Comment:
    Korea - PO 5823 @ US$ 11,538.35</t>
      </text>
    </comment>
    <comment ref="AA337" authorId="123" shapeId="0" xr:uid="{118ED1DE-380A-42E7-8098-1A516625E3E2}">
      <text>
        <t>[Threaded comment]
Your version of Excel allows you to read this threaded comment; however, any edits to it will get removed if the file is opened in a newer version of Excel. Learn more: https://go.microsoft.com/fwlink/?linkid=870924
Comment:
    Korea - PO 5823 @ US$ 11,538.35 under 112158</t>
      </text>
    </comment>
    <comment ref="H338" authorId="124" shapeId="0" xr:uid="{258649A1-0370-4161-971D-EE078E76592A}">
      <text>
        <t>[Threaded comment]
Your version of Excel allows you to read this threaded comment; however, any edits to it will get removed if the file is opened in a newer version of Excel. Learn more: https://go.microsoft.com/fwlink/?linkid=870924
Comment:
    $6,853.35 for shipment</t>
      </text>
    </comment>
    <comment ref="Z338" authorId="125" shapeId="0" xr:uid="{AF3EF435-FB14-4436-9093-2A1EB188DC17}">
      <text>
        <t>[Threaded comment]
Your version of Excel allows you to read this threaded comment; however, any edits to it will get removed if the file is opened in a newer version of Excel. Learn more: https://go.microsoft.com/fwlink/?linkid=870924
Comment:
    KfW - PO 5832 @ US$ 6,853.35</t>
      </text>
    </comment>
    <comment ref="AA338" authorId="126" shapeId="0" xr:uid="{BFC67385-1017-44CB-9960-8E541F0D2D37}">
      <text>
        <t>[Threaded comment]
Your version of Excel allows you to read this threaded comment; however, any edits to it will get removed if the file is opened in a newer version of Excel. Learn more: https://go.microsoft.com/fwlink/?linkid=870924
Comment:
    KfW - PO 5832 @ US$ 6,853.35 under 112158</t>
      </text>
    </comment>
    <comment ref="Z339" authorId="127" shapeId="0" xr:uid="{BEE3AE9E-29CA-4068-A698-1D0C4A9B6C99}">
      <text>
        <t>[Threaded comment]
Your version of Excel allows you to read this threaded comment; however, any edits to it will get removed if the file is opened in a newer version of Excel. Learn more: https://go.microsoft.com/fwlink/?linkid=870924
Comment:
    Norway - PO 6248 @ US$ 11,459.7</t>
      </text>
    </comment>
    <comment ref="N340" authorId="128" shapeId="0" xr:uid="{C1CE1C9E-12D2-4ADB-A614-82EC11DACC9B}">
      <text>
        <t>[Threaded comment]
Your version of Excel allows you to read this threaded comment; however, any edits to it will get removed if the file is opened in a newer version of Excel. Learn more: https://go.microsoft.com/fwlink/?linkid=870924
Comment:
    typo in contract as March 22 2022, Anees has email correspondence</t>
      </text>
    </comment>
    <comment ref="Z341" authorId="129" shapeId="0" xr:uid="{C538D2C6-0FE8-4060-A1B0-24FADF296846}">
      <text>
        <t>[Threaded comment]
Your version of Excel allows you to read this threaded comment; however, any edits to it will get removed if the file is opened in a newer version of Excel. Learn more: https://go.microsoft.com/fwlink/?linkid=870924
Comment:
    90% payment of US$  110,501.19 shifted to SUSC from GoL through GLJE 0009136820</t>
      </text>
    </comment>
    <comment ref="H344" authorId="130" shapeId="0" xr:uid="{0DF7D297-10FF-4C1D-A93C-370CF36E7017}">
      <text>
        <t>[Threaded comment]
Your version of Excel allows you to read this threaded comment; however, any edits to it will get removed if the file is opened in a newer version of Excel. Learn more: https://go.microsoft.com/fwlink/?linkid=870924
Comment:
    $400 for custom clearance cost</t>
      </text>
    </comment>
    <comment ref="J344" authorId="131" shapeId="0" xr:uid="{545BF82B-ECC8-4AB9-BEB3-961E5D1B1FB7}">
      <text>
        <t>[Threaded comment]
Your version of Excel allows you to read this threaded comment; however, any edits to it will get removed if the file is opened in a newer version of Excel. Learn more: https://go.microsoft.com/fwlink/?linkid=870924
Comment:
    $400 custom clearance under non PO VID 00029356 (processed on 28 July 20 for payment)</t>
      </text>
    </comment>
    <comment ref="Z344" authorId="132" shapeId="0" xr:uid="{3203C64E-2E8F-44DF-9557-CE415133FFCE}">
      <text>
        <t>[Threaded comment]
Your version of Excel allows you to read this threaded comment; however, any edits to it will get removed if the file is opened in a newer version of Excel. Learn more: https://go.microsoft.com/fwlink/?linkid=870924
Comment:
    MOFA - PO 5615 @ US$ 81224.1
EU - US$ 401,781.64 transferred from KfW through GLJE 8631034 for trucks</t>
      </text>
    </comment>
    <comment ref="Z345" authorId="133" shapeId="0" xr:uid="{122C5A19-5727-4D2F-9E1B-DA83433EF654}">
      <text>
        <t>[Threaded comment]
Your version of Excel allows you to read this threaded comment; however, any edits to it will get removed if the file is opened in a newer version of Excel. Learn more: https://go.microsoft.com/fwlink/?linkid=870924
Comment:
    USAID- PO 5408 payment @ US$ 43,696.37 transferred from Japan through GLJE 8353473</t>
      </text>
    </comment>
    <comment ref="H346" authorId="134" shapeId="0" xr:uid="{2E7425D6-BA27-4E74-8318-8B10E089D61F}">
      <text>
        <t>[Threaded comment]
Your version of Excel allows you to read this threaded comment; however, any edits to it will get removed if the file is opened in a newer version of Excel. Learn more: https://go.microsoft.com/fwlink/?linkid=870924
Comment:
    $411 demurrage cost on shipping under non PO voucher 00028902
Rohan:
$500 customs clearance cost under non PO voucher 00029019</t>
      </text>
    </comment>
    <comment ref="H348" authorId="135" shapeId="0" xr:uid="{3DD85C57-C225-4C6E-AD03-D4886492B72D}">
      <text>
        <t>[Threaded comment]
Your version of Excel allows you to read this threaded comment; however, any edits to it will get removed if the file is opened in a newer version of Excel. Learn more: https://go.microsoft.com/fwlink/?linkid=870924
Comment:
    $380.72 for customs with non PO voucher 29194</t>
      </text>
    </comment>
    <comment ref="H349" authorId="136" shapeId="0" xr:uid="{C5740367-F3C6-4282-BF0D-2B7E0A30C22E}">
      <text>
        <t>[Threaded comment]
Your version of Excel allows you to read this threaded comment; however, any edits to it will get removed if the file is opened in a newer version of Excel. Learn more: https://go.microsoft.com/fwlink/?linkid=870924
Comment:
    $542.8 for customs with non PO voucher 00029200</t>
      </text>
    </comment>
    <comment ref="H350" authorId="137" shapeId="0" xr:uid="{ED36CF4A-2516-4532-9720-558257119FFD}">
      <text>
        <t>[Threaded comment]
Your version of Excel allows you to read this threaded comment; however, any edits to it will get removed if the file is opened in a newer version of Excel. Learn more: https://go.microsoft.com/fwlink/?linkid=870924
Comment:
    US$ 150 under non PO VID 30344 for customs clearance</t>
      </text>
    </comment>
    <comment ref="Z350" authorId="138" shapeId="0" xr:uid="{468478D3-0494-4229-9BE8-CB7480F20848}">
      <text>
        <t>[Threaded comment]
Your version of Excel allows you to read this threaded comment; however, any edits to it will get removed if the file is opened in a newer version of Excel. Learn more: https://go.microsoft.com/fwlink/?linkid=870924
Comment:
    GoL- PO 6065 @ US$ 18,048.23
SUSC - VID 30344 @ US$ 150</t>
      </text>
    </comment>
    <comment ref="Z351" authorId="139" shapeId="0" xr:uid="{7E817520-5F52-4D19-80DF-2448D9C7044B}">
      <text>
        <t>[Threaded comment]
Your version of Excel allows you to read this threaded comment; however, any edits to it will get removed if the file is opened in a newer version of Excel. Learn more: https://go.microsoft.com/fwlink/?linkid=870924
Comment:
    KfW- GP405177-2 @ US$ 11,848.34</t>
      </text>
    </comment>
    <comment ref="Z353" authorId="140" shapeId="0" xr:uid="{4D22D2F2-2BDD-4546-8E66-E3CDA000D480}">
      <text>
        <t>[Threaded comment]
Your version of Excel allows you to read this threaded comment; however, any edits to it will get removed if the file is opened in a newer version of Excel. Learn more: https://go.microsoft.com/fwlink/?linkid=870924
Comment:
    USAID - US$ 452,877.5 total cost of 8000m cable transferred to Repsol through GLJE 8282350
USAID - PO 5331 for shipment @ US$ 7,000 transferred from Japan through GLJE 8353473</t>
      </text>
    </comment>
    <comment ref="H354" authorId="141" shapeId="0" xr:uid="{1BCE86C2-0051-4EB7-ACE4-D68BACB6112D}">
      <text>
        <t>[Threaded comment]
Your version of Excel allows you to read this threaded comment; however, any edits to it will get removed if the file is opened in a newer version of Excel. Learn more: https://go.microsoft.com/fwlink/?linkid=870924
Comment:
    US$ 1,200 for transportation
2,982.33 is USD amount for Hydraulic Cranes. LYD amount is LYD 4,220 paid via VID 28806.</t>
      </text>
    </comment>
    <comment ref="Z354" authorId="142" shapeId="0" xr:uid="{C1E2702F-A07F-4175-9721-8FBD436DCDAA}">
      <text>
        <t>[Threaded comment]
Your version of Excel allows you to read this threaded comment; however, any edits to it will get removed if the file is opened in a newer version of Excel. Learn more: https://go.microsoft.com/fwlink/?linkid=870924
Comment:
    UK- PO 6115 @ US$ 1,200</t>
      </text>
    </comment>
    <comment ref="H359" authorId="143" shapeId="0" xr:uid="{BA12F197-8021-4E09-A0F6-E159E7638C47}">
      <text>
        <t>[Threaded comment]
Your version of Excel allows you to read this threaded comment; however, any edits to it will get removed if the file is opened in a newer version of Excel. Learn more: https://go.microsoft.com/fwlink/?linkid=870924
Comment:
    Previous contract value US$ 248,854</t>
      </text>
    </comment>
    <comment ref="N359" authorId="144" shapeId="0" xr:uid="{A11E9816-7D4C-4708-A6F0-AC8A524ABA25}">
      <text>
        <t>[Threaded comment]
Your version of Excel allows you to read this threaded comment; however, any edits to it will get removed if the file is opened in a newer version of Excel. Learn more: https://go.microsoft.com/fwlink/?linkid=870924
Comment:
    previous contract signing date 6 Dec 2020 which was cancelled.</t>
      </text>
    </comment>
    <comment ref="N360" authorId="145" shapeId="0" xr:uid="{26C35C38-FAC2-45F8-9E08-77C53C8F0BEA}">
      <text>
        <t>[Threaded comment]
Your version of Excel allows you to read this threaded comment; however, any edits to it will get removed if the file is opened in a newer version of Excel. Learn more: https://go.microsoft.com/fwlink/?linkid=870924
Comment:
    this contract was terminated on 24 Sep 2021</t>
      </text>
    </comment>
    <comment ref="Z362" authorId="146" shapeId="0" xr:uid="{F5AEAA00-EF24-4143-8A53-9CC1C89A48CE}">
      <text>
        <t>[Threaded comment]
Your version of Excel allows you to read this threaded comment; however, any edits to it will get removed if the file is opened in a newer version of Excel. Learn more: https://go.microsoft.com/fwlink/?linkid=870924
Comment:
    SUSC - VID 30419 @ US$ 1,335 for custom clearance</t>
      </text>
    </comment>
    <comment ref="Z365" authorId="147" shapeId="0" xr:uid="{01909DEA-0CC0-4557-8ECD-B632BA17A745}">
      <text>
        <t>[Threaded comment]
Your version of Excel allows you to read this threaded comment; however, any edits to it will get removed if the file is opened in a newer version of Excel. Learn more: https://go.microsoft.com/fwlink/?linkid=870924
Comment:
    SUSC - PO 6064 @ US$ 18,363.61
Reply:
    Italy - PO 6250 @ US$ 1,292.03</t>
      </text>
    </comment>
    <comment ref="H369" authorId="148" shapeId="0" xr:uid="{0BF42295-4C08-4116-BC39-14C861C1ECBA}">
      <text>
        <t>[Threaded comment]
Your version of Excel allows you to read this threaded comment; however, any edits to it will get removed if the file is opened in a newer version of Excel. Learn more: https://go.microsoft.com/fwlink/?linkid=870924
Comment:
    34,251 MCR for WFP-UNHRD (sewage truck, water tankers, sewer cleaner)
Reply:
    55.276.2 shipment cost for 1 sewage truck and 2 water tankers</t>
      </text>
    </comment>
    <comment ref="J369" authorId="149" shapeId="0" xr:uid="{DF3FB301-B206-4F0B-A13B-CE09CBB35505}">
      <text>
        <t>[Threaded comment]
Your version of Excel allows you to read this threaded comment; however, any edits to it will get removed if the file is opened in a newer version of Excel. Learn more: https://go.microsoft.com/fwlink/?linkid=870924
Comment:
    27,144.79 actual cost of MCR for WFP-UNHRD (sewage truck, water tankers, sewer cleaner)</t>
      </text>
    </comment>
    <comment ref="H370" authorId="150" shapeId="0" xr:uid="{78B25767-6CA1-40B7-A22D-FA459D795E2C}">
      <text>
        <t>[Threaded comment]
Your version of Excel allows you to read this threaded comment; however, any edits to it will get removed if the file is opened in a newer version of Excel. Learn more: https://go.microsoft.com/fwlink/?linkid=870924
Comment:
    34,251 MCR for WFP-UNHRD (sewage truck, water tankers, sewer cleaner)
Reply:
    55.276.2 shipment cost for 1 sewage truck and 2 water tankers</t>
      </text>
    </comment>
    <comment ref="J370" authorId="151" shapeId="0" xr:uid="{5BC73A05-2640-4BE1-B8C3-99E80A0A17C1}">
      <text>
        <t>[Threaded comment]
Your version of Excel allows you to read this threaded comment; however, any edits to it will get removed if the file is opened in a newer version of Excel. Learn more: https://go.microsoft.com/fwlink/?linkid=870924
Comment:
    27,144.79 actual cost of MCR for WFP-UNHRD (sewage truck, water tankers, sewer cleaner)</t>
      </text>
    </comment>
    <comment ref="H371" authorId="152" shapeId="0" xr:uid="{7A959316-4000-48A7-95CB-378D821FE44C}">
      <text>
        <t>[Threaded comment]
Your version of Excel allows you to read this threaded comment; however, any edits to it will get removed if the file is opened in a newer version of Excel. Learn more: https://go.microsoft.com/fwlink/?linkid=870924
Comment:
    34,251 MCR for WFP-UNHRD (sewage truck, water tankers, sewer cleaner)</t>
      </text>
    </comment>
    <comment ref="J371" authorId="153" shapeId="0" xr:uid="{1214720D-E7BF-4312-A164-14039ABC9BC7}">
      <text>
        <t>[Threaded comment]
Your version of Excel allows you to read this threaded comment; however, any edits to it will get removed if the file is opened in a newer version of Excel. Learn more: https://go.microsoft.com/fwlink/?linkid=870924
Comment:
    27,144.79 actual cost of MCR for WFP-UNHRD (sewage truck, water tankers, sewer cleaner)</t>
      </text>
    </comment>
    <comment ref="Z371" authorId="154" shapeId="0" xr:uid="{E80D01F3-2D6C-4566-9164-E29C9CC1E494}">
      <text>
        <t>[Threaded comment]
Your version of Excel allows you to read this threaded comment; however, any edits to it will get removed if the file is opened in a newer version of Excel. Learn more: https://go.microsoft.com/fwlink/?linkid=870924
Comment:
    Netherlands - PO 6162 @ US$ 11,184.44</t>
      </text>
    </comment>
    <comment ref="Z373" authorId="155" shapeId="0" xr:uid="{BB493693-77EA-41AB-9DEE-5E4BFE978B6E}">
      <text>
        <t>[Threaded comment]
Your version of Excel allows you to read this threaded comment; however, any edits to it will get removed if the file is opened in a newer version of Excel. Learn more: https://go.microsoft.com/fwlink/?linkid=870924
Comment:
    EU - US$ 104,213.85 transferred from KfW through GLJE 8631034</t>
      </text>
    </comment>
    <comment ref="J375" authorId="156" shapeId="0" xr:uid="{DB2CFF8E-BE4B-4664-BDA3-1D15B2FFDD39}">
      <text>
        <t>[Threaded comment]
Your version of Excel allows you to read this threaded comment; however, any edits to it will get removed if the file is opened in a newer version of Excel. Learn more: https://go.microsoft.com/fwlink/?linkid=870924
Comment:
    18,772.14 processed for payment on 17 Aug 2022</t>
      </text>
    </comment>
    <comment ref="H377" authorId="157" shapeId="0" xr:uid="{C64D9D16-A064-4809-B065-278EBF4F96B5}">
      <text>
        <t>[Threaded comment]
Your version of Excel allows you to read this threaded comment; however, any edits to it will get removed if the file is opened in a newer version of Excel. Learn more: https://go.microsoft.com/fwlink/?linkid=870924
Comment:
    23775.43 additiional as amendment</t>
      </text>
    </comment>
    <comment ref="Z377" authorId="158" shapeId="0" xr:uid="{76A6CB1C-DC03-4771-ADFF-4942D786A0CA}">
      <text>
        <t>[Threaded comment]
Your version of Excel allows you to read this threaded comment; however, any edits to it will get removed if the file is opened in a newer version of Excel. Learn more: https://go.microsoft.com/fwlink/?linkid=870924
Comment:
    Korea - PO 6094 @ US$ 23,775.43</t>
      </text>
    </comment>
    <comment ref="Z379" authorId="159" shapeId="0" xr:uid="{1D36320A-CDD9-4458-A37D-7C994AEBA1EF}">
      <text>
        <t>[Threaded comment]
Your version of Excel allows you to read this threaded comment; however, any edits to it will get removed if the file is opened in a newer version of Excel. Learn more: https://go.microsoft.com/fwlink/?linkid=870924
Comment:
    Italy - PO 6610 @ US$ 14,719.06 for amendment for extra works</t>
      </text>
    </comment>
    <comment ref="Z380" authorId="160" shapeId="0" xr:uid="{330491A2-61F7-40C7-B07D-F79F0A05FF82}">
      <text>
        <t>[Threaded comment]
Your version of Excel allows you to read this threaded comment; however, any edits to it will get removed if the file is opened in a newer version of Excel. Learn more: https://go.microsoft.com/fwlink/?linkid=870924
Comment:
    EU - US$ 106,232.22 transerred from Netherlands through GLJE 8818340</t>
      </text>
    </comment>
    <comment ref="R381" authorId="161" shapeId="0" xr:uid="{C2FE0F18-7FF6-4DC9-B833-1E5124ED059B}">
      <text>
        <t>[Threaded comment]
Your version of Excel allows you to read this threaded comment; however, any edits to it will get removed if the file is opened in a newer version of Excel. Learn more: https://go.microsoft.com/fwlink/?linkid=870924
Comment:
    taking over inspection date</t>
      </text>
    </comment>
    <comment ref="Z384" authorId="162" shapeId="0" xr:uid="{9AE3E707-B716-41E1-816A-A04C62DA6433}">
      <text>
        <t>[Threaded comment]
Your version of Excel allows you to read this threaded comment; however, any edits to it will get removed if the file is opened in a newer version of Excel. Learn more: https://go.microsoft.com/fwlink/?linkid=870924
Comment:
    SUSC - VID 30344 @ US$ 824.13</t>
      </text>
    </comment>
    <comment ref="Z385" authorId="163" shapeId="0" xr:uid="{85CE7A6E-9189-4054-8DD0-8195663A046A}">
      <text>
        <t>[Threaded comment]
Your version of Excel allows you to read this threaded comment; however, any edits to it will get removed if the file is opened in a newer version of Excel. Learn more: https://go.microsoft.com/fwlink/?linkid=870924
Comment:
    France - PO 5987 @ US$ 17,185.5</t>
      </text>
    </comment>
    <comment ref="AA385" authorId="164" shapeId="0" xr:uid="{5C6C02D3-1EE8-4846-AE51-41D5A7CFF0A0}">
      <text>
        <t>[Threaded comment]
Your version of Excel allows you to read this threaded comment; however, any edits to it will get removed if the file is opened in a newer version of Excel. Learn more: https://go.microsoft.com/fwlink/?linkid=870924
Comment:
    France - PO 5987 @ US$ 17,185.5 under 98720</t>
      </text>
    </comment>
    <comment ref="Z386" authorId="165" shapeId="0" xr:uid="{3AA067DE-AA32-4D49-BC9E-F5CBFCA469C8}">
      <text>
        <t>[Threaded comment]
Your version of Excel allows you to read this threaded comment; however, any edits to it will get removed if the file is opened in a newer version of Excel. Learn more: https://go.microsoft.com/fwlink/?linkid=870924
Comment:
    SUSC - VID 30341 @ US$ 750</t>
      </text>
    </comment>
    <comment ref="H387" authorId="166" shapeId="0" xr:uid="{7BE30662-DA4E-4FEE-9247-7CCED6A129DD}">
      <text>
        <t>[Threaded comment]
Your version of Excel allows you to read this threaded comment; however, any edits to it will get removed if the file is opened in a newer version of Excel. Learn more: https://go.microsoft.com/fwlink/?linkid=870924
Comment:
    VID 29455 @ $500 for custom clearance of 3 pumps
$19,818.54 for shipment
$157.29 additional storage cost</t>
      </text>
    </comment>
    <comment ref="Z387" authorId="167" shapeId="0" xr:uid="{D5F403A6-04F6-4527-888E-8052B6E19EC9}">
      <text>
        <t>[Threaded comment]
Your version of Excel allows you to read this threaded comment; however, any edits to it will get removed if the file is opened in a newer version of Excel. Learn more: https://go.microsoft.com/fwlink/?linkid=870924
Comment:
    Germany (KfW)-PO 5635 @ US$ 19,818.54</t>
      </text>
    </comment>
    <comment ref="H388" authorId="168" shapeId="0" xr:uid="{054CC564-C244-433A-AED7-701BF82947AF}">
      <text>
        <t>[Threaded comment]
Your version of Excel allows you to read this threaded comment; however, any edits to it will get removed if the file is opened in a newer version of Excel. Learn more: https://go.microsoft.com/fwlink/?linkid=870924
Comment:
    $7,563.10 increment through amendment on 3 Nov 2020</t>
      </text>
    </comment>
    <comment ref="N390" authorId="169" shapeId="0" xr:uid="{BF16A3D8-247D-4F61-8555-488319409CB2}">
      <text>
        <t>[Threaded comment]
Your version of Excel allows you to read this threaded comment; however, any edits to it will get removed if the file is opened in a newer version of Excel. Learn more: https://go.microsoft.com/fwlink/?linkid=870924
Comment:
    contract was terminated as informed by PU on 8 Oct 2021</t>
      </text>
    </comment>
    <comment ref="Z392" authorId="170" shapeId="0" xr:uid="{A1403A5C-112F-40E3-9868-3E1DEA96F3B3}">
      <text>
        <t>[Threaded comment]
Your version of Excel allows you to read this threaded comment; however, any edits to it will get removed if the file is opened in a newer version of Excel. Learn more: https://go.microsoft.com/fwlink/?linkid=870924
Comment:
    USAID - US$ 452,877.5 total cost of 8000m cable transferred to Repsol through GLJE 8282350
USAID - PO 5331 for shipment @ US$ 5,700 transferred from Japan through GLJE 8353473</t>
      </text>
    </comment>
    <comment ref="L396" authorId="171" shapeId="0" xr:uid="{29341596-BFDC-4D54-8EB5-139639895582}">
      <text>
        <t>[Threaded comment]
Your version of Excel allows you to read this threaded comment; however, any edits to it will get removed if the file is opened in a newer version of Excel. Learn more: https://go.microsoft.com/fwlink/?linkid=870924
Comment:
    e-req pending</t>
      </text>
    </comment>
    <comment ref="Z398" authorId="172" shapeId="0" xr:uid="{3F59C7F5-2FA4-4280-92FF-37DAB13EDB76}">
      <text>
        <t>[Threaded comment]
Your version of Excel allows you to read this threaded comment; however, any edits to it will get removed if the file is opened in a newer version of Excel. Learn more: https://go.microsoft.com/fwlink/?linkid=870924
Comment:
    US$ 145,824 shifted to PBF project from Italy through GLJE 9140566</t>
      </text>
    </comment>
    <comment ref="H400" authorId="173" shapeId="0" xr:uid="{9C666D44-10B7-444F-AF4B-4E9872B149C5}">
      <text>
        <t>[Threaded comment]
Your version of Excel allows you to read this threaded comment; however, any edits to it will get removed if the file is opened in a newer version of Excel. Learn more: https://go.microsoft.com/fwlink/?linkid=870924
Comment:
    10,000 Management support cost
16,179.16 shipment</t>
      </text>
    </comment>
    <comment ref="H402" authorId="174" shapeId="0" xr:uid="{813B69C8-AA1D-45C0-857C-FD62679DDA20}">
      <text>
        <t>[Threaded comment]
Your version of Excel allows you to read this threaded comment; however, any edits to it will get removed if the file is opened in a newer version of Excel. Learn more: https://go.microsoft.com/fwlink/?linkid=870924
Comment:
    10,000 Management support cost
24,268.74 shipment</t>
      </text>
    </comment>
    <comment ref="H403" authorId="175" shapeId="0" xr:uid="{CC5E4961-CB64-41F2-84CD-813A665A613A}">
      <text>
        <t>[Threaded comment]
Your version of Excel allows you to read this threaded comment; however, any edits to it will get removed if the file is opened in a newer version of Excel. Learn more: https://go.microsoft.com/fwlink/?linkid=870924
Comment:
    shipement estimated @15% of equipment cost</t>
      </text>
    </comment>
    <comment ref="H404" authorId="176" shapeId="0" xr:uid="{4922DA7F-5800-4117-8256-A4A53BA1583E}">
      <text>
        <t>[Threaded comment]
Your version of Excel allows you to read this threaded comment; however, any edits to it will get removed if the file is opened in a newer version of Excel. Learn more: https://go.microsoft.com/fwlink/?linkid=870924
Comment:
    10,000 Management support cost
26, 076.17 shipment</t>
      </text>
    </comment>
    <comment ref="H405" authorId="177" shapeId="0" xr:uid="{AA4BF593-F3C1-430D-A451-774E1A5B4620}">
      <text>
        <t>[Threaded comment]
Your version of Excel allows you to read this threaded comment; however, any edits to it will get removed if the file is opened in a newer version of Excel. Learn more: https://go.microsoft.com/fwlink/?linkid=870924
Comment:
    8,367 Management support cost
18, 419.5 shipment</t>
      </text>
    </comment>
    <comment ref="L407" authorId="178" shapeId="0" xr:uid="{444FF925-4C3E-4FDF-ACD2-4699208D5EE6}">
      <text>
        <t>[Threaded comment]
Your version of Excel allows you to read this threaded comment; however, any edits to it will get removed if the file is opened in a newer version of Excel. Learn more: https://go.microsoft.com/fwlink/?linkid=870924
Comment:
    Technical docs submitted on 19 Oct 2020. e-req shared on 4 Nov 2020</t>
      </text>
    </comment>
    <comment ref="L408" authorId="179" shapeId="0" xr:uid="{BD111A98-94D0-4EBA-A60A-0503E9FCB886}">
      <text>
        <t>[Threaded comment]
Your version of Excel allows you to read this threaded comment; however, any edits to it will get removed if the file is opened in a newer version of Excel. Learn more: https://go.microsoft.com/fwlink/?linkid=870924
Comment:
    endorsed specs submitted on 28 Jan 2021. E-req issuance pending, put under priority 2</t>
      </text>
    </comment>
    <comment ref="H410" authorId="180" shapeId="0" xr:uid="{ABDE85C2-755C-4474-A3AB-BE8B16B689DE}">
      <text>
        <t>[Threaded comment]
Your version of Excel allows you to read this threaded comment; however, any edits to it will get removed if the file is opened in a newer version of Excel. Learn more: https://go.microsoft.com/fwlink/?linkid=870924
Comment:
    10,000 Management support cost
17,969.04 shipment</t>
      </text>
    </comment>
    <comment ref="F412" authorId="181" shapeId="0" xr:uid="{1BC7F327-2752-4FC7-9127-1A15D35D867B}">
      <text>
        <t>[Threaded comment]
Your version of Excel allows you to read this threaded comment; however, any edits to it will get removed if the file is opened in a newer version of Excel. Learn more: https://go.microsoft.com/fwlink/?linkid=870924
Comment:
    Estimated amount $406,585. Cancelled as this was prefab.</t>
      </text>
    </comment>
    <comment ref="H413" authorId="182" shapeId="0" xr:uid="{EE1C340B-45A1-4046-A7D7-11DD474FB441}">
      <text>
        <t>[Threaded comment]
Your version of Excel allows you to read this threaded comment; however, any edits to it will get removed if the file is opened in a newer version of Excel. Learn more: https://go.microsoft.com/fwlink/?linkid=870924
Comment:
    estimated cost for 1 ambulance and shipping. This was delivered from stock present at Palm City at the time.</t>
      </text>
    </comment>
    <comment ref="Z414" authorId="183" shapeId="0" xr:uid="{67A343C1-2E09-4B6C-A428-9B2E1230E405}">
      <text>
        <t>[Threaded comment]
Your version of Excel allows you to read this threaded comment; however, any edits to it will get removed if the file is opened in a newer version of Excel. Learn more: https://go.microsoft.com/fwlink/?linkid=870924
Comment:
    KfW - GP600439-8 @ US$ 47,015.05</t>
      </text>
    </comment>
    <comment ref="Z418" authorId="184" shapeId="0" xr:uid="{592CABD3-6FB2-402B-BBA2-BDA4EFC035D7}">
      <text>
        <t>[Threaded comment]
Your version of Excel allows you to read this threaded comment; however, any edits to it will get removed if the file is opened in a newer version of Excel. Learn more: https://go.microsoft.com/fwlink/?linkid=870924
Comment:
    KfW - PO 5789 @ US$ 8,055.95
Netherlands - VID 30587 @ US$ 3083.90</t>
      </text>
    </comment>
    <comment ref="H421" authorId="185" shapeId="0" xr:uid="{E76107CE-D922-469C-8A09-5E787E9BA270}">
      <text>
        <t>[Threaded comment]
Your version of Excel allows you to read this threaded comment; however, any edits to it will get removed if the file is opened in a newer version of Excel. Learn more: https://go.microsoft.com/fwlink/?linkid=870924
Comment:
    22858.5 MCR for WFP-UNHRD (suction truck, water tanker and pesticide sprayers)
Reply:
    36,850.8/2 shipment cost for 1 sewage truck and 1 water tanker</t>
      </text>
    </comment>
    <comment ref="J421" authorId="186" shapeId="0" xr:uid="{5DCF6C0C-B6F8-43AB-BDD5-B575F6BB79B9}">
      <text>
        <t>[Threaded comment]
Your version of Excel allows you to read this threaded comment; however, any edits to it will get removed if the file is opened in a newer version of Excel. Learn more: https://go.microsoft.com/fwlink/?linkid=870924
Comment:
    20,412 actual cost of MCR for WFP-UNHRD (sewage truck, water tanker, pesticide sprayers)</t>
      </text>
    </comment>
    <comment ref="H422" authorId="187" shapeId="0" xr:uid="{F72AC8C6-D474-4230-920E-B2AFF81F6C80}">
      <text>
        <t>[Threaded comment]
Your version of Excel allows you to read this threaded comment; however, any edits to it will get removed if the file is opened in a newer version of Excel. Learn more: https://go.microsoft.com/fwlink/?linkid=870924
Comment:
    22858.5 MCR for WFP-UNHRD (suction truck, water tanker and pesticide sprayers)
Reply:
    36,850.8/2 shipment cost for 1 sewage truck and 1 water tanker</t>
      </text>
    </comment>
    <comment ref="J422" authorId="188" shapeId="0" xr:uid="{619285F3-2765-4CEF-BDD9-45B347551AFD}">
      <text>
        <t>[Threaded comment]
Your version of Excel allows you to read this threaded comment; however, any edits to it will get removed if the file is opened in a newer version of Excel. Learn more: https://go.microsoft.com/fwlink/?linkid=870924
Comment:
    20,412 actual cost of MCR for WFP-UNHRD (sewage truck, water tanker, pesticide sprayers)</t>
      </text>
    </comment>
    <comment ref="H423" authorId="189" shapeId="0" xr:uid="{5017D75B-5AE4-46D1-B1CF-8222C4DB67AB}">
      <text>
        <t>[Threaded comment]
Your version of Excel allows you to read this threaded comment; however, any edits to it will get removed if the file is opened in a newer version of Excel. Learn more: https://go.microsoft.com/fwlink/?linkid=870924
Comment:
    22858.5 MCR for WFP-UNHRD (suction truck, water tanker and pesticide sprayers)</t>
      </text>
    </comment>
    <comment ref="J423" authorId="190" shapeId="0" xr:uid="{D59E8F91-515F-4B0C-8C8E-ACE75D26784A}">
      <text>
        <t>[Threaded comment]
Your version of Excel allows you to read this threaded comment; however, any edits to it will get removed if the file is opened in a newer version of Excel. Learn more: https://go.microsoft.com/fwlink/?linkid=870924
Comment:
    20,412 actual cost of MCR for WFP-UNHRD (sewage truck, water tanker, pesticide sprayers)</t>
      </text>
    </comment>
    <comment ref="Z424" authorId="191" shapeId="0" xr:uid="{F118B21C-8A00-4EAB-827B-918F2F3A7D7E}">
      <text>
        <t>[Threaded comment]
Your version of Excel allows you to read this threaded comment; however, any edits to it will get removed if the file is opened in a newer version of Excel. Learn more: https://go.microsoft.com/fwlink/?linkid=870924
Comment:
    US$ 130,000 contributioin from RFF</t>
      </text>
    </comment>
    <comment ref="Z426" authorId="192" shapeId="0" xr:uid="{C177BD23-C5BE-41EE-9FAE-6D48B43CBDD9}">
      <text>
        <t>[Threaded comment]
Your version of Excel allows you to read this threaded comment; however, any edits to it will get removed if the file is opened in a newer version of Excel. Learn more: https://go.microsoft.com/fwlink/?linkid=870924
Comment:
    GoL - @ US$ 200,000
Italy - @ US$ 160,299.64
Italy - PO 6762 @ US$ 54,000 for amendment</t>
      </text>
    </comment>
    <comment ref="Z428" authorId="193" shapeId="0" xr:uid="{21AFE829-9971-4608-ACB2-487C63464E96}">
      <text>
        <t>[Threaded comment]
Your version of Excel allows you to read this threaded comment; however, any edits to it will get removed if the file is opened in a newer version of Excel. Learn more: https://go.microsoft.com/fwlink/?linkid=870924
Comment:
    Japan - PO 5549 @ US$ 249,754.05
USAID - US$ 489,151.94 trasferred from KfW through GLJE 8353473
EU - US$ 36,347.75 transferred from KfW through GLJE 8631034</t>
      </text>
    </comment>
    <comment ref="Z429" authorId="194" shapeId="0" xr:uid="{19B42AC8-B92E-4514-87E4-E37B9BC08461}">
      <text>
        <t>[Threaded comment]
Your version of Excel allows you to read this threaded comment; however, any edits to it will get removed if the file is opened in a newer version of Excel. Learn more: https://go.microsoft.com/fwlink/?linkid=870924
Comment:
    EU - PO 5467 expenditure US$ 752,178.26 reversed through GLJE 0008631034</t>
      </text>
    </comment>
    <comment ref="J431" authorId="195" shapeId="0" xr:uid="{5E17672F-D2DC-4B77-9A98-383A99B58860}">
      <text>
        <t>[Threaded comment]
Your version of Excel allows you to read this threaded comment; however, any edits to it will get removed if the file is opened in a newer version of Excel. Learn more: https://go.microsoft.com/fwlink/?linkid=870924
Comment:
    237,200.4 request submitted on 17 August 2022</t>
      </text>
    </comment>
    <comment ref="L431" authorId="196" shapeId="0" xr:uid="{1EE77406-3A16-4620-B8E7-9DCD213669B1}">
      <text>
        <t>[Threaded comment]
Your version of Excel allows you to read this threaded comment; however, any edits to it will get removed if the file is opened in a newer version of Excel. Learn more: https://go.microsoft.com/fwlink/?linkid=870924
Comment:
    technical docs submitted on 23 Dec 2020. E-Req shared on 20 Jan 2021.</t>
      </text>
    </comment>
    <comment ref="Z431" authorId="197" shapeId="0" xr:uid="{421ACB75-D464-44C8-9F34-0AF672240E17}">
      <text>
        <t>[Threaded comment]
Your version of Excel allows you to read this threaded comment; however, any edits to it will get removed if the file is opened in a newer version of Excel. Learn more: https://go.microsoft.com/fwlink/?linkid=870924
Comment:
    Italy - PO 6673 for amendment @ US$ 115,441
PO 6163 distributed evenly between Libya and Norway</t>
      </text>
    </comment>
    <comment ref="F432" authorId="198" shapeId="0" xr:uid="{249B19F2-A2F4-49B6-81ED-D1561E46D0D7}">
      <text>
        <t>[Threaded comment]
Your version of Excel allows you to read this threaded comment; however, any edits to it will get removed if the file is opened in a newer version of Excel. Learn more: https://go.microsoft.com/fwlink/?linkid=870924
Comment:
    estimated amount $356,357</t>
      </text>
    </comment>
    <comment ref="H436" authorId="199" shapeId="0" xr:uid="{78E416E8-E87A-4DA2-A5EF-F17A66A34841}">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F440" authorId="200" shapeId="0" xr:uid="{98970C6D-10D2-4F16-923D-1FF796A22D37}">
      <text>
        <t>[Threaded comment]
Your version of Excel allows you to read this threaded comment; however, any edits to it will get removed if the file is opened in a newer version of Excel. Learn more: https://go.microsoft.com/fwlink/?linkid=870924
Comment:
    First case advertisement was closed in 1 Aug 2019 and was scheduled for readvertisement</t>
      </text>
    </comment>
    <comment ref="Z440" authorId="201" shapeId="0" xr:uid="{698BFDD2-AC2D-4FE3-BB01-12E20F0D150A}">
      <text>
        <t>[Threaded comment]
Your version of Excel allows you to read this threaded comment; however, any edits to it will get removed if the file is opened in a newer version of Excel. Learn more: https://go.microsoft.com/fwlink/?linkid=870924
Comment:
    Payment of US$ 146,497.49 transferred from GoL to SUSC through GLJE 9136820</t>
      </text>
    </comment>
    <comment ref="F441" authorId="202" shapeId="0" xr:uid="{F1929741-FB34-426A-A878-E6DF0DFB0C5A}">
      <text>
        <t>[Threaded comment]
Your version of Excel allows you to read this threaded comment; however, any edits to it will get removed if the file is opened in a newer version of Excel. Learn more: https://go.microsoft.com/fwlink/?linkid=870924
Comment:
    First case advertisement was closed in 1 Aug 2019 and was scheduled for readvertisement. Case then divided into two separate cases.</t>
      </text>
    </comment>
    <comment ref="J441" authorId="203" shapeId="0" xr:uid="{D7602A08-9DE2-4270-9D3A-D662E8FDA328}">
      <text>
        <t>[Threaded comment]
Your version of Excel allows you to read this threaded comment; however, any edits to it will get removed if the file is opened in a newer version of Excel. Learn more: https://go.microsoft.com/fwlink/?linkid=870924
Comment:
    4,017.6 request submitted on 22 August 2022</t>
      </text>
    </comment>
    <comment ref="F442" authorId="204" shapeId="0" xr:uid="{15A3A549-C7C5-49CA-AA25-7A184BFC43D6}">
      <text>
        <t>[Threaded comment]
Your version of Excel allows you to read this threaded comment; however, any edits to it will get removed if the file is opened in a newer version of Excel. Learn more: https://go.microsoft.com/fwlink/?linkid=870924
Comment:
    estimated at $1,000,000</t>
      </text>
    </comment>
    <comment ref="H442" authorId="205" shapeId="0" xr:uid="{57F46A90-7759-496E-9EB8-F99457977BE8}">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Z443" authorId="206" shapeId="0" xr:uid="{6079812A-25E0-412A-A781-90AE0F348E9B}">
      <text>
        <t>[Threaded comment]
Your version of Excel allows you to read this threaded comment; however, any edits to it will get removed if the file is opened in a newer version of Excel. Learn more: https://go.microsoft.com/fwlink/?linkid=870924
Comment:
    Divided among 3 donors
UK - @ US$ 332,000
Korea - @ US$ 220,000
Japan - @ US$ 200,000 under START</t>
      </text>
    </comment>
    <comment ref="H445" authorId="207" shapeId="0" xr:uid="{22434D56-ABD9-4896-BD93-8766B86CA362}">
      <text>
        <t>[Threaded comment]
Your version of Excel allows you to read this threaded comment; however, any edits to it will get removed if the file is opened in a newer version of Excel. Learn more: https://go.microsoft.com/fwlink/?linkid=870924
Comment:
    Initial agreed allocation</t>
      </text>
    </comment>
    <comment ref="H447" authorId="208" shapeId="0" xr:uid="{425BD6A2-B582-4298-90BF-AD473BEDBBAD}">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J455" authorId="209" shapeId="0" xr:uid="{AB4E0C7F-EF9A-42BB-8624-94C2641F50AF}">
      <text>
        <t>[Threaded comment]
Your version of Excel allows you to read this threaded comment; however, any edits to it will get removed if the file is opened in a newer version of Excel. Learn more: https://go.microsoft.com/fwlink/?linkid=870924
Comment:
    4,050.9 request submitted on 17 Aug 2022</t>
      </text>
    </comment>
    <comment ref="Z458" authorId="210" shapeId="0" xr:uid="{06570D4E-4A98-4181-A14F-6D52963522C9}">
      <text>
        <t>[Threaded comment]
Your version of Excel allows you to read this threaded comment; however, any edits to it will get removed if the file is opened in a newer version of Excel. Learn more: https://go.microsoft.com/fwlink/?linkid=870924
Comment:
    Norway - PO 5755 for 2 ambulances
GoL - PO 6069 @ US$ 49,850 for medical items
GoL - PO 5930 @ US$ 9,074.72 for 2 ambulances
KfW - US$ 488.43 shifted from GoL through GLJE 9128005</t>
      </text>
    </comment>
    <comment ref="Z459" authorId="211" shapeId="0" xr:uid="{C24A1A4F-47C9-4E30-A424-F2C93784BBB7}">
      <text>
        <t>[Threaded comment]
Your version of Excel allows you to read this threaded comment; however, any edits to it will get removed if the file is opened in a newer version of Excel. Learn more: https://go.microsoft.com/fwlink/?linkid=870924
Comment:
    PO 5930 @ US$ 13,608.91 against which payment of US$ 11,196.24 was done. 
GoL - PO 5930 @ US$ 732.46 in payment
KfW - PO 5930 @ US$ 10,463.78 in payment reversed from GoL through GLJE 0009128005</t>
      </text>
    </comment>
    <comment ref="D461" authorId="212" shapeId="0" xr:uid="{94F67D1D-36AA-47D3-AECE-EE3611921EA4}">
      <text>
        <t>[Threaded comment]
Your version of Excel allows you to read this threaded comment; however, any edits to it will get removed if the file is opened in a newer version of Excel. Learn more: https://go.microsoft.com/fwlink/?linkid=870924
Comment:
    Tobruk, Derna, Al Baida,Al Marj, Benghazi, Ajdabiya, Al Wahat,  Al Kufra, Sebha, Ubari Murzuk, Ashashatti</t>
      </text>
    </comment>
    <comment ref="D462" authorId="213" shapeId="0" xr:uid="{BB149F7C-667E-40DF-BB5A-9425381FED02}">
      <text>
        <t>[Threaded comment]
Your version of Excel allows you to read this threaded comment; however, any edits to it will get removed if the file is opened in a newer version of Excel. Learn more: https://go.microsoft.com/fwlink/?linkid=870924
Comment:
    Kufra, Derna, Benghazi, Ghat, Sebha, Tripoli, Tawergha, Ubari, Ajdabiya, Bani walid</t>
      </text>
    </comment>
    <comment ref="L463" authorId="214" shapeId="0" xr:uid="{D36F7914-84E6-4BAC-B8E1-7E8578337438}">
      <text>
        <t>[Threaded comment]
Your version of Excel allows you to read this threaded comment; however, any edits to it will get removed if the file is opened in a newer version of Excel. Learn more: https://go.microsoft.com/fwlink/?linkid=870924
Comment:
    submitted on 20 Jan 2021. E-req shared on 28 Dec 2020.</t>
      </text>
    </comment>
    <comment ref="J465" authorId="215" shapeId="0" xr:uid="{E0993B1A-BBB8-4E3A-8A15-EC78C20C30CD}">
      <text>
        <t>[Threaded comment]
Your version of Excel allows you to read this threaded comment; however, any edits to it will get removed if the file is opened in a newer version of Excel. Learn more: https://go.microsoft.com/fwlink/?linkid=870924
Comment:
    38,500 payment request submitted on 2 August 2022</t>
      </text>
    </comment>
    <comment ref="F468" authorId="216" shapeId="0" xr:uid="{014DD221-0ADC-4B98-A0DE-376EC82F7844}">
      <text>
        <t>[Threaded comment]
Your version of Excel allows you to read this threaded comment; however, any edits to it will get removed if the file is opened in a newer version of Excel. Learn more: https://go.microsoft.com/fwlink/?linkid=870924
Comment:
    -CNCD Lab
-Sebha Isolation Centre,
-Sebha Medical Centre; A-Dialysis Department
B-Baby Incubators
C-Laboratory</t>
      </text>
    </comment>
    <comment ref="H468" authorId="217" shapeId="0" xr:uid="{368CC33F-A527-4B92-BE7A-9278E66414F4}">
      <text>
        <t>[Threaded comment]
Your version of Excel allows you to read this threaded comment; however, any edits to it will get removed if the file is opened in a newer version of Excel. Learn more: https://go.microsoft.com/fwlink/?linkid=870924
Comment:
    engineering estimate</t>
      </text>
    </comment>
    <comment ref="H471" authorId="218" shapeId="0" xr:uid="{E6F83D01-213E-4DF4-A674-7885455BBF84}">
      <text>
        <t>[Threaded comment]
Your version of Excel allows you to read this threaded comment; however, any edits to it will get removed if the file is opened in a newer version of Excel. Learn more: https://go.microsoft.com/fwlink/?linkid=870924
Comment:
    Lumped together with medical lab bent baya above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06E08A-B499-4DCF-9BE2-84FBE91EA10C}" keepAlive="1" name="Query - donor" description="Connection to the 'donor' query in the workbook." type="5" refreshedVersion="0" background="1" saveData="1">
    <dbPr connection="Provider=Microsoft.Mashup.OleDb.1;Data Source=$Workbook$;Location=donor;Extended Properties=&quot;&quot;" command="SELECT * FROM [donor]"/>
  </connection>
  <connection id="2" xr16:uid="{C08BB1B4-6245-4EF8-8A2C-D4DC75F0F474}" keepAlive="1" name="Query - Tracker" description="Connection to the 'Tracker' query in the workbook." type="5" refreshedVersion="8" background="1" saveData="1">
    <dbPr connection="Provider=Microsoft.Mashup.OleDb.1;Data Source=$Workbook$;Location=Tracker;Extended Properties=&quot;&quot;" command="SELECT * FROM [Tracke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<sst xmlns="http://schemas.openxmlformats.org/spreadsheetml/2006/main" count="11309" uniqueCount="731">
  <si>
    <t>Population estimates</t>
  </si>
  <si>
    <t>SN</t>
  </si>
  <si>
    <t>Location</t>
  </si>
  <si>
    <t>Population</t>
  </si>
  <si>
    <t xml:space="preserve">Health </t>
  </si>
  <si>
    <t>Public sec</t>
  </si>
  <si>
    <t>Energy</t>
  </si>
  <si>
    <t>W &amp; S</t>
  </si>
  <si>
    <t>Municipal</t>
  </si>
  <si>
    <t>garbage</t>
  </si>
  <si>
    <t>EU</t>
  </si>
  <si>
    <t>Misc</t>
  </si>
  <si>
    <t>Ajdabiya</t>
  </si>
  <si>
    <t>Bani Walid</t>
  </si>
  <si>
    <t xml:space="preserve">Benghazi </t>
  </si>
  <si>
    <t>Derna</t>
  </si>
  <si>
    <t>Ghat</t>
  </si>
  <si>
    <t xml:space="preserve">Kikla </t>
  </si>
  <si>
    <t>Kufra</t>
  </si>
  <si>
    <t>Misrata</t>
  </si>
  <si>
    <t xml:space="preserve">Sebha </t>
  </si>
  <si>
    <t>Sirt</t>
  </si>
  <si>
    <t>Tawergha</t>
  </si>
  <si>
    <t>Tripoli</t>
  </si>
  <si>
    <t>Ubari</t>
  </si>
  <si>
    <t>Total</t>
  </si>
  <si>
    <t>Tripoli Municipalities</t>
  </si>
  <si>
    <t>Abu Salim</t>
  </si>
  <si>
    <t>Al-Swani</t>
  </si>
  <si>
    <t>Al-Ssabiaa</t>
  </si>
  <si>
    <t>Ein Zara</t>
  </si>
  <si>
    <t>Central Tripoli</t>
  </si>
  <si>
    <t>Al-Garabouli</t>
  </si>
  <si>
    <t>Hay Al-Andoules</t>
  </si>
  <si>
    <t>Janzour</t>
  </si>
  <si>
    <t>Ben Gashir</t>
  </si>
  <si>
    <t>Sidi Al-Sayah</t>
  </si>
  <si>
    <t>Souq Al-Gomma</t>
  </si>
  <si>
    <t>Souq Al-Khamees</t>
  </si>
  <si>
    <t>Tajoura</t>
  </si>
  <si>
    <t>Latitude</t>
  </si>
  <si>
    <t>Longitude</t>
  </si>
  <si>
    <t>Benghazi</t>
  </si>
  <si>
    <t>Bent Baya</t>
  </si>
  <si>
    <t>Kikla</t>
  </si>
  <si>
    <t>Misurata</t>
  </si>
  <si>
    <t>Sebha</t>
  </si>
  <si>
    <t>Works / Goods</t>
  </si>
  <si>
    <t>Region</t>
  </si>
  <si>
    <t>Sector</t>
  </si>
  <si>
    <t>Project</t>
  </si>
  <si>
    <t>Funding Stage</t>
  </si>
  <si>
    <t>Amount</t>
  </si>
  <si>
    <t>Expenditure</t>
  </si>
  <si>
    <t>Initial Phase Status</t>
  </si>
  <si>
    <t>Procurement Phase Status</t>
  </si>
  <si>
    <t>Contract Signing</t>
  </si>
  <si>
    <t xml:space="preserve"> Implementation Phase Status</t>
  </si>
  <si>
    <t>Site handover date</t>
  </si>
  <si>
    <t>Start Date</t>
  </si>
  <si>
    <t>Actual completion date</t>
  </si>
  <si>
    <t xml:space="preserve">Overall Status </t>
  </si>
  <si>
    <t>Type</t>
  </si>
  <si>
    <t>Project ID</t>
  </si>
  <si>
    <t>Donor</t>
  </si>
  <si>
    <t>Implementation_duration</t>
  </si>
  <si>
    <t xml:space="preserve">Goods </t>
  </si>
  <si>
    <t>West</t>
  </si>
  <si>
    <t>Solid Waste Management</t>
  </si>
  <si>
    <t>Supply of Garbage Trucks</t>
  </si>
  <si>
    <t>Phase 1</t>
  </si>
  <si>
    <t>Completed</t>
  </si>
  <si>
    <t>PO + Contract issuance done</t>
  </si>
  <si>
    <t>Substantial completion / handover done</t>
  </si>
  <si>
    <t>Garbage truck</t>
  </si>
  <si>
    <t>To be initiated</t>
  </si>
  <si>
    <t>In Development</t>
  </si>
  <si>
    <t>Truck</t>
  </si>
  <si>
    <t/>
  </si>
  <si>
    <t>Supply of Garbage Bins</t>
  </si>
  <si>
    <t>Garbage Bin</t>
  </si>
  <si>
    <t>WASH</t>
  </si>
  <si>
    <t>Supply of Sewage Suction Trucks</t>
  </si>
  <si>
    <t>Sewage suction truck</t>
  </si>
  <si>
    <t xml:space="preserve">Works </t>
  </si>
  <si>
    <t>Rehabilitation of Clinic</t>
  </si>
  <si>
    <t>Clinic</t>
  </si>
  <si>
    <t>Supply of Freezers</t>
  </si>
  <si>
    <t>Other health building</t>
  </si>
  <si>
    <t>France</t>
  </si>
  <si>
    <t>Supply of Ambulances</t>
  </si>
  <si>
    <t>Ambulance</t>
  </si>
  <si>
    <t>South Korea</t>
  </si>
  <si>
    <t>BOQ development stage</t>
  </si>
  <si>
    <t>Japan</t>
  </si>
  <si>
    <t>Germany</t>
  </si>
  <si>
    <t xml:space="preserve">Education </t>
  </si>
  <si>
    <t>Rehabilitation of School</t>
  </si>
  <si>
    <t>School</t>
  </si>
  <si>
    <t>Canada</t>
  </si>
  <si>
    <t>Norway</t>
  </si>
  <si>
    <t>Other Educational building</t>
  </si>
  <si>
    <t>UK</t>
  </si>
  <si>
    <t>Netherlands</t>
  </si>
  <si>
    <t>Supply of Medical Waste incinerator</t>
  </si>
  <si>
    <t>Incinerator</t>
  </si>
  <si>
    <t>USA</t>
  </si>
  <si>
    <t>Supply of Generators</t>
  </si>
  <si>
    <t>Generator</t>
  </si>
  <si>
    <t>Rehabilitation of Hospital</t>
  </si>
  <si>
    <t>Hospital</t>
  </si>
  <si>
    <t>Water Pump</t>
  </si>
  <si>
    <t>Public Infrastructure and Services</t>
  </si>
  <si>
    <t>Supply of Pesticide Sprayer Trucks</t>
  </si>
  <si>
    <t>Pesticide Sprayer</t>
  </si>
  <si>
    <t>Supply of Water Pumps</t>
  </si>
  <si>
    <t>Italy</t>
  </si>
  <si>
    <t>Provision of Educational Equipment</t>
  </si>
  <si>
    <t>East</t>
  </si>
  <si>
    <t>Rehabilitation of Public Building</t>
  </si>
  <si>
    <t>Public Infrastructure</t>
  </si>
  <si>
    <t>Rehabilitation of Public Infrastructure</t>
  </si>
  <si>
    <t xml:space="preserve">Energy </t>
  </si>
  <si>
    <t>Rehabilitation of Substation</t>
  </si>
  <si>
    <t>Substation</t>
  </si>
  <si>
    <t>Suppy of Medical Equipment</t>
  </si>
  <si>
    <t>Medical Equipment</t>
  </si>
  <si>
    <t>Supply of Solar Panels</t>
  </si>
  <si>
    <t>Solar Panels</t>
  </si>
  <si>
    <t>Supply of Vehicles</t>
  </si>
  <si>
    <t>Vehicle</t>
  </si>
  <si>
    <t>Boat</t>
  </si>
  <si>
    <t>Supply and Installation of Solar Street Lights</t>
  </si>
  <si>
    <t>Solar Street Light</t>
  </si>
  <si>
    <t>Supply of Sewage Pumps</t>
  </si>
  <si>
    <t>Sewage Pump</t>
  </si>
  <si>
    <t>Supply of Fire Fighting Trucks</t>
  </si>
  <si>
    <t>Firetruck</t>
  </si>
  <si>
    <t>Supply of IT Equipment</t>
  </si>
  <si>
    <t>IT equipment</t>
  </si>
  <si>
    <t>Supply of Solar Power System</t>
  </si>
  <si>
    <t>Solar backup</t>
  </si>
  <si>
    <t>Supply of Sport Equipment</t>
  </si>
  <si>
    <t>Sports equipment</t>
  </si>
  <si>
    <t>Provision of Power Cables</t>
  </si>
  <si>
    <t>Educational equipment</t>
  </si>
  <si>
    <t>Rehabilitation of University</t>
  </si>
  <si>
    <t>University</t>
  </si>
  <si>
    <t>South</t>
  </si>
  <si>
    <t>Denmark</t>
  </si>
  <si>
    <t>refer to list</t>
  </si>
  <si>
    <t>Advertisement period ongoing</t>
  </si>
  <si>
    <t>With Procurement</t>
  </si>
  <si>
    <t>27.0266333333333
27.0360833333333
27.0334138888889
27.0401583333333
27.0456
27.0222</t>
  </si>
  <si>
    <t>14.4330194444444
14.411175
14.4601861111111
14.4233194444444
14.4361944444444
14.4569416666667</t>
  </si>
  <si>
    <t>Freezers</t>
  </si>
  <si>
    <t>26.5904472222222
26.5858</t>
  </si>
  <si>
    <t>12.8199638888889
12.7998694444444</t>
  </si>
  <si>
    <t>Supply of Furniture</t>
  </si>
  <si>
    <t>Other public equipment</t>
  </si>
  <si>
    <t xml:space="preserve">Rehabilitation of Public Market </t>
  </si>
  <si>
    <t>Libya</t>
  </si>
  <si>
    <t>Broadening</t>
  </si>
  <si>
    <t>Deepening</t>
  </si>
  <si>
    <t>Cable</t>
  </si>
  <si>
    <t>Underway</t>
  </si>
  <si>
    <t>Water Tanker</t>
  </si>
  <si>
    <t>24.97393889
24.96379722
24.95229444
24.97313056
24.96244444
24.93944444
24.94606389
24.88128333
24.89
24.91415278
25.0925
25.78479722
25.78435833
25.76058611
25.79748333
25.82989444
24.91415278
24.96423889
24.95082778
24.949925
24.97151944</t>
  </si>
  <si>
    <t>10.07
10.18631389
10.040025
10.01979167
10.18905556
10.16656111
10.0769
10.186225
10.54
10.53444444
10.35299444
10.56254722
10.56076944
10.56488889
10.53606667
10.51439444
10.93833333
10.18750833
10.18582222
10.15880278
10.17559722</t>
  </si>
  <si>
    <t>24.96423889
24.95082778
24.949925
24.97151944</t>
  </si>
  <si>
    <t>10.18750833
10.18582222
10.15880278
10.17559722</t>
  </si>
  <si>
    <t>24.97393889
24.96379722
24.95229444
24.97313056
24.96244444
24.93944444
24.94606389
24.88128333
24.89
24.91415278
25.0925
25.78479722
25.78435833
25.76058611
25.79748333
25.82989444
24.91415278</t>
  </si>
  <si>
    <t>10.07
10.18631389
10.040025
10.01979167
10.18905556
10.16656111
10.0769
10.186225
10.54
10.53444444
10.35299444
10.56254722
10.56076944
10.56488889
10.53606667
10.51439444
10.93833333</t>
  </si>
  <si>
    <t>Supply of Personal Protection Equipment</t>
  </si>
  <si>
    <t>PPE</t>
  </si>
  <si>
    <t>Supply of Equipment</t>
  </si>
  <si>
    <t>Mechanical equipment</t>
  </si>
  <si>
    <t>Supply of Pipes and Fittings</t>
  </si>
  <si>
    <t>WASH equipment</t>
  </si>
  <si>
    <t>Borehole Drilling</t>
  </si>
  <si>
    <t>Borehole drilling</t>
  </si>
  <si>
    <t>24.3261916666667
24.2199388888889</t>
  </si>
  <si>
    <t>23.1863083333333
23.2964083333333</t>
  </si>
  <si>
    <t>Supply of transformers</t>
  </si>
  <si>
    <t>Transformers</t>
  </si>
  <si>
    <t>Supply of Water Tankers</t>
  </si>
  <si>
    <t>27.0283972222222
27.0254333333333</t>
  </si>
  <si>
    <t>14.4411833333333
14.4364833333333</t>
  </si>
  <si>
    <t>27.0249
27.0266333333333</t>
  </si>
  <si>
    <t>14.4323222222222
14.4330194444444</t>
  </si>
  <si>
    <t>Work progress 0 - 25%</t>
  </si>
  <si>
    <t>27.0360833333333
27.0372916666667</t>
  </si>
  <si>
    <t>14.411175
14.4127972222222</t>
  </si>
  <si>
    <t>27.04135
27.04985</t>
  </si>
  <si>
    <t>14.430925
14.4158777777778</t>
  </si>
  <si>
    <t>Work progress over 75%</t>
  </si>
  <si>
    <t>27.0479444444444
27.0408166666667</t>
  </si>
  <si>
    <t>14.4284694444444
14.4339111111111</t>
  </si>
  <si>
    <t>Switzerland</t>
  </si>
  <si>
    <t>Site Handover done</t>
  </si>
  <si>
    <t>Supply of Computer Equipment</t>
  </si>
  <si>
    <t>Work progress 50% - 75%</t>
  </si>
  <si>
    <t>Cleaning Works and Removal of War Remnants</t>
  </si>
  <si>
    <t>ERW removal</t>
  </si>
  <si>
    <t>Supply of Refuse Trailers</t>
  </si>
  <si>
    <t>Gargabe trailer</t>
  </si>
  <si>
    <t>Supply &amp; Installation of Eco-LED Street light</t>
  </si>
  <si>
    <t>LED Light</t>
  </si>
  <si>
    <t>Works completed</t>
  </si>
  <si>
    <t>GMMRA</t>
  </si>
  <si>
    <t>Brak Al-Shati</t>
  </si>
  <si>
    <t>Non-SFL</t>
  </si>
  <si>
    <t>Covid-19</t>
  </si>
  <si>
    <t>Covid-19 Medical Equipment</t>
  </si>
  <si>
    <t>Covid-19 Isolatin Centre</t>
  </si>
  <si>
    <t>Advertisement period completed</t>
  </si>
  <si>
    <t>Gharyan</t>
  </si>
  <si>
    <t>Before</t>
  </si>
  <si>
    <t>After</t>
  </si>
  <si>
    <t>C/S ROK</t>
  </si>
  <si>
    <t>Canada (DFATD)</t>
  </si>
  <si>
    <t>Germany (KfW)</t>
  </si>
  <si>
    <t>Germany(KfW)</t>
  </si>
  <si>
    <t>Germany(MOFA)</t>
  </si>
  <si>
    <t>Germay(KfW)</t>
  </si>
  <si>
    <t>Gov't of Libya</t>
  </si>
  <si>
    <t>KfW</t>
  </si>
  <si>
    <t>START</t>
  </si>
  <si>
    <t>SUSC</t>
  </si>
  <si>
    <t>UK (FCO)</t>
  </si>
  <si>
    <t>USAID</t>
  </si>
  <si>
    <t>Contracted Amount</t>
  </si>
  <si>
    <t>Actual Expenditure (including admin fees)</t>
  </si>
  <si>
    <t>Remarks</t>
  </si>
  <si>
    <t>Remarks date</t>
  </si>
  <si>
    <t>Proc plan ref</t>
  </si>
  <si>
    <t>Quantity</t>
  </si>
  <si>
    <t>Donor Number</t>
  </si>
  <si>
    <t xml:space="preserve">Donor </t>
  </si>
  <si>
    <t>Randarray</t>
  </si>
  <si>
    <t>amount multiplier</t>
  </si>
  <si>
    <t>Delivered on 24 July 2018</t>
  </si>
  <si>
    <t>10159
717</t>
  </si>
  <si>
    <t>EU
C/S ROK</t>
  </si>
  <si>
    <t>With Project</t>
  </si>
  <si>
    <t>Further Funding</t>
  </si>
  <si>
    <t>Delivered on 26 July 2018</t>
  </si>
  <si>
    <t>Delivered on 28 August 2018</t>
  </si>
  <si>
    <t>10159
11410</t>
  </si>
  <si>
    <t>EU
UK</t>
  </si>
  <si>
    <t>Completed and handed over on 28 March 2021. Site handed over to contractor on 22 Oct 2020. Contract issued on 10 October 2020</t>
  </si>
  <si>
    <t>Only 3 regular ambulances delivered as "test case" for transportation to Sirt; initially remaining totals were subject to reset. Khalifa confirmed on 24 Feb 2020 that remaining 9 needs to be delivered as well</t>
  </si>
  <si>
    <t>Khalifa informed back in Jan 2021 that health sector authorities have reconfirmed that they need this rehabilitation. A letter stating the same was shared.</t>
  </si>
  <si>
    <t>Substantially handed over on 22 March 2020</t>
  </si>
  <si>
    <t>Completed on 31 March 2019</t>
  </si>
  <si>
    <t>Substantial handover on 28 Oct 2019</t>
  </si>
  <si>
    <t>Completed in 2018</t>
  </si>
  <si>
    <t>School completed in 2017
Roof completed in 2018</t>
  </si>
  <si>
    <t>10283
141</t>
  </si>
  <si>
    <t>Completed in 2018. Contract was ammended and the budget is the full amount</t>
  </si>
  <si>
    <t>10283
717</t>
  </si>
  <si>
    <t>Germany (KfW)
C/S ROK</t>
  </si>
  <si>
    <t>10159
10283</t>
  </si>
  <si>
    <t>EU
Germany (KfW)</t>
  </si>
  <si>
    <t>98720
112158</t>
  </si>
  <si>
    <t>Handed over on 20 Oct 2019.</t>
  </si>
  <si>
    <t>Cancelled</t>
  </si>
  <si>
    <t>End user to identify/Pending Sirt reset. Reconciled in new list</t>
  </si>
  <si>
    <t>substantial completion monitoring visit done on 25 dec 2019</t>
  </si>
  <si>
    <t>Substantial handover on 5 Nov 2019</t>
  </si>
  <si>
    <t>182
10159</t>
  </si>
  <si>
    <t>Netherlands
Germay(KfW)</t>
  </si>
  <si>
    <t>Delivered on XXXX</t>
  </si>
  <si>
    <t>Delivered in 2017. Pending installtion due to visa issues related to technician</t>
  </si>
  <si>
    <t>Handed over to USAID for implementation, Pending Sirt reset</t>
  </si>
  <si>
    <t>Supply of Electrical Equipment</t>
  </si>
  <si>
    <t>Substantial handover on 17 Oct 2019</t>
  </si>
  <si>
    <t>Handed over on 26 Nov 2019, signed docs received on 16 Jan 2020</t>
  </si>
  <si>
    <t>100% complete</t>
  </si>
  <si>
    <t>contract signed on 11 Oct</t>
  </si>
  <si>
    <t>Contract signed 16th Nov 2018</t>
  </si>
  <si>
    <t>717
95</t>
  </si>
  <si>
    <t>C/S ROK
Denmark</t>
  </si>
  <si>
    <t xml:space="preserve">Delivered on 15 Feb 2018 </t>
  </si>
  <si>
    <t>Germay(KfW)
Japan</t>
  </si>
  <si>
    <t>MoH verbally agreed that they will supply. Letter received on 13 July 2020 confirming cancellation of this project.</t>
  </si>
  <si>
    <t>Site survey done</t>
  </si>
  <si>
    <t>Delivered on 24 May 2018</t>
  </si>
  <si>
    <t>117
137</t>
  </si>
  <si>
    <t>Germany(MOFA)
Italy</t>
  </si>
  <si>
    <t>Works completed as of 15 March 2021.Signed handover documents shared on 7 Sep 2021.
Rehabilitation activites started on 19 August 2020. To rehabilitate the Isolation Centre, to address immediate COVID-19 priority, instead of rehabilitating Bani Walid General Hospital. Variation order (VO) submitted for approval.</t>
  </si>
  <si>
    <t>10283
182</t>
  </si>
  <si>
    <t>Germay(KfW)
Netherlands</t>
  </si>
  <si>
    <t>Delivered to Bani Walid on 3 Oct 2019</t>
  </si>
  <si>
    <t>10480
10283</t>
  </si>
  <si>
    <t>USAID
Germany(KfW)</t>
  </si>
  <si>
    <t>Delivered on 2018</t>
  </si>
  <si>
    <t>117
95</t>
  </si>
  <si>
    <t>Germany(MOFA)
Denmark</t>
  </si>
  <si>
    <t>10159
95</t>
  </si>
  <si>
    <t>EU
Denmark</t>
  </si>
  <si>
    <t>Confirmed by Mehdi</t>
  </si>
  <si>
    <t>Delivered to Bani Walid on 1st April 2019</t>
  </si>
  <si>
    <t>137
11410</t>
  </si>
  <si>
    <t>Italy
UK (FCO)</t>
  </si>
  <si>
    <t>Pumps delivered to Bani Walid on 12 May 2019</t>
  </si>
  <si>
    <t>137
10480</t>
  </si>
  <si>
    <t>Italy
USAID</t>
  </si>
  <si>
    <t>Delivered on 27 June 2019</t>
  </si>
  <si>
    <t>Delivered to Bani Walid on 10/02/2019. Transfer of title signed by Mayor.</t>
  </si>
  <si>
    <t>10159
717
141</t>
  </si>
  <si>
    <t>EU
C/S ROK
Japan</t>
  </si>
  <si>
    <t>Delivered to Bani Walid on  3 April 2019.</t>
  </si>
  <si>
    <t>10159
141</t>
  </si>
  <si>
    <t>EU
Japan</t>
  </si>
  <si>
    <t>Maintenance of Vehicles</t>
  </si>
  <si>
    <t>Completed in 2017</t>
  </si>
  <si>
    <t>DLP completed End Nov 2018</t>
  </si>
  <si>
    <t>187
10283</t>
  </si>
  <si>
    <t>Norway
Germany(KfW)</t>
  </si>
  <si>
    <t>141
151</t>
  </si>
  <si>
    <t>Japan
Gov't of Libya</t>
  </si>
  <si>
    <t>é</t>
  </si>
  <si>
    <t>Delivered on 5 Dec 2016</t>
  </si>
  <si>
    <t>Delivered on 4 Feb 2017</t>
  </si>
  <si>
    <t>Delivered on 1 Feb 2017</t>
  </si>
  <si>
    <t xml:space="preserve">End user suspended agreement, now pending Benghazi stocktake </t>
  </si>
  <si>
    <t>141
10159</t>
  </si>
  <si>
    <t>Japan
EU</t>
  </si>
  <si>
    <t>117
10283
10159</t>
  </si>
  <si>
    <t>Germany(MOFA)
Norway
EU</t>
  </si>
  <si>
    <t>141
10283</t>
  </si>
  <si>
    <t>Japan
Germay(KfW)</t>
  </si>
  <si>
    <t>Substantial handover done on 1 Sep 2019.</t>
  </si>
  <si>
    <t xml:space="preserve">10159
717
10283
141
187
</t>
  </si>
  <si>
    <t xml:space="preserve">EU
C/S ROK
Germay(KfW)
Japan
Norway
</t>
  </si>
  <si>
    <t>10480
10283
95
10159</t>
  </si>
  <si>
    <t>USAID
Germany (KfW)
Denmark
EU</t>
  </si>
  <si>
    <t>10480
95</t>
  </si>
  <si>
    <t>USAID
Denmark</t>
  </si>
  <si>
    <t>112158
98720</t>
  </si>
  <si>
    <t>Delivered on Feb 2017</t>
  </si>
  <si>
    <t>Installation and training pending. Site visit in early 2020 couldn't be conducted due to security situation. Coordinatioin with GPU Copenhagen will be done to ascertain when this can be done. Delivered to Kikla on 16 Dec 2019</t>
  </si>
  <si>
    <t>Substantial handover in 17 Feb 2018</t>
  </si>
  <si>
    <t>Delivered on 2016</t>
  </si>
  <si>
    <t>Delivered on 2017</t>
  </si>
  <si>
    <t>Delivered on Feb 2018</t>
  </si>
  <si>
    <t>budget merged with school funriture for Kikla</t>
  </si>
  <si>
    <t>FF on 17 July 2018</t>
  </si>
  <si>
    <t>DLP completed</t>
  </si>
  <si>
    <t>Handover in first week of October 2018</t>
  </si>
  <si>
    <t>Completed on 1 July 2018</t>
  </si>
  <si>
    <t>Payment done. Handed over on 14 Sep 2019</t>
  </si>
  <si>
    <t>112
12113
10480
141</t>
  </si>
  <si>
    <t>France
Canada (DFATD)
USAID
Japan</t>
  </si>
  <si>
    <t>Handed over on 2 Sep 2019.</t>
  </si>
  <si>
    <t>10159
717
10283</t>
  </si>
  <si>
    <t>EU
C/S ROK
Germay(KfW)</t>
  </si>
  <si>
    <t>Substantial handover done on 10 aug 2019</t>
  </si>
  <si>
    <t>Handed over on 27 August 2019</t>
  </si>
  <si>
    <t>10159
10283
10480</t>
  </si>
  <si>
    <t>EU
Germany (KfW)
USAID</t>
  </si>
  <si>
    <t>Handed over on 28 Aug 2019. 10 control panels were handed over to General Company of Water and Wastewater (GCWW) on 28 Dec 2020.</t>
  </si>
  <si>
    <t>10480
137
141
11410</t>
  </si>
  <si>
    <t>USAID
Italy
Japan
UK (FCO)</t>
  </si>
  <si>
    <t>Readvertised on 18 July 2022 with deadline on 31 July 2022.
On 12 July 2022, BOQ was confirmed by Ali and readvertisement request officially submitted to PU with all required documents.
On 20 June 2022, After a meeting with Engineering and Procurement unit, an email was shared with Procurement Unit to request readvertisement of this case. BoQ to be revised by Ali and share with PU.
Under evaluation. Advertised on 6 Jan 2022 with deadline on 21 Jan 2022. Request submitted through PROMPT on 23 December 2021.</t>
  </si>
  <si>
    <t>Pending Sebha reset/ cancelled as these were included in deepening school projects</t>
  </si>
  <si>
    <t>only enough budget for one 9-body freezer </t>
  </si>
  <si>
    <t>The neighbourhood eventually refused the incinerator because it would produce an awful smell</t>
  </si>
  <si>
    <t>DLP completed 24 March 2019</t>
  </si>
  <si>
    <t>DLP completed Nov end 2018</t>
  </si>
  <si>
    <t>10283
10480</t>
  </si>
  <si>
    <t>KfW
USAID</t>
  </si>
  <si>
    <t>Transported from Tipoli to Ubari on 16 August 2019.  Delivered on 22 Aug 2019</t>
  </si>
  <si>
    <t>141
95</t>
  </si>
  <si>
    <t>Japan
Denmark</t>
  </si>
  <si>
    <t>Delivered in 2017</t>
  </si>
  <si>
    <t>117
137
141</t>
  </si>
  <si>
    <t>Germany(MOFA)
Italy
Japan</t>
  </si>
  <si>
    <t>Delivered in Feb 2019</t>
  </si>
  <si>
    <t>117
141</t>
  </si>
  <si>
    <t>Germany(MOFA)
Japan</t>
  </si>
  <si>
    <t>Handed over on 20 Feb 2020. Works completed on 10 Dec 2019.</t>
  </si>
  <si>
    <t>11410
137</t>
  </si>
  <si>
    <t>UK (FCO)
Italy</t>
  </si>
  <si>
    <t>Works completed and handed over on 27 Jan 2021.</t>
  </si>
  <si>
    <t>Handed over on 20 Feb 2020</t>
  </si>
  <si>
    <t xml:space="preserve">Handed over on 9 June 2021. Actual works completed on 27 Feb 2021 as recorded. Site handedover to contractor on 1 Oct 2020. Contract issued on 9 September 2020. </t>
  </si>
  <si>
    <t>Completed and handed over on 16 September 2021. Site handed over on 16 August 2020. Contract issued on 28 July 2020.</t>
  </si>
  <si>
    <t>Handed over to municipalities of Souq Al Gomma, Tajoura, Abu Salim, Ein Zara and Janzour (12 July 2019)</t>
  </si>
  <si>
    <t>141
187</t>
  </si>
  <si>
    <t>Japan
Norway</t>
  </si>
  <si>
    <t>CANCELED by MoP. Email from Ala on 03/12/2018</t>
  </si>
  <si>
    <t>2nd November 2018</t>
  </si>
  <si>
    <t>Rehabilitation of Dump Yard</t>
  </si>
  <si>
    <t xml:space="preserve">Stopped after municipality intervention/takeover. Pending clarity. </t>
  </si>
  <si>
    <t>Handed over on 25 Sep 2019</t>
  </si>
  <si>
    <t>Tripoli, Janzour</t>
  </si>
  <si>
    <t>DLP effective till 2nd June 2019</t>
  </si>
  <si>
    <t>contract signed on 30th July</t>
  </si>
  <si>
    <t>DLP completed 25th Apr 2019</t>
  </si>
  <si>
    <t>Handover documents signed on 5 Nov 2020. Transfer of title lists equipment under Lot A &amp; D delivered. Sensitive reagents (Lot B &amp; C) not included.</t>
  </si>
  <si>
    <t>187
12113
117
10480</t>
  </si>
  <si>
    <t>Norway
Canada (DFATD)
Germany (MOFA)
USAID</t>
  </si>
  <si>
    <t xml:space="preserve">Tripoli, Abu Salim </t>
  </si>
  <si>
    <t>Handed over on 31 August 2020.</t>
  </si>
  <si>
    <t>DLP effective till 15 Sep 2019</t>
  </si>
  <si>
    <t>DLP effective till 15 Sep 2020</t>
  </si>
  <si>
    <t>DLP effective till 15 Sep 2021</t>
  </si>
  <si>
    <t>Tripoli, Al-Swani</t>
  </si>
  <si>
    <t>Tripoli, Sidi Al-Sayah</t>
  </si>
  <si>
    <t>Damaged due to recent conflict. Completion certificate signed as per existing BoQ and SoW on 11 Aug 2020. Handed over on 4 Sep 2019. Handover docs received on 15 April 2020. Therefore, not reflected in 2019 Annual report.</t>
  </si>
  <si>
    <t>141
137</t>
  </si>
  <si>
    <t>Japan
Italy</t>
  </si>
  <si>
    <t>handed over on 5 jan 2020</t>
  </si>
  <si>
    <t>Tripoli, Al-Garabouli</t>
  </si>
  <si>
    <t>Handed over on 19 Nov 2019</t>
  </si>
  <si>
    <t>Completed back in Nov 2019, handover documents signed in July 2020 after completion of Al-Gwea school</t>
  </si>
  <si>
    <t xml:space="preserve">Completed on 27 July 2020
</t>
  </si>
  <si>
    <t>Tripoli, Central Tripoli</t>
  </si>
  <si>
    <t>DLP effective till 21st Aug 2019</t>
  </si>
  <si>
    <t>Delayed handover due to conflict</t>
  </si>
  <si>
    <t>Tripoli, Al-Ssabiaa</t>
  </si>
  <si>
    <t>Completed and handed over on Oct 2020. Site handed over on 17 June 2020.</t>
  </si>
  <si>
    <t>Tripoli, Ein Zara</t>
  </si>
  <si>
    <t>DLP effective till 18 Sep 2019</t>
  </si>
  <si>
    <t>Tripoli, Hay Al-Andoules</t>
  </si>
  <si>
    <t>Handover recorded/completed much later than actual completion due to conflict</t>
  </si>
  <si>
    <t>Tripoli, Ben Gashir</t>
  </si>
  <si>
    <t>Completed and handed over on 3 Jan 2021</t>
  </si>
  <si>
    <t>Completion according to previous contract recorded and signed dated 19 April 2020 to close the contract.</t>
  </si>
  <si>
    <t xml:space="preserve">Completion according to previous contract recorded and signed dated 19 April 2020 to close the contract. Repair works for substantial damage will be conducted under new contract, subject to additional funding.
</t>
  </si>
  <si>
    <t>Tripoli, Souq Al-Khamees</t>
  </si>
  <si>
    <t>Construction completed back in March 2019 but subastantial handover delayed due to start of conflict</t>
  </si>
  <si>
    <t>Construction completed back in april 2019 but subastantial handover delayed due to start of conflict</t>
  </si>
  <si>
    <t>USAID
Germay(KfW)</t>
  </si>
  <si>
    <t>Tripoli, Souq Al-Gomma</t>
  </si>
  <si>
    <t>DLP effective till 6 Sep 2019</t>
  </si>
  <si>
    <t>Delivered on 30 June 2019</t>
  </si>
  <si>
    <t>Tripoli, Tajoura</t>
  </si>
  <si>
    <t>DLP effective till 5 June 2019</t>
  </si>
  <si>
    <t>DLP effective till 15 June 2019</t>
  </si>
  <si>
    <t>Unidentified</t>
  </si>
  <si>
    <t>Delivered to end users on 7 May 2021. PO issued on 25 June.</t>
  </si>
  <si>
    <t xml:space="preserve">Germany (KfW)
C/S ROK </t>
  </si>
  <si>
    <t xml:space="preserve">Delivered as of 11 June 2021. ETA Misurata 8 May 2021. </t>
  </si>
  <si>
    <t>To be readvertised, revised BOQ approval in process</t>
  </si>
  <si>
    <t>Completed and handed over on 4 October 2021. Contract signed on 25 March 2021.</t>
  </si>
  <si>
    <t>PO issued on 16 Oct 2019. DAMCO ordered for shipment on same day. Delivered on 26/10.</t>
  </si>
  <si>
    <t>10480
10159</t>
  </si>
  <si>
    <t>USAID
EU</t>
  </si>
  <si>
    <t>On May 28 2021, Vendor sent a payment request confirming that the equipment have already been delivered. PO issued on 25 April 2021.</t>
  </si>
  <si>
    <t>Handed over on 22 June 2020. Shipment was stopped by the Benghazi customs who did not accept Diplomatic Exemption from MOFA and requested to pay the custom fees @6.35% of total invoice value.</t>
  </si>
  <si>
    <t>Completed and handed over on 8 April 2021. 1st part-ICU and newborn ward completed and handed over on 19 Nov 2020. 2nd part-patient's room is ongoing and will complete on 20 Feb 2021. Site handed over to contractor on 14 June 2020.</t>
  </si>
  <si>
    <t>Norway
Germay(KfW)</t>
  </si>
  <si>
    <t>Works completed. Handover done on 18 Dec 2020. Contract amended on 30 Nov to extend implementation until 30 Dec 2020. Site handed over to contractor on 20 July 2020. Contract issued on 9 July 2020.</t>
  </si>
  <si>
    <t>Substantially handed over on 20 July 2020.</t>
  </si>
  <si>
    <t>Completed and handed over on 14 Oct 2020. Site handed over to contractor on 27 July 2020. Contract issued on 18 June 2020.</t>
  </si>
  <si>
    <t>Completed on 10 June 2021. Signed handover document shared on 21 Dec 2021.</t>
  </si>
  <si>
    <t>10283
151</t>
  </si>
  <si>
    <t>Germay(KfW)
Gov't of Libya</t>
  </si>
  <si>
    <t>Completed and handed over on 10 April 2021. Contract issued on 22 August 2020.</t>
  </si>
  <si>
    <t>Supply of Sewage Treatment Plant</t>
  </si>
  <si>
    <t>On 5 Feb 2021, Shembesh confirmed verbally that this has been cancelled. Shembesh provided signed updated projects list for Benghazi on 23 Feb 2021.</t>
  </si>
  <si>
    <t>Treatment plant</t>
  </si>
  <si>
    <t>Completed and handed over on 11 Feb 2021. Site handed over on 10 Dec 2020. Contract issued on 5 Dec 2020.</t>
  </si>
  <si>
    <t>Completed and handed over on 28 Nov 2021. Contract issued on 26 June 2021.</t>
  </si>
  <si>
    <t>3 ICU ambulances handed over on 6 Oct 2020. One regular ambulance delivered on 26 March 2020.</t>
  </si>
  <si>
    <t>Delivered as of 11 June 2021. ETA Misurata 8 May 2021. PO issued on 2 June 2020.</t>
  </si>
  <si>
    <t>Handed over on 16 Dec 2020. PO issued on 25 June 2020.</t>
  </si>
  <si>
    <t>112
717</t>
  </si>
  <si>
    <t>France
C/S ROK</t>
  </si>
  <si>
    <t xml:space="preserve">Handed over on 28 Jan 2021. Document pending. Arrived to Benghazi port on 3 Dec 2020. PO issued on 25 June 2020. </t>
  </si>
  <si>
    <t>Japan
Germany(KfW)</t>
  </si>
  <si>
    <t>121748
112158</t>
  </si>
  <si>
    <t>Handed over to Derna municipality on 8 Nov 2021. PO issued on 13 April 2021.</t>
  </si>
  <si>
    <t>11410
187</t>
  </si>
  <si>
    <t>UK (FCO)
Norway</t>
  </si>
  <si>
    <t>Contract Issued</t>
  </si>
  <si>
    <t>As of 3 August 2022, Ehab working on to plan site handover. Contract issued on 22 June 2022. Request submitted through PROMPT on 22 December 2021.</t>
  </si>
  <si>
    <t>Handed over on 14 July 2021. Site handed over on 25 Jan 2021. Contract issued on 27 Dec 2020.</t>
  </si>
  <si>
    <t>151
10159</t>
  </si>
  <si>
    <t>Gov't of Libya
SUSC</t>
  </si>
  <si>
    <t>112158
122619</t>
  </si>
  <si>
    <t>Handed over on 12 Nov 2020.</t>
  </si>
  <si>
    <t>Handed over on 14 July 2020.</t>
  </si>
  <si>
    <t>10283
117
10159</t>
  </si>
  <si>
    <t>Germay(KfW)
Germany(MOFA)
EU</t>
  </si>
  <si>
    <t>Delivered to Ghat as reported by Jamal on 14 Dec 2019. Handed over on 18 Dec 2019</t>
  </si>
  <si>
    <t>Handed over on 18 March 2020</t>
  </si>
  <si>
    <t>Handed over on 16 March 2020. 17 distributed to 17 water wells and 4 installed at Sewage Lifting Station in Ghat.</t>
  </si>
  <si>
    <t>Handed over to Ghat Water Company on 14 June 2020.</t>
  </si>
  <si>
    <t>Handed over to Ghat Water &amp; Wastewater Company on 14 June 2020.</t>
  </si>
  <si>
    <t>Handed over on 7 Oct 2020. PO issued on 25 Feb.</t>
  </si>
  <si>
    <t>141
151
10159</t>
  </si>
  <si>
    <t>Japan
Gov't of Libya
SUSC</t>
  </si>
  <si>
    <t>Handed over on 11 April 2021. PO issued on 2 June 2020.</t>
  </si>
  <si>
    <t>112
10283</t>
  </si>
  <si>
    <t>France
Germay(KfW)</t>
  </si>
  <si>
    <t>Cables arrived to Ghat on 3 Sep 2019. Handed over on 23 Sep</t>
  </si>
  <si>
    <t>Delivered to end users on 11 may 2021. Arrived to Ghat on same day.</t>
  </si>
  <si>
    <t>10283
11410</t>
  </si>
  <si>
    <t>Germay(KfW)
UK (FCO)</t>
  </si>
  <si>
    <t>Readvertised on 6 July 2022 with deadline on 18 July 2022.
Readvertisement request with ISRF was submitted on 22 June 2022. This case was readvertised as per discussion with Engineering and Procurement Unit on 20 June 2022.
As informed by Ali on 1 June 2022, Meeting was held with Site engineer and Compnay - planning to start the work on 15 June 2022.
On 18 May 2022, Shembesh agreed to work on to provide update within one week with clear picture on when this can be started. Same contractor working for resilience and progress there is also very slow. 
Work not started yet as workers and some equipment are stuck in Tunis due to land route closure. Drillers are in site. Site handover done on 31 March 2021. Start of work expected within 5 days of handover. Contract issued on 6 Dec 2020. CAP approved on 27 Nov 2020. Contract sent for RR's signature on 30 Nov 2020.</t>
  </si>
  <si>
    <t xml:space="preserve">Termination letter signed and shared on 24 Sep 2021. 
Qualified bidder signed the initial contract; however, they have requested to increase the contract's value up to an additional 75%. 
Site handover to contractor done on 2 March 2021. Contract issued on 29 Jan 2021. </t>
  </si>
  <si>
    <t>Will be evaluated with end users whether to go ahead or push this back to free some funds for Kufra. Technical documents submitted on 10 Sep 2019. E-req submitted, approval pending.</t>
  </si>
  <si>
    <t>Completed on 8 April 2021 with spare parts also handed over and signed. Official handover event remaining.
Site is handed over to contactor on 13 Oct 2020 to start the work.</t>
  </si>
  <si>
    <t>187
10159</t>
  </si>
  <si>
    <t>Norway
SUSC</t>
  </si>
  <si>
    <t xml:space="preserve">As discussed with the municipality and community reps , these two play areas are based in both Tebu and Zwey Areas. SFL can proceed with this project </t>
  </si>
  <si>
    <t>End users don't know how to operate. PU exploring possiblities to resolve this. Delivered to end users on 25 May 2021. PO issued on 20 May.</t>
  </si>
  <si>
    <t>10283
10159
137</t>
  </si>
  <si>
    <t>Germany(KfW)
SUSC
Italy</t>
  </si>
  <si>
    <t>Handed over on 22 March 2022. Arrived in Misurata port on 27 Feb 2022. Produced as informed on 24 November 2021. PO issued on 29 Dec 2020.</t>
  </si>
  <si>
    <t>Handed over on 29 August 2021. PO issued on 29 Dec 2020. Technical documents submitted on 25 Nov 2020</t>
  </si>
  <si>
    <t>151
182</t>
  </si>
  <si>
    <t>Gov't of Libya
Netherlands</t>
  </si>
  <si>
    <t>Handed over on 27 August 2020. Al-Akaber school is a center for the education of older women who did not have the opportunity to learn when they were young</t>
  </si>
  <si>
    <t>10283
10159</t>
  </si>
  <si>
    <t>Germay(KfW)
EU</t>
  </si>
  <si>
    <t>Substantial handover document signed backdated and shared on 11 Feb 2021 with handover date as 11 May 2020. Unofficial handover (taking over) done for student's use on 5 May.</t>
  </si>
  <si>
    <t>Handed over on 5 July 2021. As of 15 July 2021, minor defects rectification in progress and will be ready for use after Eid 24-25 July 2021. Contract Issued on 14 Nov 2019.</t>
  </si>
  <si>
    <t>12.5% completed. Site handed over on 21 August 2022. Contract issued on 10 August 2022. Pre-bid site visit conducted on 26 Jan 2022. Request submitted through PROMPT on 28 December 2021.</t>
  </si>
  <si>
    <t>Completed and handed over. Al-Wahda school handed over on 21 Jan 2021. Al-Khansa school handed over on 31 Dec 2020.</t>
  </si>
  <si>
    <t>141
717</t>
  </si>
  <si>
    <t>Japan
C/S ROK</t>
  </si>
  <si>
    <t>Completed and handed over on 5 May 2021. Site handed over on 29 Sep 2020.</t>
  </si>
  <si>
    <t xml:space="preserve">85% completed. As of 21 July 2022, awaiting revised time schedule from contractor. Site handed over on 1 Feb 2022. Contract issued on 20 Jan 2022.
Cost (additional US$ 14,719) amendment and time extension (30 days) request submitted to PU on 29 April 2022. </t>
  </si>
  <si>
    <t>10159
137</t>
  </si>
  <si>
    <t>SUSC
Italy</t>
  </si>
  <si>
    <t>Handed over on 24 August 2020. Located in Al-Tayyari neighbourhood which is one of the most marginalized neighborhoods in the city where many old huts and slums still surround the clinic.</t>
  </si>
  <si>
    <t>Netherlands
EU</t>
  </si>
  <si>
    <t>Works completed. Handed over on 3 May 2020. Handover doc signed on 22 Dec 2020.</t>
  </si>
  <si>
    <t xml:space="preserve">Completed and handed over on 10 Jan 2021.  Site handed over on 19 January 2020. </t>
  </si>
  <si>
    <t>The contract was closed. in conversation with PU, it was decided to open a small contract for the additional work. Total completed (Block B) and handed over on 5 Jan 2021. Block A Completed and handed over on 29 Oct 2020. Site handed over to contractor on 6 September 2020. Contract issued on 26 June 2020.</t>
  </si>
  <si>
    <t>Handed over on 12 March 2020.</t>
  </si>
  <si>
    <t>717
10159</t>
  </si>
  <si>
    <t>C/S ROK
SUSC</t>
  </si>
  <si>
    <t xml:space="preserve">Completed and Handed over on 2 May 2021. Additional works also completed as of 8 Apr 2021. Site handover for additional works done on 18 Jan 2021. Issued on 12 Dec 2019. Site handed over on 25 Dec 2019. </t>
  </si>
  <si>
    <t>10283
112</t>
  </si>
  <si>
    <t>Germay(KfW)
France</t>
  </si>
  <si>
    <t>Trucks delivered to Sebha and physically handed over on 22 Oct 2020. Documents were already signed back in 22 July along with 3 pumps.</t>
  </si>
  <si>
    <t>Germay(KfW)
SUSC</t>
  </si>
  <si>
    <t>Handed over to General Water and Sanitation company on 22 July 2020.</t>
  </si>
  <si>
    <t>Completed and handed over on 20 Dec 2020. Contract amended to include additional works on 3 Nov 2020. The extra work was added to the BoQ to accommodate Tebu access to the water system to avoid any conflict in the village. Site handed over on 3 Sep 2020. (the wells are located in Godwah village 70 km south from Sebha).
Contract issued on 21 June 2020.</t>
  </si>
  <si>
    <t>Sector 13,14,15 handed over on 23 Dec 2021. Sectors 4 &amp; 5 handed over by 3 May 2021. Sector 1,2 &amp; 3 (284 out of 1070 poles) handed over on 30 March 2021 Site handed over on 3 Dec 2020. Access to site from 10 Dec 2020. 
PO issued with GPU CREE Copenhagen on 3 March 2020.</t>
  </si>
  <si>
    <t>As informed by PU on 8 Oct 2020, Contractor informed its inability to implement due to change of market for materials and high cost for tranportation to import from abroad in light of covid-19 as well as curfews and lock downs. Now prices will be re-assessed and new estimates prepared. Evaluation criteria will be adjusted accordingly. ITB invitation may be extended to qualified companies only. Contract issued on 11 April 2020.</t>
  </si>
  <si>
    <t>82% completed. Site handed over on 15 Sep 2021. Site handover was delayed as municipality was working to  ensure that site is registered with the Real Estate Registration Authority so that there's no dispute over it. Contract issued on 12 May 2021.-</t>
  </si>
  <si>
    <t>Cables arrived to Sebha Airport on 2 Sep 2019. Handed over on 8 sep 2019</t>
  </si>
  <si>
    <t>Competed and handed over on 28 Oct 2020. Site handover to contractor on 26 April 2020. Contract issued on 15 April 2020. This project was visited by Gerardo who promised it will receive the full attention  and support of UNDP.</t>
  </si>
  <si>
    <t>Site handover was blocked by another contractor, who is reported to have been contracted initially back in 2013 to Rehabilitate this school. Khalifa, in coordination with authorities, identified Al-Manara school as a replacement. A letter stating the same was shared by Khalifa on 29 Dec 2020. Contract for Omar Ibn Al-Alas was issued on 23 Oct 2020.</t>
  </si>
  <si>
    <t>Completed and handed over on 25 Feb 2022. Contract issued on 18 August 2021. Identified as a replacement for Omar Ibn Al-Alas School, as per letter shared by Khalifa on 29 Dec 2020.</t>
  </si>
  <si>
    <t>Completed and handed over on 15 April 2021. Contract issued on 4 Nov 2020.</t>
  </si>
  <si>
    <t xml:space="preserve">Completed and handed over on 31 Dec 2020. Site handed over on 16 Nov 2020. Contract issued on 23 Oct 2020. </t>
  </si>
  <si>
    <t>Non SFL</t>
  </si>
  <si>
    <t>PBF</t>
  </si>
  <si>
    <t>PO issued on 6 April 2022. Request submitted through PROMPT on 29 December 2021.</t>
  </si>
  <si>
    <t>122619
112158</t>
  </si>
  <si>
    <t>Email sent to PU to drop this request on 22 March 2022. PFI quote of US$ 430,500 was much higher than initial estimate of US$ 95,000, therefore removed. Quote request in process. Request submitted through PROMPT on 29 December 2021.</t>
  </si>
  <si>
    <t>PO issued on 21 July 2022. CAP approved on 23 June 2022. Sumbitted to CAP on 15 June 2022. Evaluation done by Anis Karoui.
Under technical evaluation. Anis requested clarification from end users on 3 topics on 24 Feb 2022. Official response from end users related to enquiries were shared by Khalifa on 1 March 2022. Request submitted through PROMPT on 29 December 2021.</t>
  </si>
  <si>
    <t>On 21 June 2022, WFP (Christina) informed that the equipment is out of stock and new delivery lead time will be 8-12 months. Algaddafi (coordinator) agreed with the provided delivery timeline, which was communicated to PU on 23 June 2022. PO issued on 6 April 2022. Request submitted through PROMPT on 23 December 2021.</t>
  </si>
  <si>
    <t>PO issued on 6 April 2022. Request submitted through PROMPT on 23 December 2021.</t>
  </si>
  <si>
    <t>BOQ completed. To be uploaded to PROMPT soon</t>
  </si>
  <si>
    <t>Completed and  Handed over on 14 September 2021. Site handed over on 22 April 2021. Contract issued on 17 April 2021.</t>
  </si>
  <si>
    <t>This project is in response to WHO's request to support Sirt Health Emergency condition. Put under priority 2.</t>
  </si>
  <si>
    <t>Site handed over on 4 September 2022. Contract signed on 3 September 2022. Readvertised on 13 July 2022 with deadline on 3 August 2022. On 12 July 2022, BOQ was confirmed by Ali and readvertisement request officially submitted to PU with all required documents.
Under evaluation. Request submitted through PROMPT on 23 December 2021.</t>
  </si>
  <si>
    <t>As informed by Shohrukh on 4 August 2022, Ambulance shall be ready soon. PO issued on 6 April 2022. Request submitted through PROMPT on 23 December 2021.</t>
  </si>
  <si>
    <t>127766
112158</t>
  </si>
  <si>
    <t>Technical documents submitted on 13 September 2019</t>
  </si>
  <si>
    <t>Handed over on 28 August 2019</t>
  </si>
  <si>
    <t>Substantial handover on 23 Jan 2020.</t>
  </si>
  <si>
    <t>EU
Germay(KfW)</t>
  </si>
  <si>
    <t>Handed over on 7 July 2020. Before suspended internally. Contract issued on 10 Jan 2020.</t>
  </si>
  <si>
    <t>Substantial handover done on 27 July 2020. Site handed over to contractor on 12 May 2020. Before this suspended internally. Issed on 30 Jan 2020</t>
  </si>
  <si>
    <t>Handed over on 2 September 2020. Site handed over to contractor on 12 May 2020. Before this suspended internally. Issed on 21 Jan 2020</t>
  </si>
  <si>
    <t>On 23 May 2022, Letter received from Tawergha Municipality that they've received all equipment as agreed.
Electricity is there so end users were asking for generators in place of Solar panels. Solar panels needs readvertisement as of 26 March 2021. Solar Panels on advertisement with deadline of 9 Nov 2020. VSAT completed by 31 Oct 2020. Furnitures delivered on 21 September 2020 and to be installed in Lab shortly. Computers handed over on 21 May 2020.
Solar Panels - the mayor has requested to supply generator instead of the solar panels, request is under review by the project.</t>
  </si>
  <si>
    <t>Norway
Germany(KfW)
Netherlands</t>
  </si>
  <si>
    <t>Handed over on 13 Sep 2020. Site handed over to contractor on 2 September 2020. Contract issued on 26 August 2020. Tawergha computer lab project divided into equipment delivery and rehabiliation separately</t>
  </si>
  <si>
    <t>Handed over on 23 August 2021. Fabrication of foundation will start by 1 March. Site handed over on 17 Dec 2020. PO issued on 16 Nov 2020.</t>
  </si>
  <si>
    <t>Handed over on 22 March 2022. Under customs clearance process as of 15 March 2022. Diplomatic exemption received on 10 March 2022. Arrived in Misurata port on 27 Feb 2022. Produced as informed on 24 November 2021. PO issued on 31 Dec 2020. Technical document submitted on 25 Nov 2020. Revised e-req shared on 6 Dec 2020.</t>
  </si>
  <si>
    <t>Handed over on 8 September 2021. Handover Status unconfirmed. As communicated by Shohrukh on 18 July, ETA Misurata 20 August 2021. Shipment started from Belgium on 15 July 2021. Technical document submitted on 25 Nov 2020. Revised e-req shared on 6 Dec 2020.</t>
  </si>
  <si>
    <t>65% compelted. Site handover done on 3 Feb 2022. Contract issued on 22 Jan 2022.</t>
  </si>
  <si>
    <t>10159
12</t>
  </si>
  <si>
    <t>SUSC
RFF</t>
  </si>
  <si>
    <t>122619
125873</t>
  </si>
  <si>
    <t>Handover for both done on 25 August 2021. Allam neighbourhood completed on 4 July 2021. Site handed over to contractor on 9 June 2021. LIBMAC issued clearance letter on 3 June 2021. Contract issued on 3 May 2021. As of 6 May 2021, site handover postponed until receipt of Mine Clearance Certificate from LIBMAC</t>
  </si>
  <si>
    <t>Site handed over to contractor on 22 June 2022. Contract issued on 14 June 2022. Submitted to RACP for review on 2 June 2022. Request submitted through PROMPT on 27 December 2021.</t>
  </si>
  <si>
    <t>151
137</t>
  </si>
  <si>
    <t>Gov't of Libya
Italy</t>
  </si>
  <si>
    <t>Defect reported in 2 trailers on Aug 2 2020. PU checking with LTA holder regarding warranty and truck malfunction as of 6 Oct 2020. Handed over on 6 April 2020. Refuse collectors arrived to Tripoli on 27 March 2020. Tractor heads also delivered to Tripoli in Abu Salim, Ein Zara, Souq Al-Gomma, Tajoura and Tripoli Centre municipalities.</t>
  </si>
  <si>
    <t>10283
141
10480
10159</t>
  </si>
  <si>
    <t>Germay(KfW)
Japan
USAID
EU</t>
  </si>
  <si>
    <t xml:space="preserve">Handed over on 1st week of July 2020. 8 refuse collectors delivered on 17 May. 2 tractor heads delivered to Tripoli Crisis Committee as reported by Ala on 8 June. Hay Al-Andalus and Ben Gashir municipalities. </t>
  </si>
  <si>
    <t>On 3 June 2022, Yuka informed Shohrukh about cancelling this contract and sought his advise for next steps. On 20 June 2022, Shohrukh advised to get formal communication from end user to cancel the contract. Yuka asked Saeid for the letter on the same day.
As communicated by Saeid Zekry on 27 May 2022, the contractor was informally informed by him on 24 May 2022 that the contract will be cancelled. Based on agreement in internal meeting of 18 May 2022, Yuka asked Saeid Zekry and Ala Dhiem on 20 May 2022 to communicate to the contractor to explain the situation to cancel the contract. Once this is done, Yuka will ask procurement officially.
Internal issues related to GECOL and Ministry has delayed start of work. Saeid working to resolve this with respective counterparts. Final meetings planned to be concluded in March and work likely to start from mid April 2022. Contract issued on 12 November 2021.</t>
  </si>
  <si>
    <t>Signed Contract Amendment shared on 12 July by PU.
Request for contract amendment with additional works with value of US$ 115,441 and timeline extension of 2 months submitted to PU on 22 June 2022. 90% completed. As of 1 June 2022, MOP request for Cost amendment appx: 113,000 USD , Waiting for approval and documentation.
Site handover done on 29 September 2021. Contract issued on 20 June 2021. Based on the received offers, only one company may be qualified, subject to obtaining clarifications from the company. Once received, the PU will finalize the case and submit it to RACP for review. The PU has sent the request to provide the additional documents on 29 March 2021.
Pre bid site visit conducted on 3 March 2021. Advertised on 23 Feb with deadline on 16 March 2021. Technical documents submitted on 23 Dec 2020. E-req shared on 20 Jan 2021.</t>
  </si>
  <si>
    <t>151
187
137</t>
  </si>
  <si>
    <t>Gov't of Libya
Norway
Italy</t>
  </si>
  <si>
    <t>Based on information received from site , the rehabilitation project is already  started by Hospital administration</t>
  </si>
  <si>
    <t>Ben Gashir completed and handed over on 31 March 2021. During  the cleaning rubble removal in Qaser Bin Ghashir municipality  some Unexploded Explosive Ordnance (UXO) are found on site , and the cleaning works are suspended at the moment until further cleared by LIBMAC. Al-Ssabiaa completed and handed over on 4 March 2021. Document pending. Handover of 18 locations for Al-Ssabia municipality done on 24 Jan 2021. PO issued on 30 Dec 2020. Ali shared clearance letter received from LibMac, clearing 18 locations in Al-Ssabea and 20 locations in Ben Gashir.</t>
  </si>
  <si>
    <t>Handed over on 9 August 2022. Works completed on 29 July 2022 as reported by Ahmed Albukhari. Work started on 3 July 2022.
As of 27 June 2022, contractor was transporting required machinary to site. Work to start from 1st week of July 2022.
Mining clearance approval was received on 20 June 2022.
On 19 May 2022, the site was handed over to contractor for 2nd phase of works. Clearnce from Ministry of defencse was expected to be received within a week. This one week period will also serve as mobilizatiion period for contractor to start the works.
As of end of March 2022, still in negotiation to decide new locations. Now when the location will be finalized, LIBMAC will need to conduct survey for clearance. Implementation period is less than a month.
Works in Abu Salim completed. Handover scheduled on 4 August 2021. Libmac location clearance letter for Ein Zara received on 31 May 2021. Abu Salim site handed over on 17 May 2021. PO created on 8 April 2021 and successfully dispatched/shared on 21 April after valid CoA. Revised e-req shared on 8 April 2021.  E-req shared on 17 Feb 2021</t>
  </si>
  <si>
    <t>To be readvertised. BOQ will be changed.</t>
  </si>
  <si>
    <t>Handed over on 4 October 2020.</t>
  </si>
  <si>
    <t>Works completed and final sector handed over on 26 Nov 2020. PO issued on 2nd week of Dec 2019.</t>
  </si>
  <si>
    <t>Completed and handed over on 27 March 2022. Started on 6 April 2021. On 10 March 2021, end user issued letter to abide by technical specification in original SoW and BoQ and approved revised BOQ. Contractor also agreed to implement in line with original contract terms, as per revised BoQ, and within originally agreed amount . Contract issued on 24 Dec 2020.  
Roundabout and airport project divided into 2 projects.</t>
  </si>
  <si>
    <t>Completed and handed over on 29 August 2021. The project was suspended on 1 May 2021 due to intervention from unknown armed group entering the site and forcing the contractor team to stop the work and leave the site immediately. Contract issued on 6 Feb 2021.
Roundabout and airport project divided into 2 projects</t>
  </si>
  <si>
    <t xml:space="preserve">MoH requested hospital to submit evidence of having qualified personnel to operate the equipment . Letter received and sent to MoH . MoH was expected to send people on the ground to make verifications. This Project can be cancelled completely by the SFL as Mehdi was informed by the MoH that (1) Obari does not have capacity to operate MRI CT scanner , (2) MoH has a number of Scanners in Tripoli which it can supply to hospitals that have qualified personnel to operate the equipment. </t>
  </si>
  <si>
    <t xml:space="preserve">Works completed. Will be ready for handover by 1st week of June 2022.
Work just started as of 18 feb after access was given to site. Site handed over on 26 Oct 2020. Mayor was in Tripoli as of 13 Oct and he wanted to be present in this handover. Planning to come by end of this week (18 Oct) to Ubari. Contract issued on 24 Sep 2020. </t>
  </si>
  <si>
    <t>11410
717
141</t>
  </si>
  <si>
    <t>UK (FCO)
C/S ROK
Japan</t>
  </si>
  <si>
    <t>112158
119794</t>
  </si>
  <si>
    <t>On 25 April 2022, as per discussion with RR, this case was suspended due to unexpected funding issue under SUSC. Procurement unit acknowledged suspension request on same day. Advertised on 7 April 2022 with deadline on 28 April 2022. TNRL activity to be implemented by SFL. Needs to be contracted.</t>
  </si>
  <si>
    <t>1st batch, which consists of 430 cartridges (10 tests per cartridge), has been succesfully delivered to Misrata CNDC Warehouse on 14 July 2020. All the remaining cartridges (1070) were delivered to Misrata CNDC Warehouse on late August 2020. To be distributed by MoH to Sebha, Tripoli, Kufra and Ghat.</t>
  </si>
  <si>
    <t>UNDP Libya has concluded this activity together with WHO as the implementing partner. Delivered on 10 April 2020 - done by WHO - The WHO was requested to submit the debit advice along with other documents to process the payment. Representative of WHO informed that WHO is currently having issues with payment. The issue should be solved soon, and WHO should come back to us by the end of this week (17 July 2020). Byashim will follow up on the payment to WHO.</t>
  </si>
  <si>
    <t>Arrived at Misrata Airport on 15 October, Will be distributed in coordination with MoH.</t>
  </si>
  <si>
    <t>Completed and handed over on 18 March 2021. Contract issued on 23 Nov 2020.</t>
  </si>
  <si>
    <t>Under evaluation. Case forwarded to Ehab to evaluate on 2 March 2022.
JSB agreed to fund this project. No response to initial RFQ was received. Case was readvertised 5 July 2021.
The case will be advertised on 30 March 2021, with closing date on 7 April 2021. Expected contract issuance 30 April 2021 (non-CAP Case)</t>
  </si>
  <si>
    <t>60% completed. Implemented under contract "ITB/LBY/SFL/2019/062" - Rehabilitation of Bani Walid General Hospital.
Technical documents submitted to SC. Byashim, together with Ali was working on the review of BOQ. It is expected to complete the exercise by 13 July 2020. On 2 July 2020, NTF was sent to the SC to amend the current contract in which the location should be switched from Bani Walid Hospital to Diabetes healthcare facility.</t>
  </si>
  <si>
    <t>Completed and handed over on 4 August 2021. Contract issued on 4 Feb 2021 and site handed over on 15 Feb 2021.</t>
  </si>
  <si>
    <t>consist of 3 components:
1-	One GeneXpert Machines (COVID 19 testing machine): delivered in Jan 2021 
2-	3 ICU Ventilators: Delivered in Jan 2021
3-	Medical equipment to be purchased through GPU. As of 5 July 2021, project adjusting quantities of items</t>
  </si>
  <si>
    <t>55% completed. Site handover done on 18 Dec 2021. Contract issued on 3 Dec 2021.</t>
  </si>
  <si>
    <t>Initially consisted of 3 components. International medical equipment purchase was cancelled as per reprioritization exercise submitted to PU on 23 August 2021.
1- Two ICU Ambulances delivered Feb 2021 
2- local PPE items were delivered.
3- Medical Items from the Global market is under development with GPU. As of 5 July 2021, project adjusting quantities of items.</t>
  </si>
  <si>
    <t>187
151
10283</t>
  </si>
  <si>
    <t>Norway
Gov't of Libya</t>
  </si>
  <si>
    <t>Handed over on 15 Feb 2021. The Purchase order for the ICU ambulances was placed on 21 July 2020, expected delivery is late November/early December 2020</t>
  </si>
  <si>
    <t>Norway
Gov't of Libya
Germay(KfW)</t>
  </si>
  <si>
    <t>Works completed and handover document signed dated 25 July 2021. Handover event may be organized mid october 2021. Site handed over to contractor on 7 March 2021. Contract issued on 21 Feb 2021.</t>
  </si>
  <si>
    <t>JSB Covid-19</t>
  </si>
  <si>
    <t xml:space="preserve">Second lot of 10 ventilators handed over to WHO on 26 Jan 2021. Previously, 12 ventilators handed over to MoH covid 19 warehouse on 26 Oct 2020. </t>
  </si>
  <si>
    <t>Handover ceremony organized on 10 August 2021.
Will be stored in Palm City at SFL villa# 245. This was delayed because manufacturer had issues with the component of compressor.</t>
  </si>
  <si>
    <t xml:space="preserve">Completed and handed over on 21 Nov 2021.  Site handed over on 1 June 2021. Contract issued on 7 May 2021. </t>
  </si>
  <si>
    <t>Completed and handed over on 21 Feb 2022. Site handover done on 26 Sep 2021. Contract issued on 1 July 2021.</t>
  </si>
  <si>
    <t>Completed and handed over on 18 Nov 2021. Site handed over on 3 Aug 2021. Revised e-req shared with PU on 29 July 2021. Contract issued on 25 July 2021.</t>
  </si>
  <si>
    <t>MoH signed request letter was shared by Lamine on 8 March 2021. Craig informed Lamine on the same days that this will be subject to further funding.</t>
  </si>
  <si>
    <t>Tokara</t>
  </si>
  <si>
    <t>In shipment to Libya</t>
  </si>
  <si>
    <t>As informed on 8 November 2021, shipment to Libya underway. ETA Misurata port 2 December 2021. The Purchase order for the ICU ambulances was placed on 21 July 2020, expected delivery is late November/early December 2020.
As for the Sewage Truck - waiting for the budget to be determined.</t>
  </si>
  <si>
    <t>RFF</t>
  </si>
  <si>
    <t>Scope of work development stage</t>
  </si>
  <si>
    <t>Draft requirement shared with field engineers for review and inputs on 19 Oct 2020</t>
  </si>
  <si>
    <t>Handedover on 27 July 2022. As of 7 July, works reported complete by field team. Site handover to contractor done on 31 Oct 2021. Contract issued on 25 Sep 2021.</t>
  </si>
  <si>
    <r>
      <rPr>
        <b/>
        <sz val="10"/>
        <rFont val="Calibri (Body)"/>
      </rPr>
      <t>70% completed</t>
    </r>
    <r>
      <rPr>
        <sz val="10"/>
        <rFont val="Calibri (Body)"/>
      </rPr>
      <t xml:space="preserve"> as of 13 June 2022.</t>
    </r>
    <r>
      <rPr>
        <b/>
        <sz val="10"/>
        <rFont val="Calibri (Body)"/>
      </rPr>
      <t xml:space="preserve"> </t>
    </r>
    <r>
      <rPr>
        <sz val="10"/>
        <rFont val="Calibri (Body)"/>
      </rPr>
      <t>On same day</t>
    </r>
    <r>
      <rPr>
        <b/>
        <sz val="10"/>
        <rFont val="Calibri (Body)"/>
      </rPr>
      <t>,</t>
    </r>
    <r>
      <rPr>
        <sz val="10"/>
        <rFont val="Calibri (Body)"/>
      </rPr>
      <t xml:space="preserve"> Moulay informed that main solar equipment has been delivered to the site. Expected to be completed within additional month (Mid July 2022).
As of 1 June 2022, Ali informed that the construction works are going slowly on the project site, and we have not been updated about the status of the imported solar equipment and the schedule for installation works.
10% completed. Contract issued on 4 Oct 2021</t>
    </r>
  </si>
  <si>
    <r>
      <rPr>
        <b/>
        <sz val="10"/>
        <rFont val="Calibri (Body)"/>
      </rPr>
      <t>70% completed</t>
    </r>
    <r>
      <rPr>
        <sz val="10"/>
        <rFont val="Calibri (Body)"/>
      </rPr>
      <t xml:space="preserve"> as of 13 June 2022. On same day, Moulay informed that main solar equipment has been delivered to the site. Expected to be completed within additional month (Mid July 2022).
As of 1 June 2022, Ali informed that the construction works are going slowly on the project site, and we have not been updated about the status of the imported solar equipment and the schedule for installation works.
10% completed. Contract issued on 4 Oct 2021</t>
    </r>
  </si>
  <si>
    <t xml:space="preserve">Location </t>
  </si>
  <si>
    <t>Approved Budget</t>
  </si>
  <si>
    <t>WORKS / GOODS / SERVICES</t>
  </si>
  <si>
    <t>LOCATION</t>
  </si>
  <si>
    <t>SECTOR</t>
  </si>
  <si>
    <t>Initial Phase</t>
  </si>
  <si>
    <t>Status Contracting Phase</t>
  </si>
  <si>
    <t>Status Implementation Phase</t>
  </si>
  <si>
    <t>Fund</t>
  </si>
  <si>
    <t>ITB/RFQ Prep done</t>
  </si>
  <si>
    <t>0 - 25%</t>
  </si>
  <si>
    <t>00095 - Denmark</t>
  </si>
  <si>
    <t>ITB/RFQ review, approval, sign &amp; upload done</t>
  </si>
  <si>
    <t>00112 - France</t>
  </si>
  <si>
    <t>Technical documents approved</t>
  </si>
  <si>
    <t>Work progress 25% - 50%</t>
  </si>
  <si>
    <t>25% - 50%</t>
  </si>
  <si>
    <t>00117 - Germany (MOFA)</t>
  </si>
  <si>
    <t>Goods/Works</t>
  </si>
  <si>
    <t>Quotation received from vendor</t>
  </si>
  <si>
    <t>50% - 75%</t>
  </si>
  <si>
    <t>00137 - Italy</t>
  </si>
  <si>
    <t>Initial BOQ prep done</t>
  </si>
  <si>
    <t>Quotation approved by end user</t>
  </si>
  <si>
    <t>Over 75%</t>
  </si>
  <si>
    <t>00141 - Japan</t>
  </si>
  <si>
    <t>Finalization of BOQ/Project spec prep done</t>
  </si>
  <si>
    <t>Punch List (@95% completion)</t>
  </si>
  <si>
    <t>00151 - Gov't of Libya</t>
  </si>
  <si>
    <t>Technical documents for procurement done</t>
  </si>
  <si>
    <t>Rectification period (15 days)</t>
  </si>
  <si>
    <t>100%</t>
  </si>
  <si>
    <t>00182 - Netherlands</t>
  </si>
  <si>
    <t>ERW Removal</t>
  </si>
  <si>
    <t>Admin, financial and tech eval done</t>
  </si>
  <si>
    <t>00187 - Norway</t>
  </si>
  <si>
    <t>Review and endorsement done</t>
  </si>
  <si>
    <t>Order placed</t>
  </si>
  <si>
    <t>00232 - Switzerland</t>
  </si>
  <si>
    <t>Submitted to CAP</t>
  </si>
  <si>
    <t>In production</t>
  </si>
  <si>
    <t xml:space="preserve">00717 - C/S ROK </t>
  </si>
  <si>
    <t>CAP-RACP done</t>
  </si>
  <si>
    <t>Goods produced</t>
  </si>
  <si>
    <t>10283 - Germany (KfW)</t>
  </si>
  <si>
    <t>10480 - USAID</t>
  </si>
  <si>
    <t>Goods at Libya</t>
  </si>
  <si>
    <t>10159 - European Union Comm</t>
  </si>
  <si>
    <t>In shipment to Final destination</t>
  </si>
  <si>
    <t>11207 - US DOS G/TI</t>
  </si>
  <si>
    <t>US DOS G/TI</t>
  </si>
  <si>
    <t>Tripoli, Abu Salim</t>
  </si>
  <si>
    <t>-</t>
  </si>
  <si>
    <t>Reached final destination</t>
  </si>
  <si>
    <t>Handed Over</t>
  </si>
  <si>
    <t>11410 - UK (FCO)</t>
  </si>
  <si>
    <t>Delivered</t>
  </si>
  <si>
    <t>12113 - Canada (DFATD)</t>
  </si>
  <si>
    <t>Germay(KfW) + 
Japan</t>
  </si>
  <si>
    <t xml:space="preserve">Completed prior to required service agreement </t>
  </si>
  <si>
    <t>EU + 
C/S ROK +
Germay(KfW)</t>
  </si>
  <si>
    <t>Completed with service level &amp; management agreements in place</t>
  </si>
  <si>
    <t>232
112</t>
  </si>
  <si>
    <t>Switzerland +
France</t>
  </si>
  <si>
    <t>12113
187</t>
  </si>
  <si>
    <t>Canada (DFATD) + 
Norway</t>
  </si>
  <si>
    <t>Overall Status</t>
  </si>
  <si>
    <t>Planned</t>
  </si>
  <si>
    <t>rest</t>
  </si>
  <si>
    <t>100% complete (technically completed but pending final handover to end user)</t>
  </si>
  <si>
    <t>100% complete (pending documentation of final handover to end user)</t>
  </si>
  <si>
    <t>Support Type</t>
  </si>
  <si>
    <t>Ben. Sector</t>
  </si>
  <si>
    <t>Education</t>
  </si>
  <si>
    <t>completed</t>
  </si>
  <si>
    <t>Power Cable</t>
  </si>
  <si>
    <t>Health</t>
  </si>
  <si>
    <t>Medical Infrastructure</t>
  </si>
  <si>
    <t>Public</t>
  </si>
  <si>
    <t>Solid waste</t>
  </si>
  <si>
    <t>Financial Helper</t>
  </si>
  <si>
    <t>WatSan</t>
  </si>
  <si>
    <t>Contracted</t>
  </si>
  <si>
    <t>Estimated/Projected</t>
  </si>
  <si>
    <t>Procurement Plan Ref</t>
  </si>
  <si>
    <t>Public Service Equipment</t>
  </si>
  <si>
    <t>Priority 2</t>
  </si>
  <si>
    <t>To be cancelled</t>
  </si>
  <si>
    <t>Solar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</si>
</sst>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
    <numFmt numFmtId="165" formatCode="[$-809]dd\ mmmm\ yyyy;@"/>
    <numFmt numFmtId="166" formatCode="[$$-409]#,##0.00"/>
    <numFmt numFmtId="167" formatCode="[$-F800]dddd\,\ mmmm\ dd\,\ yyyy"/>
    <numFmt numFmtId="168" formatCode="0.000000"/>
    <numFmt numFmtId="169" formatCode="yyyy"/>
    <numFmt numFmtId="170" formatCode="0.0"/>
  </numFmts>
  <fonts count="18">
    <font>
      <sz val="11"/>
      <color theme="1"/>
      <name val="Calibri"/>
      <family val="2"/>
      <scheme val="minor"/>
    </font>
    <font>
      <b/>
      <sz val="11"/>
      <color theme="0"/>
      <name val="Calibri"/>
      <family val="2"/>
      <scheme val="minor"/>
    </font>
    <font>
      <sz val="11"/>
      <name val="Calibri"/>
      <family val="2"/>
      <scheme val="minor"/>
    </font>
    <font>
      <b/>
      <sz val="8"/>
      <name val="Calibri"/>
      <family val="2"/>
      <scheme val="minor"/>
    </font>
    <font>
      <u/>
      <sz val="11"/>
      <color theme="10"/>
      <name val="Calibri"/>
      <family val="2"/>
      <scheme val="minor"/>
    </font>
    <font>
      <u/>
      <sz val="11"/>
      <color theme="11"/>
      <name val="Calibri"/>
      <family val="2"/>
      <scheme val="minor"/>
    </font>
    <font>
      <sz val="10"/>
      <name val="Calibri (Body)"/>
    </font>
    <font>
      <sz val="10"/>
      <color theme="1"/>
      <name val="Calibri (Body)"/>
    </font>
    <font>
      <sz val="10"/>
      <color rgb="FFFF0000"/>
      <name val="Calibri (Body)"/>
    </font>
    <font>
      <b/>
      <sz val="11"/>
      <color theme="1"/>
      <name val="Calibri"/>
      <family val="2"/>
      <scheme val="minor"/>
    </font>
    <font>
      <sz val="11"/>
      <color theme="1"/>
      <name val="Calibri"/>
      <family val="2"/>
      <scheme val="minor"/>
    </font>
    <font>
      <sz val="12"/>
      <color rgb="FF006100"/>
      <name val="Calibri"/>
      <family val="2"/>
      <scheme val="minor"/>
    </font>
    <font>
      <b/>
      <sz val="14"/>
      <name val="Calibri (Body)"/>
    </font>
    <font>
      <b/>
      <sz val="10"/>
      <name val="Calibri (Body)"/>
    </font>
    <font>
      <sz val="12"/>
      <color theme="1"/>
      <name val="Wingdings"/>
      <charset val="2"/>
    </font>
    <font>
      <sz val="10"/>
      <color theme="0" tint="-0.34998626667073579"/>
      <name val="Calibri"/>
      <family val="2"/>
      <scheme val="minor"/>
    </font>
    <font>
      <sz val="9"/>
      <color rgb="FF999999"/>
      <name val="Arial"/>
      <family val="2"/>
    </font>
    <font>
      <sz val="8"/>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8000"/>
        <bgColor indexed="64"/>
      </patternFill>
    </fill>
    <fill>
      <patternFill patternType="solid">
        <fgColor rgb="FFCCFFCC"/>
        <bgColor indexed="64"/>
      </patternFill>
    </fill>
    <fill>
      <patternFill patternType="solid">
        <fgColor rgb="FFC6EFCE"/>
      </patternFill>
    </fill>
    <fill>
      <patternFill patternType="solid">
        <fgColor rgb="FFFFFFFF"/>
        <bgColor rgb="FF000000"/>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rgb="FF00B0F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178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1" fillId="7"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0" borderId="0"/>
    <xf numFmtId="0" fontId="15" fillId="0" borderId="0" applyNumberFormat="0" applyFill="0" applyBorder="0" applyAlignment="0" applyProtection="0"/>
  </cellStyleXfs>
  <cellXfs count="148">
    <xf numFmtId="0" fontId="0" fillId="0" borderId="0" xfId="0"/>
    <xf numFmtId="0" fontId="3" fillId="0" borderId="1" xfId="0" applyFont="1" applyBorder="1" applyAlignment="1">
      <alignment horizontal="center" vertical="top" wrapText="1"/>
    </xf>
    <xf numFmtId="0" fontId="1" fillId="5" borderId="0" xfId="0" applyFont="1" applyFill="1"/>
    <xf numFmtId="0" fontId="2" fillId="5" borderId="0" xfId="0" applyFont="1" applyFill="1"/>
    <xf numFmtId="0" fontId="3" fillId="0" borderId="0" xfId="0" applyFont="1" applyAlignment="1">
      <alignment horizontal="center" vertical="top" wrapText="1"/>
    </xf>
    <xf numFmtId="0" fontId="6" fillId="0" borderId="1" xfId="0" applyFont="1"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vertical="center" wrapText="1"/>
    </xf>
    <xf numFmtId="0" fontId="0" fillId="6" borderId="0" xfId="0" applyFill="1"/>
    <xf numFmtId="15" fontId="6" fillId="0" borderId="1" xfId="0" applyNumberFormat="1" applyFont="1" applyBorder="1" applyAlignment="1">
      <alignment vertical="center" wrapText="1"/>
    </xf>
    <xf numFmtId="0" fontId="6" fillId="0" borderId="0" xfId="0" applyFont="1" applyAlignment="1">
      <alignment vertical="center" wrapText="1"/>
    </xf>
    <xf numFmtId="0" fontId="6" fillId="2" borderId="0" xfId="0" applyFont="1" applyFill="1" applyAlignment="1">
      <alignment vertical="center" wrapText="1"/>
    </xf>
    <xf numFmtId="0" fontId="0" fillId="5" borderId="0" xfId="0" applyFill="1"/>
    <xf numFmtId="0" fontId="8"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top" wrapText="1"/>
    </xf>
    <xf numFmtId="0" fontId="12" fillId="0" borderId="0" xfId="0" applyFont="1" applyAlignment="1">
      <alignment horizontal="center" vertical="center" wrapText="1"/>
    </xf>
    <xf numFmtId="0" fontId="6" fillId="6" borderId="1" xfId="0" applyFont="1" applyFill="1" applyBorder="1" applyAlignment="1">
      <alignment vertical="center" wrapText="1"/>
    </xf>
    <xf numFmtId="0" fontId="12" fillId="6" borderId="1" xfId="0" applyFont="1" applyFill="1" applyBorder="1" applyAlignment="1">
      <alignment horizontal="center" vertical="center" wrapText="1"/>
    </xf>
    <xf numFmtId="0" fontId="0" fillId="0" borderId="0" xfId="0" applyAlignment="1">
      <alignment wrapText="1"/>
    </xf>
    <xf numFmtId="14" fontId="6" fillId="0" borderId="0" xfId="0" applyNumberFormat="1" applyFont="1" applyAlignment="1">
      <alignment vertical="top" wrapText="1"/>
    </xf>
    <xf numFmtId="49" fontId="0" fillId="0" borderId="0" xfId="0" applyNumberFormat="1"/>
    <xf numFmtId="0" fontId="6" fillId="0" borderId="1" xfId="0" applyFont="1" applyBorder="1" applyAlignment="1">
      <alignment horizontal="left" vertical="center" wrapText="1"/>
    </xf>
    <xf numFmtId="1" fontId="6" fillId="0" borderId="1" xfId="0" applyNumberFormat="1" applyFont="1" applyBorder="1" applyAlignment="1">
      <alignment horizontal="left" vertical="center" wrapText="1"/>
    </xf>
    <xf numFmtId="1" fontId="6" fillId="2" borderId="1" xfId="0" applyNumberFormat="1" applyFont="1" applyFill="1" applyBorder="1" applyAlignment="1">
      <alignment horizontal="left" vertical="center" wrapText="1"/>
    </xf>
    <xf numFmtId="1" fontId="12" fillId="0" borderId="1" xfId="0" applyNumberFormat="1" applyFont="1" applyBorder="1" applyAlignment="1">
      <alignment horizontal="left" vertical="center" wrapText="1"/>
    </xf>
    <xf numFmtId="1" fontId="6" fillId="0" borderId="2" xfId="0" applyNumberFormat="1" applyFont="1" applyBorder="1" applyAlignment="1">
      <alignment horizontal="left" vertical="center" wrapText="1"/>
    </xf>
    <xf numFmtId="15" fontId="6" fillId="2" borderId="1" xfId="0" applyNumberFormat="1" applyFont="1" applyFill="1" applyBorder="1" applyAlignment="1">
      <alignment vertical="center" wrapText="1"/>
    </xf>
    <xf numFmtId="0" fontId="2" fillId="0" borderId="0" xfId="0" applyFont="1"/>
    <xf numFmtId="0" fontId="6" fillId="4" borderId="1" xfId="0" applyFont="1" applyFill="1" applyBorder="1" applyAlignment="1">
      <alignment vertical="center" wrapText="1"/>
    </xf>
    <xf numFmtId="0" fontId="1" fillId="0" borderId="0" xfId="0" applyFont="1"/>
    <xf numFmtId="15" fontId="12" fillId="0" borderId="1" xfId="0" applyNumberFormat="1" applyFont="1" applyBorder="1" applyAlignment="1">
      <alignment horizontal="center" vertical="center" wrapText="1"/>
    </xf>
    <xf numFmtId="15" fontId="6" fillId="0" borderId="0" xfId="0" applyNumberFormat="1" applyFont="1" applyAlignment="1">
      <alignment vertical="center" wrapText="1"/>
    </xf>
    <xf numFmtId="15" fontId="6" fillId="0" borderId="2" xfId="0" applyNumberFormat="1" applyFont="1" applyBorder="1" applyAlignment="1">
      <alignment vertical="center" wrapText="1"/>
    </xf>
    <xf numFmtId="0" fontId="6" fillId="0" borderId="1" xfId="0" applyFont="1" applyBorder="1" applyAlignment="1">
      <alignment horizontal="center" vertical="center" wrapText="1"/>
    </xf>
    <xf numFmtId="0" fontId="6" fillId="0" borderId="1" xfId="471" applyFont="1" applyFill="1" applyBorder="1" applyAlignment="1">
      <alignment vertical="center" wrapText="1"/>
    </xf>
    <xf numFmtId="0" fontId="6" fillId="3" borderId="1" xfId="471" applyFont="1" applyFill="1" applyBorder="1" applyAlignment="1">
      <alignment vertical="center" wrapText="1"/>
    </xf>
    <xf numFmtId="0" fontId="2" fillId="0" borderId="1" xfId="471" applyFont="1" applyFill="1" applyBorder="1" applyAlignment="1">
      <alignment vertical="top"/>
    </xf>
    <xf numFmtId="0" fontId="6" fillId="6" borderId="1" xfId="471" applyFont="1" applyFill="1" applyBorder="1" applyAlignment="1">
      <alignment vertical="center"/>
    </xf>
    <xf numFmtId="0" fontId="6" fillId="0" borderId="0" xfId="471" applyFont="1" applyFill="1" applyBorder="1" applyAlignment="1">
      <alignment vertical="center" wrapText="1"/>
    </xf>
    <xf numFmtId="0" fontId="6" fillId="0" borderId="2" xfId="471" applyFont="1" applyFill="1" applyBorder="1" applyAlignment="1">
      <alignment vertical="center" wrapText="1"/>
    </xf>
    <xf numFmtId="165" fontId="12" fillId="0" borderId="1" xfId="0" applyNumberFormat="1" applyFont="1" applyBorder="1" applyAlignment="1">
      <alignment horizontal="center" vertical="center" wrapText="1"/>
    </xf>
    <xf numFmtId="165" fontId="6" fillId="0" borderId="1" xfId="0" applyNumberFormat="1" applyFont="1" applyBorder="1" applyAlignment="1">
      <alignment vertical="center" wrapText="1"/>
    </xf>
    <xf numFmtId="166" fontId="14" fillId="9" borderId="1" xfId="0" applyNumberFormat="1" applyFont="1" applyFill="1" applyBorder="1" applyAlignment="1">
      <alignment horizontal="center" vertical="center"/>
    </xf>
    <xf numFmtId="166" fontId="6" fillId="0" borderId="1" xfId="0" applyNumberFormat="1" applyFont="1" applyBorder="1" applyAlignment="1">
      <alignment vertical="center" wrapText="1"/>
    </xf>
    <xf numFmtId="166" fontId="14" fillId="0" borderId="1" xfId="0" applyNumberFormat="1" applyFont="1" applyBorder="1" applyAlignment="1">
      <alignment horizontal="center" vertical="center"/>
    </xf>
    <xf numFmtId="166" fontId="6" fillId="2" borderId="1" xfId="0" applyNumberFormat="1" applyFont="1" applyFill="1" applyBorder="1" applyAlignment="1">
      <alignment vertical="center" wrapText="1"/>
    </xf>
    <xf numFmtId="0" fontId="6" fillId="0" borderId="2" xfId="0" applyFont="1" applyBorder="1" applyAlignment="1">
      <alignment vertical="center" wrapText="1"/>
    </xf>
    <xf numFmtId="0" fontId="12" fillId="0" borderId="3" xfId="0" applyFont="1" applyBorder="1" applyAlignment="1">
      <alignment horizontal="center" vertical="center" wrapText="1"/>
    </xf>
    <xf numFmtId="164" fontId="12" fillId="0" borderId="3" xfId="0" applyNumberFormat="1" applyFont="1" applyBorder="1" applyAlignment="1">
      <alignment horizontal="center" vertical="center" wrapText="1"/>
    </xf>
    <xf numFmtId="14" fontId="12" fillId="0" borderId="3" xfId="0" applyNumberFormat="1" applyFont="1" applyBorder="1" applyAlignment="1">
      <alignment horizontal="center" vertical="center" wrapText="1"/>
    </xf>
    <xf numFmtId="1" fontId="12" fillId="0" borderId="3" xfId="0" applyNumberFormat="1" applyFont="1" applyBorder="1" applyAlignment="1">
      <alignment horizontal="left" vertical="center" wrapText="1"/>
    </xf>
    <xf numFmtId="0" fontId="9" fillId="0" borderId="0" xfId="0" applyFont="1" applyAlignment="1">
      <alignment horizontal="center"/>
    </xf>
    <xf numFmtId="0" fontId="9" fillId="0" borderId="0" xfId="0" applyFont="1"/>
    <xf numFmtId="0" fontId="0" fillId="0" borderId="1" xfId="0" applyBorder="1"/>
    <xf numFmtId="166" fontId="6" fillId="0" borderId="1" xfId="471" applyNumberFormat="1" applyFont="1" applyFill="1" applyBorder="1" applyAlignment="1">
      <alignment vertical="center" wrapText="1"/>
    </xf>
    <xf numFmtId="166" fontId="6" fillId="3" borderId="1" xfId="471" applyNumberFormat="1" applyFont="1" applyFill="1" applyBorder="1" applyAlignment="1">
      <alignment vertical="center" wrapText="1"/>
    </xf>
    <xf numFmtId="166" fontId="6" fillId="0" borderId="2" xfId="471" applyNumberFormat="1" applyFont="1" applyFill="1" applyBorder="1" applyAlignment="1">
      <alignment vertical="center" wrapText="1"/>
    </xf>
    <xf numFmtId="166" fontId="12" fillId="0" borderId="1" xfId="0" applyNumberFormat="1" applyFont="1" applyBorder="1" applyAlignment="1">
      <alignment horizontal="center" vertical="center" wrapText="1"/>
    </xf>
    <xf numFmtId="166" fontId="13" fillId="9" borderId="1" xfId="0" applyNumberFormat="1" applyFont="1" applyFill="1" applyBorder="1" applyAlignment="1">
      <alignment horizontal="center" vertical="center" wrapText="1"/>
    </xf>
    <xf numFmtId="166" fontId="6" fillId="9" borderId="1" xfId="0" applyNumberFormat="1" applyFont="1" applyFill="1" applyBorder="1" applyAlignment="1">
      <alignment vertical="center" wrapText="1"/>
    </xf>
    <xf numFmtId="166" fontId="7" fillId="0" borderId="1" xfId="0" applyNumberFormat="1" applyFont="1" applyBorder="1" applyAlignment="1">
      <alignment vertical="center" wrapText="1"/>
    </xf>
    <xf numFmtId="166" fontId="6" fillId="10" borderId="1" xfId="0" applyNumberFormat="1" applyFont="1" applyFill="1" applyBorder="1" applyAlignment="1">
      <alignment vertical="center" wrapText="1"/>
    </xf>
    <xf numFmtId="166" fontId="6" fillId="3" borderId="1" xfId="0" applyNumberFormat="1" applyFont="1" applyFill="1" applyBorder="1" applyAlignment="1">
      <alignment vertical="center" wrapText="1"/>
    </xf>
    <xf numFmtId="166" fontId="7" fillId="2" borderId="1" xfId="0" applyNumberFormat="1" applyFont="1" applyFill="1" applyBorder="1" applyAlignment="1">
      <alignment vertical="center" wrapText="1"/>
    </xf>
    <xf numFmtId="166" fontId="6" fillId="8" borderId="1" xfId="0" applyNumberFormat="1" applyFont="1" applyFill="1" applyBorder="1" applyAlignment="1">
      <alignment vertical="center" wrapText="1"/>
    </xf>
    <xf numFmtId="166" fontId="6" fillId="2" borderId="2" xfId="0" applyNumberFormat="1" applyFont="1" applyFill="1" applyBorder="1" applyAlignment="1">
      <alignment vertical="center" wrapText="1"/>
    </xf>
    <xf numFmtId="166" fontId="6" fillId="0" borderId="0" xfId="0" applyNumberFormat="1" applyFont="1" applyAlignment="1">
      <alignment vertical="center" wrapText="1"/>
    </xf>
    <xf numFmtId="4" fontId="12" fillId="0" borderId="3" xfId="0" applyNumberFormat="1" applyFont="1" applyBorder="1" applyAlignment="1">
      <alignment horizontal="center" vertical="center" wrapText="1"/>
    </xf>
    <xf numFmtId="3" fontId="0" fillId="0" borderId="0" xfId="0" applyNumberFormat="1"/>
    <xf numFmtId="0" fontId="0" fillId="0" borderId="4" xfId="0" applyBorder="1" applyAlignment="1">
      <alignment horizontal="center"/>
    </xf>
    <xf numFmtId="3" fontId="0" fillId="0" borderId="9" xfId="0" applyNumberFormat="1" applyBorder="1"/>
    <xf numFmtId="0" fontId="9" fillId="0" borderId="5" xfId="0" applyFont="1" applyBorder="1"/>
    <xf numFmtId="0" fontId="9" fillId="0" borderId="3" xfId="0" applyFont="1" applyBorder="1"/>
    <xf numFmtId="0" fontId="9" fillId="0" borderId="8" xfId="0" applyFont="1" applyBorder="1"/>
    <xf numFmtId="0" fontId="0" fillId="0" borderId="6" xfId="0" applyBorder="1"/>
    <xf numFmtId="0" fontId="9" fillId="0" borderId="2" xfId="0" applyFont="1" applyBorder="1"/>
    <xf numFmtId="3" fontId="9" fillId="0" borderId="7" xfId="0" applyNumberFormat="1" applyFont="1" applyBorder="1"/>
    <xf numFmtId="0" fontId="6" fillId="6" borderId="1" xfId="0" applyFont="1" applyFill="1" applyBorder="1" applyAlignment="1">
      <alignment horizontal="center" vertical="center" wrapText="1"/>
    </xf>
    <xf numFmtId="0" fontId="0" fillId="12" borderId="1" xfId="0" applyFill="1" applyBorder="1"/>
    <xf numFmtId="0" fontId="0" fillId="11" borderId="1" xfId="0" applyFill="1" applyBorder="1"/>
    <xf numFmtId="0" fontId="0" fillId="12" borderId="1" xfId="0" applyFill="1" applyBorder="1" applyAlignment="1">
      <alignment horizontal="center"/>
    </xf>
    <xf numFmtId="3" fontId="0" fillId="12" borderId="1" xfId="0" applyNumberFormat="1" applyFill="1" applyBorder="1"/>
    <xf numFmtId="0" fontId="0" fillId="11" borderId="1" xfId="0" applyFill="1" applyBorder="1" applyAlignment="1">
      <alignment horizontal="center"/>
    </xf>
    <xf numFmtId="3" fontId="0" fillId="11" borderId="1" xfId="0" applyNumberFormat="1" applyFill="1" applyBorder="1"/>
    <xf numFmtId="0" fontId="6" fillId="13" borderId="1" xfId="471" applyFont="1" applyFill="1" applyBorder="1" applyAlignment="1">
      <alignment vertical="center" wrapText="1"/>
    </xf>
    <xf numFmtId="9" fontId="6" fillId="0" borderId="0" xfId="0" applyNumberFormat="1" applyFont="1" applyAlignment="1">
      <alignment vertical="top" wrapText="1"/>
    </xf>
    <xf numFmtId="49" fontId="2" fillId="0" borderId="0" xfId="0" applyNumberFormat="1" applyFont="1"/>
    <xf numFmtId="0" fontId="6" fillId="0" borderId="1" xfId="0" applyFont="1" applyBorder="1" applyAlignment="1">
      <alignment horizontal="center" vertical="top" wrapText="1"/>
    </xf>
    <xf numFmtId="0" fontId="6" fillId="0" borderId="1" xfId="0" applyFont="1" applyBorder="1" applyAlignment="1">
      <alignment vertical="top" wrapText="1"/>
    </xf>
    <xf numFmtId="0" fontId="6" fillId="4" borderId="1" xfId="0" applyFont="1" applyFill="1" applyBorder="1" applyAlignment="1">
      <alignment vertical="top" wrapText="1"/>
    </xf>
    <xf numFmtId="0" fontId="6" fillId="0" borderId="1" xfId="0" applyFont="1" applyBorder="1" applyAlignment="1">
      <alignment horizontal="left" vertical="top" wrapText="1"/>
    </xf>
    <xf numFmtId="165" fontId="6" fillId="14" borderId="1" xfId="0" applyNumberFormat="1" applyFont="1" applyFill="1" applyBorder="1" applyAlignment="1">
      <alignment vertical="center" wrapText="1"/>
    </xf>
    <xf numFmtId="17" fontId="6" fillId="0" borderId="1" xfId="0" applyNumberFormat="1" applyFont="1" applyBorder="1" applyAlignment="1">
      <alignment vertical="center" wrapText="1"/>
    </xf>
    <xf numFmtId="165" fontId="6" fillId="10" borderId="1" xfId="0" applyNumberFormat="1" applyFont="1" applyFill="1" applyBorder="1" applyAlignment="1">
      <alignment vertical="center" wrapText="1"/>
    </xf>
    <xf numFmtId="164" fontId="0" fillId="0" borderId="0" xfId="0" applyNumberFormat="1"/>
    <xf numFmtId="0" fontId="6" fillId="0" borderId="0" xfId="0" applyFont="1" applyAlignment="1">
      <alignment horizontal="center" vertical="center" wrapText="1"/>
    </xf>
    <xf numFmtId="0" fontId="6" fillId="10" borderId="1" xfId="0" applyFont="1" applyFill="1" applyBorder="1" applyAlignment="1">
      <alignment vertical="top" wrapText="1"/>
    </xf>
    <xf numFmtId="49" fontId="0" fillId="0" borderId="0" xfId="0" applyNumberFormat="1" applyAlignment="1">
      <alignment wrapText="1"/>
    </xf>
    <xf numFmtId="0" fontId="6" fillId="4" borderId="1" xfId="471" applyFont="1" applyFill="1" applyBorder="1" applyAlignment="1">
      <alignment vertical="center" wrapText="1"/>
    </xf>
    <xf numFmtId="165" fontId="6" fillId="0" borderId="1" xfId="0" applyNumberFormat="1" applyFont="1" applyBorder="1" applyAlignment="1">
      <alignment vertical="top" wrapText="1"/>
    </xf>
    <xf numFmtId="0" fontId="16" fillId="0" borderId="0" xfId="0" applyFont="1"/>
    <xf numFmtId="0" fontId="6" fillId="0" borderId="1" xfId="0" applyFont="1" applyBorder="1" applyAlignment="1">
      <alignment wrapText="1"/>
    </xf>
    <xf numFmtId="0" fontId="12" fillId="0" borderId="1" xfId="0" applyFont="1" applyBorder="1" applyAlignment="1">
      <alignment horizontal="center" vertical="center" wrapText="1"/>
    </xf>
    <xf numFmtId="0" fontId="0" fillId="11" borderId="2" xfId="0" applyFill="1" applyBorder="1"/>
    <xf numFmtId="3" fontId="0" fillId="12" borderId="9" xfId="0" applyNumberFormat="1" applyFill="1" applyBorder="1"/>
    <xf numFmtId="3" fontId="0" fillId="11" borderId="7" xfId="0" applyNumberFormat="1" applyFill="1" applyBorder="1"/>
    <xf numFmtId="168" fontId="6" fillId="0" borderId="1" xfId="0" applyNumberFormat="1" applyFont="1" applyBorder="1" applyAlignment="1">
      <alignment vertical="center" wrapText="1"/>
    </xf>
    <xf numFmtId="0" fontId="12" fillId="0" borderId="3" xfId="0" applyFont="1" applyBorder="1" applyAlignment="1">
      <alignment horizontal="center" vertical="top" wrapText="1"/>
    </xf>
    <xf numFmtId="165" fontId="12" fillId="0" borderId="1" xfId="0" applyNumberFormat="1" applyFont="1" applyBorder="1" applyAlignment="1">
      <alignment horizontal="center" vertical="top" wrapText="1"/>
    </xf>
    <xf numFmtId="0" fontId="9" fillId="0" borderId="1" xfId="0" applyFont="1" applyBorder="1"/>
    <xf numFmtId="166" fontId="6" fillId="0" borderId="2" xfId="0" applyNumberFormat="1" applyFont="1" applyBorder="1" applyAlignment="1">
      <alignment vertical="center" wrapText="1"/>
    </xf>
    <xf numFmtId="165" fontId="6" fillId="0" borderId="2" xfId="0" applyNumberFormat="1" applyFont="1" applyBorder="1" applyAlignment="1">
      <alignment vertical="center" wrapText="1"/>
    </xf>
    <xf numFmtId="17" fontId="6" fillId="0" borderId="2" xfId="0" applyNumberFormat="1" applyFont="1" applyBorder="1" applyAlignment="1">
      <alignment vertical="center" wrapText="1"/>
    </xf>
    <xf numFmtId="0" fontId="6" fillId="0" borderId="2" xfId="0" applyFont="1" applyBorder="1" applyAlignment="1">
      <alignment horizontal="center" vertical="center" wrapText="1"/>
    </xf>
    <xf numFmtId="1" fontId="6" fillId="0" borderId="2" xfId="0" applyNumberFormat="1" applyFont="1" applyBorder="1" applyAlignment="1">
      <alignment vertical="center" wrapText="1"/>
    </xf>
    <xf numFmtId="14" fontId="6" fillId="0" borderId="2" xfId="0" applyNumberFormat="1" applyFont="1" applyBorder="1" applyAlignment="1">
      <alignment vertical="center" wrapText="1"/>
    </xf>
    <xf numFmtId="167" fontId="6" fillId="6" borderId="1" xfId="0" applyNumberFormat="1" applyFont="1" applyFill="1" applyBorder="1" applyAlignment="1">
      <alignment vertical="center" wrapText="1"/>
    </xf>
    <xf numFmtId="167" fontId="6" fillId="0" borderId="1" xfId="0" applyNumberFormat="1" applyFont="1" applyBorder="1" applyAlignment="1">
      <alignment vertical="center" wrapText="1"/>
    </xf>
    <xf numFmtId="167" fontId="6" fillId="0" borderId="2" xfId="0" applyNumberFormat="1" applyFont="1" applyBorder="1" applyAlignment="1">
      <alignment vertical="center" wrapText="1"/>
    </xf>
    <xf numFmtId="3" fontId="0" fillId="0" borderId="1" xfId="0" applyNumberFormat="1" applyBorder="1"/>
    <xf numFmtId="3" fontId="9" fillId="0" borderId="1" xfId="0" applyNumberFormat="1" applyFont="1" applyBorder="1"/>
    <xf numFmtId="0" fontId="9" fillId="0" borderId="1" xfId="0" applyFont="1" applyBorder="1" applyAlignment="1">
      <alignment wrapText="1"/>
    </xf>
    <xf numFmtId="14" fontId="9" fillId="0" borderId="1" xfId="0" applyNumberFormat="1" applyFont="1" applyBorder="1" applyAlignment="1">
      <alignment wrapText="1"/>
    </xf>
    <xf numFmtId="0" fontId="0" fillId="11" borderId="4" xfId="0" applyFill="1" applyBorder="1" applyAlignment="1">
      <alignment horizontal="center"/>
    </xf>
    <xf numFmtId="3" fontId="0" fillId="11" borderId="9" xfId="0" applyNumberFormat="1" applyFill="1" applyBorder="1"/>
    <xf numFmtId="0" fontId="13" fillId="6" borderId="1" xfId="0" applyFont="1" applyFill="1" applyBorder="1" applyAlignment="1">
      <alignment vertical="center" wrapText="1"/>
    </xf>
    <xf numFmtId="0" fontId="6" fillId="0" borderId="1" xfId="471" applyFont="1" applyFill="1" applyBorder="1" applyAlignment="1">
      <alignment vertical="top"/>
    </xf>
    <xf numFmtId="169" fontId="6" fillId="0" borderId="1" xfId="0" applyNumberFormat="1" applyFont="1" applyBorder="1" applyAlignment="1">
      <alignment vertical="center" wrapText="1"/>
    </xf>
    <xf numFmtId="14" fontId="6" fillId="0" borderId="1" xfId="0" applyNumberFormat="1" applyFont="1" applyBorder="1" applyAlignment="1">
      <alignment horizontal="left" vertical="top" wrapText="1"/>
    </xf>
    <xf numFmtId="14" fontId="6" fillId="0" borderId="1" xfId="0" applyNumberFormat="1" applyFont="1" applyBorder="1" applyAlignment="1">
      <alignment vertical="top" wrapText="1"/>
    </xf>
    <xf numFmtId="0" fontId="6" fillId="4" borderId="1" xfId="0" quotePrefix="1" applyFont="1" applyFill="1" applyBorder="1" applyAlignment="1">
      <alignment vertical="center" wrapText="1"/>
    </xf>
    <xf numFmtId="1" fontId="6" fillId="0" borderId="1" xfId="0" applyNumberFormat="1" applyFont="1" applyBorder="1" applyAlignment="1">
      <alignment horizontal="left" vertical="top" wrapText="1"/>
    </xf>
    <xf numFmtId="167" fontId="6" fillId="0" borderId="0" xfId="0" applyNumberFormat="1" applyFont="1" applyAlignment="1">
      <alignment vertical="center" wrapText="1"/>
    </xf>
    <xf numFmtId="167" fontId="6" fillId="6" borderId="0" xfId="0" applyNumberFormat="1" applyFont="1" applyFill="1" applyAlignment="1">
      <alignment vertical="center" wrapText="1"/>
    </xf>
    <xf numFmtId="0" fontId="6" fillId="0" borderId="2" xfId="0" applyFont="1" applyBorder="1" applyAlignment="1">
      <alignment horizontal="left" vertical="top" wrapText="1"/>
    </xf>
    <xf numFmtId="1" fontId="6" fillId="0" borderId="1" xfId="0" applyNumberFormat="1" applyFont="1" applyBorder="1" applyAlignment="1">
      <alignment vertical="center" wrapText="1"/>
    </xf>
    <xf numFmtId="14" fontId="6" fillId="0" borderId="1" xfId="0" applyNumberFormat="1" applyFont="1" applyBorder="1" applyAlignment="1">
      <alignment vertical="center" wrapText="1"/>
    </xf>
    <xf numFmtId="170" fontId="6" fillId="0" borderId="1" xfId="0" applyNumberFormat="1" applyFont="1" applyBorder="1" applyAlignment="1">
      <alignment vertical="center" wrapText="1"/>
    </xf>
    <xf numFmtId="1" fontId="6" fillId="6" borderId="1" xfId="0" applyNumberFormat="1" applyFont="1" applyFill="1" applyBorder="1" applyAlignment="1">
      <alignment vertical="center" wrapText="1"/>
    </xf>
    <xf numFmtId="1" fontId="6" fillId="0" borderId="0" xfId="0" applyNumberFormat="1" applyFont="1" applyAlignment="1">
      <alignment vertical="center" wrapText="1"/>
    </xf>
    <xf numFmtId="1" fontId="6" fillId="6" borderId="0" xfId="0" applyNumberFormat="1" applyFont="1" applyFill="1" applyAlignment="1">
      <alignment vertical="center" wrapText="1"/>
    </xf>
    <xf numFmtId="165" fontId="6" fillId="0" borderId="2" xfId="0" applyNumberFormat="1" applyFont="1" applyBorder="1" applyAlignment="1">
      <alignment vertical="top" wrapText="1"/>
    </xf>
    <xf numFmtId="0" fontId="6" fillId="0" borderId="1" xfId="471" applyFont="1" applyFill="1" applyBorder="1" applyAlignment="1">
      <alignment vertical="top" wrapText="1"/>
    </xf>
    <xf numFmtId="14" fontId="0" fillId="0" borderId="0" xfId="0" applyNumberFormat="1"/>
    <xf numFmtId="166" fontId="6" fillId="2" borderId="0" xfId="0" applyNumberFormat="1" applyFont="1" applyFill="1" applyAlignment="1">
      <alignment vertical="center" wrapText="1"/>
    </xf>
    <xf numFmtId="22" fontId="0" fillId="0" borderId="0" xfId="0" applyNumberFormat="1"/>
    <xf numFmtId="0" fontId="7" fillId="4" borderId="1" xfId="0" applyFont="1" applyFill="1" applyBorder="1" applyAlignment="1">
      <alignment vertical="center" wrapText="1"/>
    </xf>
  </cellXfs>
  <cellStyles count="1784">
    <cellStyle name="Followed Hyperlink" xfId="192" builtinId="9" hidden="1"/>
    <cellStyle name="Followed Hyperlink" xfId="214" builtinId="9" hidden="1"/>
    <cellStyle name="Followed Hyperlink" xfId="138" builtinId="9" hidden="1"/>
    <cellStyle name="Followed Hyperlink" xfId="322" builtinId="9" hidden="1"/>
    <cellStyle name="Followed Hyperlink" xfId="348" builtinId="9" hidden="1"/>
    <cellStyle name="Followed Hyperlink" xfId="432" builtinId="9" hidden="1"/>
    <cellStyle name="Followed Hyperlink" xfId="527" builtinId="9" hidden="1"/>
    <cellStyle name="Followed Hyperlink" xfId="408" builtinId="9" hidden="1"/>
    <cellStyle name="Followed Hyperlink" xfId="76" builtinId="9" hidden="1"/>
    <cellStyle name="Followed Hyperlink" xfId="292" builtinId="9" hidden="1"/>
    <cellStyle name="Followed Hyperlink" xfId="446" builtinId="9" hidden="1"/>
    <cellStyle name="Followed Hyperlink" xfId="519" builtinId="9" hidden="1"/>
    <cellStyle name="Followed Hyperlink" xfId="555" builtinId="9" hidden="1"/>
    <cellStyle name="Followed Hyperlink" xfId="94" builtinId="9" hidden="1"/>
    <cellStyle name="Followed Hyperlink" xfId="238" builtinId="9" hidden="1"/>
    <cellStyle name="Followed Hyperlink" xfId="90" builtinId="9" hidden="1"/>
    <cellStyle name="Followed Hyperlink" xfId="134" builtinId="9" hidden="1"/>
    <cellStyle name="Followed Hyperlink" xfId="364" builtinId="9" hidden="1"/>
    <cellStyle name="Followed Hyperlink" xfId="302" builtinId="9" hidden="1"/>
    <cellStyle name="Followed Hyperlink" xfId="44" builtinId="9" hidden="1"/>
    <cellStyle name="Followed Hyperlink" xfId="491" builtinId="9" hidden="1"/>
    <cellStyle name="Followed Hyperlink" xfId="551" builtinId="9" hidden="1"/>
    <cellStyle name="Followed Hyperlink" xfId="132" builtinId="9" hidden="1"/>
    <cellStyle name="Followed Hyperlink" xfId="511" builtinId="9" hidden="1"/>
    <cellStyle name="Followed Hyperlink" xfId="501" builtinId="9" hidden="1"/>
    <cellStyle name="Followed Hyperlink" xfId="434" builtinId="9" hidden="1"/>
    <cellStyle name="Followed Hyperlink" xfId="204" builtinId="9" hidden="1"/>
    <cellStyle name="Followed Hyperlink" xfId="56" builtinId="9" hidden="1"/>
    <cellStyle name="Followed Hyperlink" xfId="304" builtinId="9" hidden="1"/>
    <cellStyle name="Followed Hyperlink" xfId="258" builtinId="9" hidden="1"/>
    <cellStyle name="Followed Hyperlink" xfId="74" builtinId="9" hidden="1"/>
    <cellStyle name="Followed Hyperlink" xfId="262" builtinId="9" hidden="1"/>
    <cellStyle name="Followed Hyperlink" xfId="148" builtinId="9" hidden="1"/>
    <cellStyle name="Followed Hyperlink" xfId="448" builtinId="9" hidden="1"/>
    <cellStyle name="Followed Hyperlink" xfId="466" builtinId="9" hidden="1"/>
    <cellStyle name="Followed Hyperlink" xfId="493" builtinId="9" hidden="1"/>
    <cellStyle name="Followed Hyperlink" xfId="442" builtinId="9" hidden="1"/>
    <cellStyle name="Followed Hyperlink" xfId="340" builtinId="9" hidden="1"/>
    <cellStyle name="Followed Hyperlink" xfId="426" builtinId="9" hidden="1"/>
    <cellStyle name="Followed Hyperlink" xfId="418" builtinId="9" hidden="1"/>
    <cellStyle name="Followed Hyperlink" xfId="320" builtinId="9" hidden="1"/>
    <cellStyle name="Followed Hyperlink" xfId="366" builtinId="9" hidden="1"/>
    <cellStyle name="Followed Hyperlink" xfId="222" builtinId="9" hidden="1"/>
    <cellStyle name="Followed Hyperlink" xfId="198" builtinId="9" hidden="1"/>
    <cellStyle name="Followed Hyperlink" xfId="294" builtinId="9" hidden="1"/>
    <cellStyle name="Followed Hyperlink" xfId="58" builtinId="9" hidden="1"/>
    <cellStyle name="Followed Hyperlink" xfId="358" builtinId="9" hidden="1"/>
    <cellStyle name="Followed Hyperlink" xfId="246" builtinId="9" hidden="1"/>
    <cellStyle name="Followed Hyperlink" xfId="470" builtinId="9" hidden="1"/>
    <cellStyle name="Followed Hyperlink" xfId="216" builtinId="9" hidden="1"/>
    <cellStyle name="Followed Hyperlink" xfId="505" builtinId="9" hidden="1"/>
    <cellStyle name="Followed Hyperlink" xfId="479" builtinId="9" hidden="1"/>
    <cellStyle name="Followed Hyperlink" xfId="196" builtinId="9" hidden="1"/>
    <cellStyle name="Followed Hyperlink" xfId="170" builtinId="9" hidden="1"/>
    <cellStyle name="Followed Hyperlink" xfId="156" builtinId="9" hidden="1"/>
    <cellStyle name="Followed Hyperlink" xfId="48" builtinId="9" hidden="1"/>
    <cellStyle name="Followed Hyperlink" xfId="282" builtinId="9" hidden="1"/>
    <cellStyle name="Followed Hyperlink" xfId="14" builtinId="9" hidden="1"/>
    <cellStyle name="Followed Hyperlink" xfId="414" builtinId="9" hidden="1"/>
    <cellStyle name="Followed Hyperlink" xfId="252" builtinId="9" hidden="1"/>
    <cellStyle name="Followed Hyperlink" xfId="561" builtinId="9" hidden="1"/>
    <cellStyle name="Followed Hyperlink" xfId="541" builtinId="9" hidden="1"/>
    <cellStyle name="Followed Hyperlink" xfId="126" builtinId="9" hidden="1"/>
    <cellStyle name="Followed Hyperlink" xfId="244" builtinId="9" hidden="1"/>
    <cellStyle name="Followed Hyperlink" xfId="206" builtinId="9" hidden="1"/>
    <cellStyle name="Followed Hyperlink" xfId="332" builtinId="9" hidden="1"/>
    <cellStyle name="Followed Hyperlink" xfId="270" builtinId="9" hidden="1"/>
    <cellStyle name="Followed Hyperlink" xfId="334" builtinId="9" hidden="1"/>
    <cellStyle name="Followed Hyperlink" xfId="62" builtinId="9" hidden="1"/>
    <cellStyle name="Followed Hyperlink" xfId="458" builtinId="9" hidden="1"/>
    <cellStyle name="Followed Hyperlink" xfId="545" builtinId="9" hidden="1"/>
    <cellStyle name="Followed Hyperlink" xfId="152" builtinId="9" hidden="1"/>
    <cellStyle name="Followed Hyperlink" xfId="543" builtinId="9" hidden="1"/>
    <cellStyle name="Followed Hyperlink" xfId="82" builtinId="9" hidden="1"/>
    <cellStyle name="Followed Hyperlink" xfId="378" builtinId="9" hidden="1"/>
    <cellStyle name="Followed Hyperlink" xfId="18" builtinId="9" hidden="1"/>
    <cellStyle name="Followed Hyperlink" xfId="80" builtinId="9" hidden="1"/>
    <cellStyle name="Followed Hyperlink" xfId="328" builtinId="9" hidden="1"/>
    <cellStyle name="Followed Hyperlink" xfId="290" builtinId="9" hidden="1"/>
    <cellStyle name="Followed Hyperlink" xfId="36" builtinId="9" hidden="1"/>
    <cellStyle name="Followed Hyperlink" xfId="278" builtinId="9" hidden="1"/>
    <cellStyle name="Followed Hyperlink" xfId="24" builtinId="9" hidden="1"/>
    <cellStyle name="Followed Hyperlink" xfId="140" builtinId="9" hidden="1"/>
    <cellStyle name="Followed Hyperlink" xfId="194" builtinId="9" hidden="1"/>
    <cellStyle name="Followed Hyperlink" xfId="208" builtinId="9" hidden="1"/>
    <cellStyle name="Followed Hyperlink" xfId="473" builtinId="9" hidden="1"/>
    <cellStyle name="Followed Hyperlink" xfId="190" builtinId="9" hidden="1"/>
    <cellStyle name="Followed Hyperlink" xfId="176" builtinId="9" hidden="1"/>
    <cellStyle name="Followed Hyperlink" xfId="2" builtinId="9" hidden="1"/>
    <cellStyle name="Followed Hyperlink" xfId="454" builtinId="9" hidden="1"/>
    <cellStyle name="Followed Hyperlink" xfId="86" builtinId="9" hidden="1"/>
    <cellStyle name="Followed Hyperlink" xfId="547" builtinId="9" hidden="1"/>
    <cellStyle name="Followed Hyperlink" xfId="312" builtinId="9" hidden="1"/>
    <cellStyle name="Followed Hyperlink" xfId="212" builtinId="9" hidden="1"/>
    <cellStyle name="Followed Hyperlink" xfId="186" builtinId="9" hidden="1"/>
    <cellStyle name="Followed Hyperlink" xfId="539" builtinId="9" hidden="1"/>
    <cellStyle name="Followed Hyperlink" xfId="338" builtinId="9" hidden="1"/>
    <cellStyle name="Followed Hyperlink" xfId="360" builtinId="9" hidden="1"/>
    <cellStyle name="Followed Hyperlink" xfId="88" builtinId="9" hidden="1"/>
    <cellStyle name="Followed Hyperlink" xfId="166" builtinId="9" hidden="1"/>
    <cellStyle name="Followed Hyperlink" xfId="202" builtinId="9" hidden="1"/>
    <cellStyle name="Followed Hyperlink" xfId="130" builtinId="9" hidden="1"/>
    <cellStyle name="Followed Hyperlink" xfId="537" builtinId="9" hidden="1"/>
    <cellStyle name="Followed Hyperlink" xfId="78" builtinId="9" hidden="1"/>
    <cellStyle name="Followed Hyperlink" xfId="144" builtinId="9" hidden="1"/>
    <cellStyle name="Followed Hyperlink" xfId="178" builtinId="9" hidden="1"/>
    <cellStyle name="Followed Hyperlink" xfId="372" builtinId="9" hidden="1"/>
    <cellStyle name="Followed Hyperlink" xfId="382" builtinId="9" hidden="1"/>
    <cellStyle name="Followed Hyperlink" xfId="104" builtinId="9" hidden="1"/>
    <cellStyle name="Followed Hyperlink" xfId="210" builtinId="9" hidden="1"/>
    <cellStyle name="Followed Hyperlink" xfId="200" builtinId="9" hidden="1"/>
    <cellStyle name="Followed Hyperlink" xfId="226" builtinId="9" hidden="1"/>
    <cellStyle name="Followed Hyperlink" xfId="96" builtinId="9" hidden="1"/>
    <cellStyle name="Followed Hyperlink" xfId="422" builtinId="9" hidden="1"/>
    <cellStyle name="Followed Hyperlink" xfId="230" builtinId="9" hidden="1"/>
    <cellStyle name="Followed Hyperlink" xfId="330" builtinId="9" hidden="1"/>
    <cellStyle name="Followed Hyperlink" xfId="284" builtinId="9" hidden="1"/>
    <cellStyle name="Followed Hyperlink" xfId="509" builtinId="9" hidden="1"/>
    <cellStyle name="Followed Hyperlink" xfId="174" builtinId="9" hidden="1"/>
    <cellStyle name="Followed Hyperlink" xfId="460" builtinId="9" hidden="1"/>
    <cellStyle name="Followed Hyperlink" xfId="54" builtinId="9" hidden="1"/>
    <cellStyle name="Followed Hyperlink" xfId="475" builtinId="9" hidden="1"/>
    <cellStyle name="Followed Hyperlink" xfId="300" builtinId="9" hidden="1"/>
    <cellStyle name="Followed Hyperlink" xfId="180" builtinId="9" hidden="1"/>
    <cellStyle name="Followed Hyperlink" xfId="565" builtinId="9" hidden="1"/>
    <cellStyle name="Followed Hyperlink" xfId="569" builtinId="9" hidden="1"/>
    <cellStyle name="Followed Hyperlink" xfId="573" builtinId="9" hidden="1"/>
    <cellStyle name="Followed Hyperlink" xfId="577" builtinId="9" hidden="1"/>
    <cellStyle name="Followed Hyperlink" xfId="581" builtinId="9" hidden="1"/>
    <cellStyle name="Followed Hyperlink" xfId="585" builtinId="9" hidden="1"/>
    <cellStyle name="Followed Hyperlink" xfId="589" builtinId="9" hidden="1"/>
    <cellStyle name="Followed Hyperlink" xfId="593" builtinId="9" hidden="1"/>
    <cellStyle name="Followed Hyperlink" xfId="597" builtinId="9" hidden="1"/>
    <cellStyle name="Followed Hyperlink" xfId="601" builtinId="9" hidden="1"/>
    <cellStyle name="Followed Hyperlink" xfId="605" builtinId="9" hidden="1"/>
    <cellStyle name="Followed Hyperlink" xfId="609" builtinId="9" hidden="1"/>
    <cellStyle name="Followed Hyperlink" xfId="613" builtinId="9" hidden="1"/>
    <cellStyle name="Followed Hyperlink" xfId="617" builtinId="9" hidden="1"/>
    <cellStyle name="Followed Hyperlink" xfId="621" builtinId="9" hidden="1"/>
    <cellStyle name="Followed Hyperlink" xfId="625" builtinId="9" hidden="1"/>
    <cellStyle name="Followed Hyperlink" xfId="629" builtinId="9" hidden="1"/>
    <cellStyle name="Followed Hyperlink" xfId="633" builtinId="9" hidden="1"/>
    <cellStyle name="Followed Hyperlink" xfId="637" builtinId="9" hidden="1"/>
    <cellStyle name="Followed Hyperlink" xfId="641"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5" builtinId="9" hidden="1"/>
    <cellStyle name="Followed Hyperlink" xfId="669" builtinId="9" hidden="1"/>
    <cellStyle name="Followed Hyperlink" xfId="673" builtinId="9" hidden="1"/>
    <cellStyle name="Followed Hyperlink" xfId="677" builtinId="9" hidden="1"/>
    <cellStyle name="Followed Hyperlink" xfId="681" builtinId="9" hidden="1"/>
    <cellStyle name="Followed Hyperlink" xfId="685" builtinId="9" hidden="1"/>
    <cellStyle name="Followed Hyperlink" xfId="689" builtinId="9" hidden="1"/>
    <cellStyle name="Followed Hyperlink" xfId="693" builtinId="9" hidden="1"/>
    <cellStyle name="Followed Hyperlink" xfId="697" builtinId="9" hidden="1"/>
    <cellStyle name="Followed Hyperlink" xfId="701" builtinId="9" hidden="1"/>
    <cellStyle name="Followed Hyperlink" xfId="705" builtinId="9" hidden="1"/>
    <cellStyle name="Followed Hyperlink" xfId="709" builtinId="9" hidden="1"/>
    <cellStyle name="Followed Hyperlink" xfId="713" builtinId="9" hidden="1"/>
    <cellStyle name="Followed Hyperlink" xfId="717" builtinId="9" hidden="1"/>
    <cellStyle name="Followed Hyperlink" xfId="721" builtinId="9" hidden="1"/>
    <cellStyle name="Followed Hyperlink" xfId="725" builtinId="9" hidden="1"/>
    <cellStyle name="Followed Hyperlink" xfId="729" builtinId="9" hidden="1"/>
    <cellStyle name="Followed Hyperlink" xfId="733" builtinId="9" hidden="1"/>
    <cellStyle name="Followed Hyperlink" xfId="737" builtinId="9" hidden="1"/>
    <cellStyle name="Followed Hyperlink" xfId="741" builtinId="9" hidden="1"/>
    <cellStyle name="Followed Hyperlink" xfId="745" builtinId="9" hidden="1"/>
    <cellStyle name="Followed Hyperlink" xfId="749" builtinId="9" hidden="1"/>
    <cellStyle name="Followed Hyperlink" xfId="753" builtinId="9" hidden="1"/>
    <cellStyle name="Followed Hyperlink" xfId="757" builtinId="9" hidden="1"/>
    <cellStyle name="Followed Hyperlink" xfId="761" builtinId="9" hidden="1"/>
    <cellStyle name="Followed Hyperlink" xfId="765" builtinId="9" hidden="1"/>
    <cellStyle name="Followed Hyperlink" xfId="769" builtinId="9" hidden="1"/>
    <cellStyle name="Followed Hyperlink" xfId="773" builtinId="9" hidden="1"/>
    <cellStyle name="Followed Hyperlink" xfId="777" builtinId="9" hidden="1"/>
    <cellStyle name="Followed Hyperlink" xfId="781" builtinId="9" hidden="1"/>
    <cellStyle name="Followed Hyperlink" xfId="785" builtinId="9" hidden="1"/>
    <cellStyle name="Followed Hyperlink" xfId="789" builtinId="9" hidden="1"/>
    <cellStyle name="Followed Hyperlink" xfId="793" builtinId="9" hidden="1"/>
    <cellStyle name="Followed Hyperlink" xfId="797" builtinId="9" hidden="1"/>
    <cellStyle name="Followed Hyperlink" xfId="801" builtinId="9" hidden="1"/>
    <cellStyle name="Followed Hyperlink" xfId="805" builtinId="9" hidden="1"/>
    <cellStyle name="Followed Hyperlink" xfId="809" builtinId="9" hidden="1"/>
    <cellStyle name="Followed Hyperlink" xfId="813" builtinId="9" hidden="1"/>
    <cellStyle name="Followed Hyperlink" xfId="817" builtinId="9" hidden="1"/>
    <cellStyle name="Followed Hyperlink" xfId="821" builtinId="9" hidden="1"/>
    <cellStyle name="Followed Hyperlink" xfId="825" builtinId="9" hidden="1"/>
    <cellStyle name="Followed Hyperlink" xfId="829" builtinId="9" hidden="1"/>
    <cellStyle name="Followed Hyperlink" xfId="833" builtinId="9" hidden="1"/>
    <cellStyle name="Followed Hyperlink" xfId="837" builtinId="9" hidden="1"/>
    <cellStyle name="Followed Hyperlink" xfId="841" builtinId="9" hidden="1"/>
    <cellStyle name="Followed Hyperlink" xfId="845" builtinId="9" hidden="1"/>
    <cellStyle name="Followed Hyperlink" xfId="849" builtinId="9" hidden="1"/>
    <cellStyle name="Followed Hyperlink" xfId="853" builtinId="9" hidden="1"/>
    <cellStyle name="Followed Hyperlink" xfId="857" builtinId="9" hidden="1"/>
    <cellStyle name="Followed Hyperlink" xfId="861" builtinId="9" hidden="1"/>
    <cellStyle name="Followed Hyperlink" xfId="865" builtinId="9" hidden="1"/>
    <cellStyle name="Followed Hyperlink" xfId="869" builtinId="9" hidden="1"/>
    <cellStyle name="Followed Hyperlink" xfId="873" builtinId="9" hidden="1"/>
    <cellStyle name="Followed Hyperlink" xfId="877" builtinId="9" hidden="1"/>
    <cellStyle name="Followed Hyperlink" xfId="881" builtinId="9" hidden="1"/>
    <cellStyle name="Followed Hyperlink" xfId="885" builtinId="9" hidden="1"/>
    <cellStyle name="Followed Hyperlink" xfId="889" builtinId="9" hidden="1"/>
    <cellStyle name="Followed Hyperlink" xfId="893"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17" builtinId="9" hidden="1"/>
    <cellStyle name="Followed Hyperlink" xfId="921" builtinId="9" hidden="1"/>
    <cellStyle name="Followed Hyperlink" xfId="925" builtinId="9" hidden="1"/>
    <cellStyle name="Followed Hyperlink" xfId="929" builtinId="9" hidden="1"/>
    <cellStyle name="Followed Hyperlink" xfId="933" builtinId="9" hidden="1"/>
    <cellStyle name="Followed Hyperlink" xfId="937" builtinId="9" hidden="1"/>
    <cellStyle name="Followed Hyperlink" xfId="941" builtinId="9" hidden="1"/>
    <cellStyle name="Followed Hyperlink" xfId="945" builtinId="9" hidden="1"/>
    <cellStyle name="Followed Hyperlink" xfId="949" builtinId="9" hidden="1"/>
    <cellStyle name="Followed Hyperlink" xfId="953" builtinId="9" hidden="1"/>
    <cellStyle name="Followed Hyperlink" xfId="957" builtinId="9" hidden="1"/>
    <cellStyle name="Followed Hyperlink" xfId="961" builtinId="9" hidden="1"/>
    <cellStyle name="Followed Hyperlink" xfId="965" builtinId="9" hidden="1"/>
    <cellStyle name="Followed Hyperlink" xfId="969" builtinId="9" hidden="1"/>
    <cellStyle name="Followed Hyperlink" xfId="973" builtinId="9" hidden="1"/>
    <cellStyle name="Followed Hyperlink" xfId="977" builtinId="9" hidden="1"/>
    <cellStyle name="Followed Hyperlink" xfId="981" builtinId="9" hidden="1"/>
    <cellStyle name="Followed Hyperlink" xfId="985" builtinId="9" hidden="1"/>
    <cellStyle name="Followed Hyperlink" xfId="989" builtinId="9" hidden="1"/>
    <cellStyle name="Followed Hyperlink" xfId="993" builtinId="9" hidden="1"/>
    <cellStyle name="Followed Hyperlink" xfId="997" builtinId="9" hidden="1"/>
    <cellStyle name="Followed Hyperlink" xfId="1001" builtinId="9" hidden="1"/>
    <cellStyle name="Followed Hyperlink" xfId="1005" builtinId="9" hidden="1"/>
    <cellStyle name="Followed Hyperlink" xfId="1009" builtinId="9" hidden="1"/>
    <cellStyle name="Followed Hyperlink" xfId="1013" builtinId="9" hidden="1"/>
    <cellStyle name="Followed Hyperlink" xfId="1017" builtinId="9" hidden="1"/>
    <cellStyle name="Followed Hyperlink" xfId="1021" builtinId="9" hidden="1"/>
    <cellStyle name="Followed Hyperlink" xfId="1025" builtinId="9" hidden="1"/>
    <cellStyle name="Followed Hyperlink" xfId="1029" builtinId="9" hidden="1"/>
    <cellStyle name="Followed Hyperlink" xfId="1033" builtinId="9" hidden="1"/>
    <cellStyle name="Followed Hyperlink" xfId="1037" builtinId="9" hidden="1"/>
    <cellStyle name="Followed Hyperlink" xfId="1041" builtinId="9" hidden="1"/>
    <cellStyle name="Followed Hyperlink" xfId="1045" builtinId="9" hidden="1"/>
    <cellStyle name="Followed Hyperlink" xfId="1049" builtinId="9" hidden="1"/>
    <cellStyle name="Followed Hyperlink" xfId="1053" builtinId="9" hidden="1"/>
    <cellStyle name="Followed Hyperlink" xfId="1057" builtinId="9" hidden="1"/>
    <cellStyle name="Followed Hyperlink" xfId="1061" builtinId="9" hidden="1"/>
    <cellStyle name="Followed Hyperlink" xfId="1065" builtinId="9" hidden="1"/>
    <cellStyle name="Followed Hyperlink" xfId="1069" builtinId="9" hidden="1"/>
    <cellStyle name="Followed Hyperlink" xfId="1073" builtinId="9" hidden="1"/>
    <cellStyle name="Followed Hyperlink" xfId="1077" builtinId="9" hidden="1"/>
    <cellStyle name="Followed Hyperlink" xfId="1081" builtinId="9" hidden="1"/>
    <cellStyle name="Followed Hyperlink" xfId="1085" builtinId="9" hidden="1"/>
    <cellStyle name="Followed Hyperlink" xfId="1089" builtinId="9" hidden="1"/>
    <cellStyle name="Followed Hyperlink" xfId="1093" builtinId="9" hidden="1"/>
    <cellStyle name="Followed Hyperlink" xfId="1097" builtinId="9" hidden="1"/>
    <cellStyle name="Followed Hyperlink" xfId="1101" builtinId="9" hidden="1"/>
    <cellStyle name="Followed Hyperlink" xfId="1105" builtinId="9" hidden="1"/>
    <cellStyle name="Followed Hyperlink" xfId="1109" builtinId="9" hidden="1"/>
    <cellStyle name="Followed Hyperlink" xfId="1113" builtinId="9" hidden="1"/>
    <cellStyle name="Followed Hyperlink" xfId="1117" builtinId="9" hidden="1"/>
    <cellStyle name="Followed Hyperlink" xfId="1121" builtinId="9" hidden="1"/>
    <cellStyle name="Followed Hyperlink" xfId="1125" builtinId="9" hidden="1"/>
    <cellStyle name="Followed Hyperlink" xfId="1129" builtinId="9" hidden="1"/>
    <cellStyle name="Followed Hyperlink" xfId="1133" builtinId="9" hidden="1"/>
    <cellStyle name="Followed Hyperlink" xfId="1137" builtinId="9" hidden="1"/>
    <cellStyle name="Followed Hyperlink" xfId="1141" builtinId="9" hidden="1"/>
    <cellStyle name="Followed Hyperlink" xfId="1145"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69" builtinId="9" hidden="1"/>
    <cellStyle name="Followed Hyperlink" xfId="1173" builtinId="9" hidden="1"/>
    <cellStyle name="Followed Hyperlink" xfId="1177" builtinId="9" hidden="1"/>
    <cellStyle name="Followed Hyperlink" xfId="1181" builtinId="9" hidden="1"/>
    <cellStyle name="Followed Hyperlink" xfId="1185" builtinId="9" hidden="1"/>
    <cellStyle name="Followed Hyperlink" xfId="1189" builtinId="9" hidden="1"/>
    <cellStyle name="Followed Hyperlink" xfId="1193" builtinId="9" hidden="1"/>
    <cellStyle name="Followed Hyperlink" xfId="1197" builtinId="9" hidden="1"/>
    <cellStyle name="Followed Hyperlink" xfId="1201" builtinId="9" hidden="1"/>
    <cellStyle name="Followed Hyperlink" xfId="1205" builtinId="9" hidden="1"/>
    <cellStyle name="Followed Hyperlink" xfId="1209" builtinId="9" hidden="1"/>
    <cellStyle name="Followed Hyperlink" xfId="1213" builtinId="9" hidden="1"/>
    <cellStyle name="Followed Hyperlink" xfId="1217" builtinId="9" hidden="1"/>
    <cellStyle name="Followed Hyperlink" xfId="1221" builtinId="9" hidden="1"/>
    <cellStyle name="Followed Hyperlink" xfId="1225" builtinId="9" hidden="1"/>
    <cellStyle name="Followed Hyperlink" xfId="1229" builtinId="9" hidden="1"/>
    <cellStyle name="Followed Hyperlink" xfId="1233" builtinId="9" hidden="1"/>
    <cellStyle name="Followed Hyperlink" xfId="1237" builtinId="9" hidden="1"/>
    <cellStyle name="Followed Hyperlink" xfId="1241" builtinId="9" hidden="1"/>
    <cellStyle name="Followed Hyperlink" xfId="1245" builtinId="9" hidden="1"/>
    <cellStyle name="Followed Hyperlink" xfId="1249" builtinId="9" hidden="1"/>
    <cellStyle name="Followed Hyperlink" xfId="1253" builtinId="9" hidden="1"/>
    <cellStyle name="Followed Hyperlink" xfId="1257" builtinId="9" hidden="1"/>
    <cellStyle name="Followed Hyperlink" xfId="1261" builtinId="9" hidden="1"/>
    <cellStyle name="Followed Hyperlink" xfId="1265" builtinId="9" hidden="1"/>
    <cellStyle name="Followed Hyperlink" xfId="1269" builtinId="9" hidden="1"/>
    <cellStyle name="Followed Hyperlink" xfId="1273" builtinId="9" hidden="1"/>
    <cellStyle name="Followed Hyperlink" xfId="1277" builtinId="9" hidden="1"/>
    <cellStyle name="Followed Hyperlink" xfId="1281" builtinId="9" hidden="1"/>
    <cellStyle name="Followed Hyperlink" xfId="1285" builtinId="9" hidden="1"/>
    <cellStyle name="Followed Hyperlink" xfId="1289" builtinId="9" hidden="1"/>
    <cellStyle name="Followed Hyperlink" xfId="1293" builtinId="9" hidden="1"/>
    <cellStyle name="Followed Hyperlink" xfId="1297" builtinId="9" hidden="1"/>
    <cellStyle name="Followed Hyperlink" xfId="1301" builtinId="9" hidden="1"/>
    <cellStyle name="Followed Hyperlink" xfId="1305" builtinId="9" hidden="1"/>
    <cellStyle name="Followed Hyperlink" xfId="1309" builtinId="9" hidden="1"/>
    <cellStyle name="Followed Hyperlink" xfId="1313" builtinId="9" hidden="1"/>
    <cellStyle name="Followed Hyperlink" xfId="1317" builtinId="9" hidden="1"/>
    <cellStyle name="Followed Hyperlink" xfId="1321" builtinId="9" hidden="1"/>
    <cellStyle name="Followed Hyperlink" xfId="1325" builtinId="9" hidden="1"/>
    <cellStyle name="Followed Hyperlink" xfId="1329" builtinId="9" hidden="1"/>
    <cellStyle name="Followed Hyperlink" xfId="1333" builtinId="9" hidden="1"/>
    <cellStyle name="Followed Hyperlink" xfId="1337" builtinId="9" hidden="1"/>
    <cellStyle name="Followed Hyperlink" xfId="1341" builtinId="9" hidden="1"/>
    <cellStyle name="Followed Hyperlink" xfId="1345" builtinId="9" hidden="1"/>
    <cellStyle name="Followed Hyperlink" xfId="1349" builtinId="9" hidden="1"/>
    <cellStyle name="Followed Hyperlink" xfId="1353" builtinId="9" hidden="1"/>
    <cellStyle name="Followed Hyperlink" xfId="1357" builtinId="9" hidden="1"/>
    <cellStyle name="Followed Hyperlink" xfId="1361" builtinId="9" hidden="1"/>
    <cellStyle name="Followed Hyperlink" xfId="1365" builtinId="9" hidden="1"/>
    <cellStyle name="Followed Hyperlink" xfId="1369" builtinId="9" hidden="1"/>
    <cellStyle name="Followed Hyperlink" xfId="1373" builtinId="9" hidden="1"/>
    <cellStyle name="Followed Hyperlink" xfId="1377" builtinId="9" hidden="1"/>
    <cellStyle name="Followed Hyperlink" xfId="1381" builtinId="9" hidden="1"/>
    <cellStyle name="Followed Hyperlink" xfId="1385" builtinId="9" hidden="1"/>
    <cellStyle name="Followed Hyperlink" xfId="1389" builtinId="9" hidden="1"/>
    <cellStyle name="Followed Hyperlink" xfId="1393" builtinId="9" hidden="1"/>
    <cellStyle name="Followed Hyperlink" xfId="1397"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1" builtinId="9" hidden="1"/>
    <cellStyle name="Followed Hyperlink" xfId="1425" builtinId="9" hidden="1"/>
    <cellStyle name="Followed Hyperlink" xfId="1429" builtinId="9" hidden="1"/>
    <cellStyle name="Followed Hyperlink" xfId="1433" builtinId="9" hidden="1"/>
    <cellStyle name="Followed Hyperlink" xfId="1437" builtinId="9" hidden="1"/>
    <cellStyle name="Followed Hyperlink" xfId="1441" builtinId="9" hidden="1"/>
    <cellStyle name="Followed Hyperlink" xfId="1445" builtinId="9" hidden="1"/>
    <cellStyle name="Followed Hyperlink" xfId="1449" builtinId="9" hidden="1"/>
    <cellStyle name="Followed Hyperlink" xfId="1453" builtinId="9" hidden="1"/>
    <cellStyle name="Followed Hyperlink" xfId="1457" builtinId="9" hidden="1"/>
    <cellStyle name="Followed Hyperlink" xfId="1461" builtinId="9" hidden="1"/>
    <cellStyle name="Followed Hyperlink" xfId="1465" builtinId="9" hidden="1"/>
    <cellStyle name="Followed Hyperlink" xfId="1469" builtinId="9" hidden="1"/>
    <cellStyle name="Followed Hyperlink" xfId="1473" builtinId="9" hidden="1"/>
    <cellStyle name="Followed Hyperlink" xfId="1477" builtinId="9" hidden="1"/>
    <cellStyle name="Followed Hyperlink" xfId="1481" builtinId="9" hidden="1"/>
    <cellStyle name="Followed Hyperlink" xfId="1485" builtinId="9" hidden="1"/>
    <cellStyle name="Followed Hyperlink" xfId="1489" builtinId="9" hidden="1"/>
    <cellStyle name="Followed Hyperlink" xfId="1493" builtinId="9" hidden="1"/>
    <cellStyle name="Followed Hyperlink" xfId="1497" builtinId="9" hidden="1"/>
    <cellStyle name="Followed Hyperlink" xfId="1501" builtinId="9" hidden="1"/>
    <cellStyle name="Followed Hyperlink" xfId="1505" builtinId="9" hidden="1"/>
    <cellStyle name="Followed Hyperlink" xfId="1509" builtinId="9" hidden="1"/>
    <cellStyle name="Followed Hyperlink" xfId="1513" builtinId="9" hidden="1"/>
    <cellStyle name="Followed Hyperlink" xfId="1517" builtinId="9" hidden="1"/>
    <cellStyle name="Followed Hyperlink" xfId="1521" builtinId="9" hidden="1"/>
    <cellStyle name="Followed Hyperlink" xfId="1525" builtinId="9" hidden="1"/>
    <cellStyle name="Followed Hyperlink" xfId="1529" builtinId="9" hidden="1"/>
    <cellStyle name="Followed Hyperlink" xfId="1533" builtinId="9" hidden="1"/>
    <cellStyle name="Followed Hyperlink" xfId="1537" builtinId="9" hidden="1"/>
    <cellStyle name="Followed Hyperlink" xfId="1541" builtinId="9" hidden="1"/>
    <cellStyle name="Followed Hyperlink" xfId="1545" builtinId="9" hidden="1"/>
    <cellStyle name="Followed Hyperlink" xfId="1549" builtinId="9" hidden="1"/>
    <cellStyle name="Followed Hyperlink" xfId="1553" builtinId="9" hidden="1"/>
    <cellStyle name="Followed Hyperlink" xfId="1557" builtinId="9" hidden="1"/>
    <cellStyle name="Followed Hyperlink" xfId="1561" builtinId="9" hidden="1"/>
    <cellStyle name="Followed Hyperlink" xfId="1565" builtinId="9" hidden="1"/>
    <cellStyle name="Followed Hyperlink" xfId="1569" builtinId="9" hidden="1"/>
    <cellStyle name="Followed Hyperlink" xfId="1573" builtinId="9" hidden="1"/>
    <cellStyle name="Followed Hyperlink" xfId="1577" builtinId="9" hidden="1"/>
    <cellStyle name="Followed Hyperlink" xfId="1581" builtinId="9" hidden="1"/>
    <cellStyle name="Followed Hyperlink" xfId="1585" builtinId="9" hidden="1"/>
    <cellStyle name="Followed Hyperlink" xfId="1589" builtinId="9" hidden="1"/>
    <cellStyle name="Followed Hyperlink" xfId="1593" builtinId="9" hidden="1"/>
    <cellStyle name="Followed Hyperlink" xfId="1597" builtinId="9" hidden="1"/>
    <cellStyle name="Followed Hyperlink" xfId="1601" builtinId="9" hidden="1"/>
    <cellStyle name="Followed Hyperlink" xfId="1605" builtinId="9" hidden="1"/>
    <cellStyle name="Followed Hyperlink" xfId="1609" builtinId="9" hidden="1"/>
    <cellStyle name="Followed Hyperlink" xfId="1613" builtinId="9" hidden="1"/>
    <cellStyle name="Followed Hyperlink" xfId="1617" builtinId="9" hidden="1"/>
    <cellStyle name="Followed Hyperlink" xfId="1621" builtinId="9" hidden="1"/>
    <cellStyle name="Followed Hyperlink" xfId="1625" builtinId="9" hidden="1"/>
    <cellStyle name="Followed Hyperlink" xfId="1629" builtinId="9" hidden="1"/>
    <cellStyle name="Followed Hyperlink" xfId="1633" builtinId="9" hidden="1"/>
    <cellStyle name="Followed Hyperlink" xfId="1637" builtinId="9" hidden="1"/>
    <cellStyle name="Followed Hyperlink" xfId="1641" builtinId="9" hidden="1"/>
    <cellStyle name="Followed Hyperlink" xfId="1645" builtinId="9" hidden="1"/>
    <cellStyle name="Followed Hyperlink" xfId="1649"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3" builtinId="9" hidden="1"/>
    <cellStyle name="Followed Hyperlink" xfId="1677" builtinId="9" hidden="1"/>
    <cellStyle name="Followed Hyperlink" xfId="1681" builtinId="9" hidden="1"/>
    <cellStyle name="Followed Hyperlink" xfId="1685" builtinId="9" hidden="1"/>
    <cellStyle name="Followed Hyperlink" xfId="1689" builtinId="9" hidden="1"/>
    <cellStyle name="Followed Hyperlink" xfId="1693" builtinId="9" hidden="1"/>
    <cellStyle name="Followed Hyperlink" xfId="1697" builtinId="9" hidden="1"/>
    <cellStyle name="Followed Hyperlink" xfId="1701" builtinId="9" hidden="1"/>
    <cellStyle name="Followed Hyperlink" xfId="1705" builtinId="9" hidden="1"/>
    <cellStyle name="Followed Hyperlink" xfId="1709" builtinId="9" hidden="1"/>
    <cellStyle name="Followed Hyperlink" xfId="1713" builtinId="9" hidden="1"/>
    <cellStyle name="Followed Hyperlink" xfId="1717" builtinId="9" hidden="1"/>
    <cellStyle name="Followed Hyperlink" xfId="1721" builtinId="9" hidden="1"/>
    <cellStyle name="Followed Hyperlink" xfId="1725" builtinId="9" hidden="1"/>
    <cellStyle name="Followed Hyperlink" xfId="1729" builtinId="9" hidden="1"/>
    <cellStyle name="Followed Hyperlink" xfId="1733" builtinId="9" hidden="1"/>
    <cellStyle name="Followed Hyperlink" xfId="1737" builtinId="9" hidden="1"/>
    <cellStyle name="Followed Hyperlink" xfId="1741" builtinId="9" hidden="1"/>
    <cellStyle name="Followed Hyperlink" xfId="1745" builtinId="9" hidden="1"/>
    <cellStyle name="Followed Hyperlink" xfId="1749" builtinId="9" hidden="1"/>
    <cellStyle name="Followed Hyperlink" xfId="1753" builtinId="9" hidden="1"/>
    <cellStyle name="Followed Hyperlink" xfId="1757" builtinId="9" hidden="1"/>
    <cellStyle name="Followed Hyperlink" xfId="1761" builtinId="9" hidden="1"/>
    <cellStyle name="Followed Hyperlink" xfId="1765" builtinId="9" hidden="1"/>
    <cellStyle name="Followed Hyperlink" xfId="1769" builtinId="9" hidden="1"/>
    <cellStyle name="Followed Hyperlink" xfId="1773" builtinId="9" hidden="1"/>
    <cellStyle name="Followed Hyperlink" xfId="1777" builtinId="9" hidden="1"/>
    <cellStyle name="Followed Hyperlink" xfId="1781"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59" builtinId="9" hidden="1"/>
    <cellStyle name="Followed Hyperlink" xfId="1755" builtinId="9" hidden="1"/>
    <cellStyle name="Followed Hyperlink" xfId="1751" builtinId="9" hidden="1"/>
    <cellStyle name="Followed Hyperlink" xfId="1747"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19" builtinId="9" hidden="1"/>
    <cellStyle name="Followed Hyperlink" xfId="1715" builtinId="9" hidden="1"/>
    <cellStyle name="Followed Hyperlink" xfId="1711"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683" builtinId="9" hidden="1"/>
    <cellStyle name="Followed Hyperlink" xfId="1679" builtinId="9" hidden="1"/>
    <cellStyle name="Followed Hyperlink" xfId="1675" builtinId="9" hidden="1"/>
    <cellStyle name="Followed Hyperlink" xfId="1671"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43" builtinId="9" hidden="1"/>
    <cellStyle name="Followed Hyperlink" xfId="1639" builtinId="9" hidden="1"/>
    <cellStyle name="Followed Hyperlink" xfId="1635"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07" builtinId="9" hidden="1"/>
    <cellStyle name="Followed Hyperlink" xfId="1603" builtinId="9" hidden="1"/>
    <cellStyle name="Followed Hyperlink" xfId="1599" builtinId="9" hidden="1"/>
    <cellStyle name="Followed Hyperlink" xfId="1595"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67" builtinId="9" hidden="1"/>
    <cellStyle name="Followed Hyperlink" xfId="1563" builtinId="9" hidden="1"/>
    <cellStyle name="Followed Hyperlink" xfId="1559"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31" builtinId="9" hidden="1"/>
    <cellStyle name="Followed Hyperlink" xfId="1527" builtinId="9" hidden="1"/>
    <cellStyle name="Followed Hyperlink" xfId="1523" builtinId="9" hidden="1"/>
    <cellStyle name="Followed Hyperlink" xfId="1519"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491" builtinId="9" hidden="1"/>
    <cellStyle name="Followed Hyperlink" xfId="1487" builtinId="9" hidden="1"/>
    <cellStyle name="Followed Hyperlink" xfId="1483"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55" builtinId="9" hidden="1"/>
    <cellStyle name="Followed Hyperlink" xfId="1451" builtinId="9" hidden="1"/>
    <cellStyle name="Followed Hyperlink" xfId="1447" builtinId="9" hidden="1"/>
    <cellStyle name="Followed Hyperlink" xfId="1443"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379" builtinId="9" hidden="1"/>
    <cellStyle name="Followed Hyperlink" xfId="1375" builtinId="9" hidden="1"/>
    <cellStyle name="Followed Hyperlink" xfId="1371" builtinId="9" hidden="1"/>
    <cellStyle name="Followed Hyperlink" xfId="1367"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39" builtinId="9" hidden="1"/>
    <cellStyle name="Followed Hyperlink" xfId="1335" builtinId="9" hidden="1"/>
    <cellStyle name="Followed Hyperlink" xfId="1331"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03" builtinId="9" hidden="1"/>
    <cellStyle name="Followed Hyperlink" xfId="1299" builtinId="9" hidden="1"/>
    <cellStyle name="Followed Hyperlink" xfId="1295" builtinId="9" hidden="1"/>
    <cellStyle name="Followed Hyperlink" xfId="1291"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63" builtinId="9" hidden="1"/>
    <cellStyle name="Followed Hyperlink" xfId="1259" builtinId="9" hidden="1"/>
    <cellStyle name="Followed Hyperlink" xfId="1255"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27" builtinId="9" hidden="1"/>
    <cellStyle name="Followed Hyperlink" xfId="1223" builtinId="9" hidden="1"/>
    <cellStyle name="Followed Hyperlink" xfId="1219" builtinId="9" hidden="1"/>
    <cellStyle name="Followed Hyperlink" xfId="1215"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187" builtinId="9" hidden="1"/>
    <cellStyle name="Followed Hyperlink" xfId="1183" builtinId="9" hidden="1"/>
    <cellStyle name="Followed Hyperlink" xfId="1179"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43" builtinId="9" hidden="1"/>
    <cellStyle name="Followed Hyperlink" xfId="1139"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11" builtinId="9" hidden="1"/>
    <cellStyle name="Followed Hyperlink" xfId="1107" builtinId="9" hidden="1"/>
    <cellStyle name="Followed Hyperlink" xfId="1103"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75" builtinId="9" hidden="1"/>
    <cellStyle name="Followed Hyperlink" xfId="1071" builtinId="9" hidden="1"/>
    <cellStyle name="Followed Hyperlink" xfId="1067" builtinId="9" hidden="1"/>
    <cellStyle name="Followed Hyperlink" xfId="1063"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35" builtinId="9" hidden="1"/>
    <cellStyle name="Followed Hyperlink" xfId="1031" builtinId="9" hidden="1"/>
    <cellStyle name="Followed Hyperlink" xfId="1027"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999" builtinId="9" hidden="1"/>
    <cellStyle name="Followed Hyperlink" xfId="995" builtinId="9" hidden="1"/>
    <cellStyle name="Followed Hyperlink" xfId="991" builtinId="9" hidden="1"/>
    <cellStyle name="Followed Hyperlink" xfId="987"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59" builtinId="9" hidden="1"/>
    <cellStyle name="Followed Hyperlink" xfId="955" builtinId="9" hidden="1"/>
    <cellStyle name="Followed Hyperlink" xfId="951"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23" builtinId="9" hidden="1"/>
    <cellStyle name="Followed Hyperlink" xfId="919" builtinId="9" hidden="1"/>
    <cellStyle name="Followed Hyperlink" xfId="915"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883" builtinId="9" hidden="1"/>
    <cellStyle name="Followed Hyperlink" xfId="879" builtinId="9" hidden="1"/>
    <cellStyle name="Followed Hyperlink" xfId="875"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47" builtinId="9" hidden="1"/>
    <cellStyle name="Followed Hyperlink" xfId="843" builtinId="9" hidden="1"/>
    <cellStyle name="Followed Hyperlink" xfId="839" builtinId="9" hidden="1"/>
    <cellStyle name="Followed Hyperlink" xfId="835"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07" builtinId="9" hidden="1"/>
    <cellStyle name="Followed Hyperlink" xfId="803" builtinId="9" hidden="1"/>
    <cellStyle name="Followed Hyperlink" xfId="799"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71" builtinId="9" hidden="1"/>
    <cellStyle name="Followed Hyperlink" xfId="767" builtinId="9" hidden="1"/>
    <cellStyle name="Followed Hyperlink" xfId="763" builtinId="9" hidden="1"/>
    <cellStyle name="Followed Hyperlink" xfId="759"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31" builtinId="9" hidden="1"/>
    <cellStyle name="Followed Hyperlink" xfId="727" builtinId="9" hidden="1"/>
    <cellStyle name="Followed Hyperlink" xfId="723"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695" builtinId="9" hidden="1"/>
    <cellStyle name="Followed Hyperlink" xfId="691" builtinId="9" hidden="1"/>
    <cellStyle name="Followed Hyperlink" xfId="687" builtinId="9" hidden="1"/>
    <cellStyle name="Followed Hyperlink" xfId="683"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19" builtinId="9" hidden="1"/>
    <cellStyle name="Followed Hyperlink" xfId="615" builtinId="9" hidden="1"/>
    <cellStyle name="Followed Hyperlink" xfId="611" builtinId="9" hidden="1"/>
    <cellStyle name="Followed Hyperlink" xfId="607"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579" builtinId="9" hidden="1"/>
    <cellStyle name="Followed Hyperlink" xfId="575" builtinId="9" hidden="1"/>
    <cellStyle name="Followed Hyperlink" xfId="571" builtinId="9" hidden="1"/>
    <cellStyle name="Followed Hyperlink" xfId="567" builtinId="9" hidden="1"/>
    <cellStyle name="Followed Hyperlink" xfId="531" builtinId="9" hidden="1"/>
    <cellStyle name="Followed Hyperlink" xfId="346" builtinId="9" hidden="1"/>
    <cellStyle name="Followed Hyperlink" xfId="102" builtinId="9" hidden="1"/>
    <cellStyle name="Followed Hyperlink" xfId="557" builtinId="9" hidden="1"/>
    <cellStyle name="Followed Hyperlink" xfId="60" builtinId="9" hidden="1"/>
    <cellStyle name="Followed Hyperlink" xfId="122" builtinId="9" hidden="1"/>
    <cellStyle name="Followed Hyperlink" xfId="158" builtinId="9" hidden="1"/>
    <cellStyle name="Followed Hyperlink" xfId="497" builtinId="9" hidden="1"/>
    <cellStyle name="Followed Hyperlink" xfId="168" builtinId="9" hidden="1"/>
    <cellStyle name="Followed Hyperlink" xfId="28" builtinId="9" hidden="1"/>
    <cellStyle name="Followed Hyperlink" xfId="374" builtinId="9" hidden="1"/>
    <cellStyle name="Followed Hyperlink" xfId="106" builtinId="9" hidden="1"/>
    <cellStyle name="Followed Hyperlink" xfId="388" builtinId="9" hidden="1"/>
    <cellStyle name="Followed Hyperlink" xfId="456" builtinId="9" hidden="1"/>
    <cellStyle name="Followed Hyperlink" xfId="288" builtinId="9" hidden="1"/>
    <cellStyle name="Followed Hyperlink" xfId="404" builtinId="9" hidden="1"/>
    <cellStyle name="Followed Hyperlink" xfId="515" builtinId="9" hidden="1"/>
    <cellStyle name="Followed Hyperlink" xfId="376" builtinId="9" hidden="1"/>
    <cellStyle name="Followed Hyperlink" xfId="32" builtinId="9" hidden="1"/>
    <cellStyle name="Followed Hyperlink" xfId="160" builtinId="9" hidden="1"/>
    <cellStyle name="Followed Hyperlink" xfId="116" builtinId="9" hidden="1"/>
    <cellStyle name="Followed Hyperlink" xfId="499" builtinId="9" hidden="1"/>
    <cellStyle name="Followed Hyperlink" xfId="336" builtinId="9" hidden="1"/>
    <cellStyle name="Followed Hyperlink" xfId="92" builtinId="9" hidden="1"/>
    <cellStyle name="Followed Hyperlink" xfId="182" builtinId="9" hidden="1"/>
    <cellStyle name="Followed Hyperlink" xfId="234" builtinId="9" hidden="1"/>
    <cellStyle name="Followed Hyperlink" xfId="98" builtinId="9" hidden="1"/>
    <cellStyle name="Followed Hyperlink" xfId="559" builtinId="9" hidden="1"/>
    <cellStyle name="Followed Hyperlink" xfId="164" builtinId="9" hidden="1"/>
    <cellStyle name="Followed Hyperlink" xfId="4" builtinId="9" hidden="1"/>
    <cellStyle name="Followed Hyperlink" xfId="250" builtinId="9" hidden="1"/>
    <cellStyle name="Followed Hyperlink" xfId="30" builtinId="9" hidden="1"/>
    <cellStyle name="Followed Hyperlink" xfId="350" builtinId="9" hidden="1"/>
    <cellStyle name="Followed Hyperlink" xfId="316" builtinId="9" hidden="1"/>
    <cellStyle name="Followed Hyperlink" xfId="513" builtinId="9" hidden="1"/>
    <cellStyle name="Followed Hyperlink" xfId="553" builtinId="9" hidden="1"/>
    <cellStyle name="Followed Hyperlink" xfId="549" builtinId="9" hidden="1"/>
    <cellStyle name="Followed Hyperlink" xfId="477" builtinId="9" hidden="1"/>
    <cellStyle name="Followed Hyperlink" xfId="264" builtinId="9" hidden="1"/>
    <cellStyle name="Followed Hyperlink" xfId="398" builtinId="9" hidden="1"/>
    <cellStyle name="Followed Hyperlink" xfId="232" builtinId="9" hidden="1"/>
    <cellStyle name="Followed Hyperlink" xfId="523" builtinId="9" hidden="1"/>
    <cellStyle name="Followed Hyperlink" xfId="450" builtinId="9" hidden="1"/>
    <cellStyle name="Followed Hyperlink" xfId="394" builtinId="9" hidden="1"/>
    <cellStyle name="Followed Hyperlink" xfId="503" builtinId="9" hidden="1"/>
    <cellStyle name="Followed Hyperlink" xfId="188" builtinId="9" hidden="1"/>
    <cellStyle name="Followed Hyperlink" xfId="521" builtinId="9" hidden="1"/>
    <cellStyle name="Followed Hyperlink" xfId="146" builtinId="9" hidden="1"/>
    <cellStyle name="Followed Hyperlink" xfId="410" builtinId="9" hidden="1"/>
    <cellStyle name="Followed Hyperlink" xfId="10" builtinId="9" hidden="1"/>
    <cellStyle name="Followed Hyperlink" xfId="108" builtinId="9" hidden="1"/>
    <cellStyle name="Followed Hyperlink" xfId="368" builtinId="9" hidden="1"/>
    <cellStyle name="Followed Hyperlink" xfId="354" builtinId="9" hidden="1"/>
    <cellStyle name="Followed Hyperlink" xfId="22" builtinId="9" hidden="1"/>
    <cellStyle name="Followed Hyperlink" xfId="326" builtinId="9" hidden="1"/>
    <cellStyle name="Followed Hyperlink" xfId="228" builtinId="9" hidden="1"/>
    <cellStyle name="Followed Hyperlink" xfId="280" builtinId="9" hidden="1"/>
    <cellStyle name="Followed Hyperlink" xfId="306" builtinId="9" hidden="1"/>
    <cellStyle name="Followed Hyperlink" xfId="84" builtinId="9" hidden="1"/>
    <cellStyle name="Followed Hyperlink" xfId="100" builtinId="9" hidden="1"/>
    <cellStyle name="Followed Hyperlink" xfId="242" builtinId="9" hidden="1"/>
    <cellStyle name="Followed Hyperlink" xfId="224" builtinId="9" hidden="1"/>
    <cellStyle name="Followed Hyperlink" xfId="356" builtinId="9" hidden="1"/>
    <cellStyle name="Followed Hyperlink" xfId="406" builtinId="9" hidden="1"/>
    <cellStyle name="Followed Hyperlink" xfId="50" builtinId="9" hidden="1"/>
    <cellStyle name="Followed Hyperlink" xfId="483" builtinId="9" hidden="1"/>
    <cellStyle name="Followed Hyperlink" xfId="440" builtinId="9" hidden="1"/>
    <cellStyle name="Followed Hyperlink" xfId="136" builtinId="9" hidden="1"/>
    <cellStyle name="Followed Hyperlink" xfId="26" builtinId="9" hidden="1"/>
    <cellStyle name="Followed Hyperlink" xfId="507" builtinId="9" hidden="1"/>
    <cellStyle name="Followed Hyperlink" xfId="274" builtinId="9" hidden="1"/>
    <cellStyle name="Followed Hyperlink" xfId="112" builtinId="9" hidden="1"/>
    <cellStyle name="Followed Hyperlink" xfId="162" builtinId="9" hidden="1"/>
    <cellStyle name="Followed Hyperlink" xfId="344" builtinId="9" hidden="1"/>
    <cellStyle name="Followed Hyperlink" xfId="52" builtinId="9" hidden="1"/>
    <cellStyle name="Followed Hyperlink" xfId="452" builtinId="9" hidden="1"/>
    <cellStyle name="Followed Hyperlink" xfId="529" builtinId="9" hidden="1"/>
    <cellStyle name="Followed Hyperlink" xfId="481" builtinId="9" hidden="1"/>
    <cellStyle name="Followed Hyperlink" xfId="266" builtinId="9" hidden="1"/>
    <cellStyle name="Followed Hyperlink" xfId="118" builtinId="9" hidden="1"/>
    <cellStyle name="Followed Hyperlink" xfId="535" builtinId="9" hidden="1"/>
    <cellStyle name="Followed Hyperlink" xfId="444" builtinId="9" hidden="1"/>
    <cellStyle name="Followed Hyperlink" xfId="110" builtinId="9" hidden="1"/>
    <cellStyle name="Followed Hyperlink" xfId="416" builtinId="9" hidden="1"/>
    <cellStyle name="Followed Hyperlink" xfId="16" builtinId="9" hidden="1"/>
    <cellStyle name="Followed Hyperlink" xfId="68" builtinId="9" hidden="1"/>
    <cellStyle name="Followed Hyperlink" xfId="20" builtinId="9" hidden="1"/>
    <cellStyle name="Followed Hyperlink" xfId="154" builtinId="9" hidden="1"/>
    <cellStyle name="Followed Hyperlink" xfId="40" builtinId="9" hidden="1"/>
    <cellStyle name="Followed Hyperlink" xfId="236" builtinId="9" hidden="1"/>
    <cellStyle name="Followed Hyperlink" xfId="430" builtinId="9" hidden="1"/>
    <cellStyle name="Followed Hyperlink" xfId="12" builtinId="9" hidden="1"/>
    <cellStyle name="Followed Hyperlink" xfId="362" builtinId="9" hidden="1"/>
    <cellStyle name="Followed Hyperlink" xfId="438" builtinId="9" hidden="1"/>
    <cellStyle name="Followed Hyperlink" xfId="124" builtinId="9" hidden="1"/>
    <cellStyle name="Followed Hyperlink" xfId="489" builtinId="9" hidden="1"/>
    <cellStyle name="Followed Hyperlink" xfId="563" builtinId="9" hidden="1"/>
    <cellStyle name="Followed Hyperlink" xfId="436" builtinId="9" hidden="1"/>
    <cellStyle name="Followed Hyperlink" xfId="72" builtinId="9" hidden="1"/>
    <cellStyle name="Followed Hyperlink" xfId="38" builtinId="9" hidden="1"/>
    <cellStyle name="Followed Hyperlink" xfId="392" builtinId="9" hidden="1"/>
    <cellStyle name="Followed Hyperlink" xfId="386" builtinId="9" hidden="1"/>
    <cellStyle name="Followed Hyperlink" xfId="8" builtinId="9" hidden="1"/>
    <cellStyle name="Followed Hyperlink" xfId="342" builtinId="9" hidden="1"/>
    <cellStyle name="Followed Hyperlink" xfId="260" builtinId="9" hidden="1"/>
    <cellStyle name="Followed Hyperlink" xfId="240" builtinId="9" hidden="1"/>
    <cellStyle name="Followed Hyperlink" xfId="533" builtinId="9" hidden="1"/>
    <cellStyle name="Followed Hyperlink" xfId="396" builtinId="9" hidden="1"/>
    <cellStyle name="Followed Hyperlink" xfId="428" builtinId="9" hidden="1"/>
    <cellStyle name="Followed Hyperlink" xfId="468" builtinId="9" hidden="1"/>
    <cellStyle name="Followed Hyperlink" xfId="248" builtinId="9" hidden="1"/>
    <cellStyle name="Followed Hyperlink" xfId="324" builtinId="9" hidden="1"/>
    <cellStyle name="Followed Hyperlink" xfId="390" builtinId="9" hidden="1"/>
    <cellStyle name="Followed Hyperlink" xfId="46" builtinId="9" hidden="1"/>
    <cellStyle name="Followed Hyperlink" xfId="66" builtinId="9" hidden="1"/>
    <cellStyle name="Followed Hyperlink" xfId="220" builtinId="9" hidden="1"/>
    <cellStyle name="Followed Hyperlink" xfId="296" builtinId="9" hidden="1"/>
    <cellStyle name="Followed Hyperlink" xfId="352" builtinId="9" hidden="1"/>
    <cellStyle name="Followed Hyperlink" xfId="384" builtinId="9" hidden="1"/>
    <cellStyle name="Followed Hyperlink" xfId="420" builtinId="9" hidden="1"/>
    <cellStyle name="Followed Hyperlink" xfId="128" builtinId="9" hidden="1"/>
    <cellStyle name="Followed Hyperlink" xfId="318" builtinId="9" hidden="1"/>
    <cellStyle name="Followed Hyperlink" xfId="310" builtinId="9" hidden="1"/>
    <cellStyle name="Followed Hyperlink" xfId="298" builtinId="9" hidden="1"/>
    <cellStyle name="Followed Hyperlink" xfId="42" builtinId="9" hidden="1"/>
    <cellStyle name="Followed Hyperlink" xfId="272" builtinId="9" hidden="1"/>
    <cellStyle name="Followed Hyperlink" xfId="254" builtinId="9" hidden="1"/>
    <cellStyle name="Followed Hyperlink" xfId="485" builtinId="9" hidden="1"/>
    <cellStyle name="Followed Hyperlink" xfId="487" builtinId="9" hidden="1"/>
    <cellStyle name="Followed Hyperlink" xfId="464" builtinId="9" hidden="1"/>
    <cellStyle name="Followed Hyperlink" xfId="150" builtinId="9" hidden="1"/>
    <cellStyle name="Followed Hyperlink" xfId="517" builtinId="9" hidden="1"/>
    <cellStyle name="Followed Hyperlink" xfId="286" builtinId="9" hidden="1"/>
    <cellStyle name="Followed Hyperlink" xfId="256" builtinId="9" hidden="1"/>
    <cellStyle name="Followed Hyperlink" xfId="276" builtinId="9" hidden="1"/>
    <cellStyle name="Followed Hyperlink" xfId="218" builtinId="9" hidden="1"/>
    <cellStyle name="Followed Hyperlink" xfId="314" builtinId="9" hidden="1"/>
    <cellStyle name="Followed Hyperlink" xfId="525" builtinId="9" hidden="1"/>
    <cellStyle name="Followed Hyperlink" xfId="120" builtinId="9" hidden="1"/>
    <cellStyle name="Followed Hyperlink" xfId="402" builtinId="9" hidden="1"/>
    <cellStyle name="Followed Hyperlink" xfId="400" builtinId="9" hidden="1"/>
    <cellStyle name="Followed Hyperlink" xfId="495" builtinId="9" hidden="1"/>
    <cellStyle name="Followed Hyperlink" xfId="70" builtinId="9" hidden="1"/>
    <cellStyle name="Followed Hyperlink" xfId="34" builtinId="9" hidden="1"/>
    <cellStyle name="Followed Hyperlink" xfId="380" builtinId="9" hidden="1"/>
    <cellStyle name="Followed Hyperlink" xfId="412" builtinId="9" hidden="1"/>
    <cellStyle name="Followed Hyperlink" xfId="308" builtinId="9" hidden="1"/>
    <cellStyle name="Followed Hyperlink" xfId="142" builtinId="9" hidden="1"/>
    <cellStyle name="Followed Hyperlink" xfId="184" builtinId="9" hidden="1"/>
    <cellStyle name="Followed Hyperlink" xfId="172" builtinId="9" hidden="1"/>
    <cellStyle name="Followed Hyperlink" xfId="6" builtinId="9" hidden="1"/>
    <cellStyle name="Followed Hyperlink" xfId="114" builtinId="9" hidden="1"/>
    <cellStyle name="Followed Hyperlink" xfId="268" builtinId="9" hidden="1"/>
    <cellStyle name="Followed Hyperlink" xfId="462" builtinId="9" hidden="1"/>
    <cellStyle name="Followed Hyperlink" xfId="370" builtinId="9" hidden="1"/>
    <cellStyle name="Followed Hyperlink" xfId="424" builtinId="9" hidden="1"/>
    <cellStyle name="Followed Hyperlink" xfId="64" builtinId="9" hidden="1"/>
    <cellStyle name="Good" xfId="471" builtinId="26"/>
    <cellStyle name="Hyperlink" xfId="620" builtinId="8" hidden="1"/>
    <cellStyle name="Hyperlink" xfId="624" builtinId="8" hidden="1"/>
    <cellStyle name="Hyperlink" xfId="626" builtinId="8" hidden="1"/>
    <cellStyle name="Hyperlink" xfId="628" builtinId="8" hidden="1"/>
    <cellStyle name="Hyperlink" xfId="632" builtinId="8" hidden="1"/>
    <cellStyle name="Hyperlink" xfId="634" builtinId="8" hidden="1"/>
    <cellStyle name="Hyperlink" xfId="636" builtinId="8" hidden="1"/>
    <cellStyle name="Hyperlink" xfId="640" builtinId="8" hidden="1"/>
    <cellStyle name="Hyperlink" xfId="642" builtinId="8" hidden="1"/>
    <cellStyle name="Hyperlink" xfId="644" builtinId="8" hidden="1"/>
    <cellStyle name="Hyperlink" xfId="648" builtinId="8" hidden="1"/>
    <cellStyle name="Hyperlink" xfId="650" builtinId="8" hidden="1"/>
    <cellStyle name="Hyperlink" xfId="652" builtinId="8" hidden="1"/>
    <cellStyle name="Hyperlink" xfId="656" builtinId="8" hidden="1"/>
    <cellStyle name="Hyperlink" xfId="658" builtinId="8" hidden="1"/>
    <cellStyle name="Hyperlink" xfId="660" builtinId="8" hidden="1"/>
    <cellStyle name="Hyperlink" xfId="664" builtinId="8" hidden="1"/>
    <cellStyle name="Hyperlink" xfId="666" builtinId="8" hidden="1"/>
    <cellStyle name="Hyperlink" xfId="668" builtinId="8" hidden="1"/>
    <cellStyle name="Hyperlink" xfId="672" builtinId="8" hidden="1"/>
    <cellStyle name="Hyperlink" xfId="674" builtinId="8" hidden="1"/>
    <cellStyle name="Hyperlink" xfId="676" builtinId="8" hidden="1"/>
    <cellStyle name="Hyperlink" xfId="680" builtinId="8" hidden="1"/>
    <cellStyle name="Hyperlink" xfId="682" builtinId="8" hidden="1"/>
    <cellStyle name="Hyperlink" xfId="684" builtinId="8" hidden="1"/>
    <cellStyle name="Hyperlink" xfId="688" builtinId="8" hidden="1"/>
    <cellStyle name="Hyperlink" xfId="690" builtinId="8" hidden="1"/>
    <cellStyle name="Hyperlink" xfId="692" builtinId="8" hidden="1"/>
    <cellStyle name="Hyperlink" xfId="696" builtinId="8" hidden="1"/>
    <cellStyle name="Hyperlink" xfId="698" builtinId="8" hidden="1"/>
    <cellStyle name="Hyperlink" xfId="700" builtinId="8" hidden="1"/>
    <cellStyle name="Hyperlink" xfId="704" builtinId="8" hidden="1"/>
    <cellStyle name="Hyperlink" xfId="706" builtinId="8" hidden="1"/>
    <cellStyle name="Hyperlink" xfId="708" builtinId="8" hidden="1"/>
    <cellStyle name="Hyperlink" xfId="712" builtinId="8" hidden="1"/>
    <cellStyle name="Hyperlink" xfId="714" builtinId="8" hidden="1"/>
    <cellStyle name="Hyperlink" xfId="716" builtinId="8" hidden="1"/>
    <cellStyle name="Hyperlink" xfId="720" builtinId="8" hidden="1"/>
    <cellStyle name="Hyperlink" xfId="722" builtinId="8" hidden="1"/>
    <cellStyle name="Hyperlink" xfId="724" builtinId="8" hidden="1"/>
    <cellStyle name="Hyperlink" xfId="728" builtinId="8" hidden="1"/>
    <cellStyle name="Hyperlink" xfId="730" builtinId="8" hidden="1"/>
    <cellStyle name="Hyperlink" xfId="732" builtinId="8" hidden="1"/>
    <cellStyle name="Hyperlink" xfId="736" builtinId="8" hidden="1"/>
    <cellStyle name="Hyperlink" xfId="738" builtinId="8" hidden="1"/>
    <cellStyle name="Hyperlink" xfId="740" builtinId="8" hidden="1"/>
    <cellStyle name="Hyperlink" xfId="744" builtinId="8" hidden="1"/>
    <cellStyle name="Hyperlink" xfId="746" builtinId="8" hidden="1"/>
    <cellStyle name="Hyperlink" xfId="748" builtinId="8" hidden="1"/>
    <cellStyle name="Hyperlink" xfId="752" builtinId="8" hidden="1"/>
    <cellStyle name="Hyperlink" xfId="754" builtinId="8" hidden="1"/>
    <cellStyle name="Hyperlink" xfId="756" builtinId="8" hidden="1"/>
    <cellStyle name="Hyperlink" xfId="760" builtinId="8" hidden="1"/>
    <cellStyle name="Hyperlink" xfId="762" builtinId="8" hidden="1"/>
    <cellStyle name="Hyperlink" xfId="764" builtinId="8" hidden="1"/>
    <cellStyle name="Hyperlink" xfId="768" builtinId="8" hidden="1"/>
    <cellStyle name="Hyperlink" xfId="770" builtinId="8" hidden="1"/>
    <cellStyle name="Hyperlink" xfId="772" builtinId="8" hidden="1"/>
    <cellStyle name="Hyperlink" xfId="776" builtinId="8" hidden="1"/>
    <cellStyle name="Hyperlink" xfId="778" builtinId="8" hidden="1"/>
    <cellStyle name="Hyperlink" xfId="780" builtinId="8" hidden="1"/>
    <cellStyle name="Hyperlink" xfId="784" builtinId="8" hidden="1"/>
    <cellStyle name="Hyperlink" xfId="786" builtinId="8" hidden="1"/>
    <cellStyle name="Hyperlink" xfId="788" builtinId="8" hidden="1"/>
    <cellStyle name="Hyperlink" xfId="792" builtinId="8" hidden="1"/>
    <cellStyle name="Hyperlink" xfId="794" builtinId="8" hidden="1"/>
    <cellStyle name="Hyperlink" xfId="796" builtinId="8" hidden="1"/>
    <cellStyle name="Hyperlink" xfId="800" builtinId="8" hidden="1"/>
    <cellStyle name="Hyperlink" xfId="802" builtinId="8" hidden="1"/>
    <cellStyle name="Hyperlink" xfId="804" builtinId="8" hidden="1"/>
    <cellStyle name="Hyperlink" xfId="808" builtinId="8" hidden="1"/>
    <cellStyle name="Hyperlink" xfId="810" builtinId="8" hidden="1"/>
    <cellStyle name="Hyperlink" xfId="812" builtinId="8" hidden="1"/>
    <cellStyle name="Hyperlink" xfId="816" builtinId="8" hidden="1"/>
    <cellStyle name="Hyperlink" xfId="818" builtinId="8" hidden="1"/>
    <cellStyle name="Hyperlink" xfId="820" builtinId="8" hidden="1"/>
    <cellStyle name="Hyperlink" xfId="824" builtinId="8" hidden="1"/>
    <cellStyle name="Hyperlink" xfId="826" builtinId="8" hidden="1"/>
    <cellStyle name="Hyperlink" xfId="828" builtinId="8" hidden="1"/>
    <cellStyle name="Hyperlink" xfId="832" builtinId="8" hidden="1"/>
    <cellStyle name="Hyperlink" xfId="834" builtinId="8" hidden="1"/>
    <cellStyle name="Hyperlink" xfId="836" builtinId="8" hidden="1"/>
    <cellStyle name="Hyperlink" xfId="840" builtinId="8" hidden="1"/>
    <cellStyle name="Hyperlink" xfId="842" builtinId="8" hidden="1"/>
    <cellStyle name="Hyperlink" xfId="844" builtinId="8" hidden="1"/>
    <cellStyle name="Hyperlink" xfId="848" builtinId="8" hidden="1"/>
    <cellStyle name="Hyperlink" xfId="850" builtinId="8" hidden="1"/>
    <cellStyle name="Hyperlink" xfId="852" builtinId="8" hidden="1"/>
    <cellStyle name="Hyperlink" xfId="856" builtinId="8" hidden="1"/>
    <cellStyle name="Hyperlink" xfId="858" builtinId="8" hidden="1"/>
    <cellStyle name="Hyperlink" xfId="860" builtinId="8" hidden="1"/>
    <cellStyle name="Hyperlink" xfId="864" builtinId="8" hidden="1"/>
    <cellStyle name="Hyperlink" xfId="866" builtinId="8" hidden="1"/>
    <cellStyle name="Hyperlink" xfId="868" builtinId="8" hidden="1"/>
    <cellStyle name="Hyperlink" xfId="872" builtinId="8" hidden="1"/>
    <cellStyle name="Hyperlink" xfId="874" builtinId="8" hidden="1"/>
    <cellStyle name="Hyperlink" xfId="876" builtinId="8" hidden="1"/>
    <cellStyle name="Hyperlink" xfId="880" builtinId="8" hidden="1"/>
    <cellStyle name="Hyperlink" xfId="882" builtinId="8" hidden="1"/>
    <cellStyle name="Hyperlink" xfId="884" builtinId="8" hidden="1"/>
    <cellStyle name="Hyperlink" xfId="888" builtinId="8" hidden="1"/>
    <cellStyle name="Hyperlink" xfId="890" builtinId="8" hidden="1"/>
    <cellStyle name="Hyperlink" xfId="892" builtinId="8" hidden="1"/>
    <cellStyle name="Hyperlink" xfId="896" builtinId="8" hidden="1"/>
    <cellStyle name="Hyperlink" xfId="898" builtinId="8" hidden="1"/>
    <cellStyle name="Hyperlink" xfId="900" builtinId="8" hidden="1"/>
    <cellStyle name="Hyperlink" xfId="904" builtinId="8" hidden="1"/>
    <cellStyle name="Hyperlink" xfId="906" builtinId="8" hidden="1"/>
    <cellStyle name="Hyperlink" xfId="908" builtinId="8" hidden="1"/>
    <cellStyle name="Hyperlink" xfId="912" builtinId="8" hidden="1"/>
    <cellStyle name="Hyperlink" xfId="914" builtinId="8" hidden="1"/>
    <cellStyle name="Hyperlink" xfId="916" builtinId="8" hidden="1"/>
    <cellStyle name="Hyperlink" xfId="920" builtinId="8" hidden="1"/>
    <cellStyle name="Hyperlink" xfId="922" builtinId="8" hidden="1"/>
    <cellStyle name="Hyperlink" xfId="924" builtinId="8" hidden="1"/>
    <cellStyle name="Hyperlink" xfId="928" builtinId="8" hidden="1"/>
    <cellStyle name="Hyperlink" xfId="930" builtinId="8" hidden="1"/>
    <cellStyle name="Hyperlink" xfId="932" builtinId="8" hidden="1"/>
    <cellStyle name="Hyperlink" xfId="936" builtinId="8" hidden="1"/>
    <cellStyle name="Hyperlink" xfId="938" builtinId="8" hidden="1"/>
    <cellStyle name="Hyperlink" xfId="940" builtinId="8" hidden="1"/>
    <cellStyle name="Hyperlink" xfId="944" builtinId="8" hidden="1"/>
    <cellStyle name="Hyperlink" xfId="946" builtinId="8" hidden="1"/>
    <cellStyle name="Hyperlink" xfId="948" builtinId="8" hidden="1"/>
    <cellStyle name="Hyperlink" xfId="952" builtinId="8" hidden="1"/>
    <cellStyle name="Hyperlink" xfId="954" builtinId="8" hidden="1"/>
    <cellStyle name="Hyperlink" xfId="956" builtinId="8" hidden="1"/>
    <cellStyle name="Hyperlink" xfId="960" builtinId="8" hidden="1"/>
    <cellStyle name="Hyperlink" xfId="962" builtinId="8" hidden="1"/>
    <cellStyle name="Hyperlink" xfId="964" builtinId="8" hidden="1"/>
    <cellStyle name="Hyperlink" xfId="968" builtinId="8" hidden="1"/>
    <cellStyle name="Hyperlink" xfId="970" builtinId="8" hidden="1"/>
    <cellStyle name="Hyperlink" xfId="972" builtinId="8" hidden="1"/>
    <cellStyle name="Hyperlink" xfId="976" builtinId="8" hidden="1"/>
    <cellStyle name="Hyperlink" xfId="978" builtinId="8" hidden="1"/>
    <cellStyle name="Hyperlink" xfId="980" builtinId="8" hidden="1"/>
    <cellStyle name="Hyperlink" xfId="984" builtinId="8" hidden="1"/>
    <cellStyle name="Hyperlink" xfId="986" builtinId="8" hidden="1"/>
    <cellStyle name="Hyperlink" xfId="988" builtinId="8" hidden="1"/>
    <cellStyle name="Hyperlink" xfId="992" builtinId="8" hidden="1"/>
    <cellStyle name="Hyperlink" xfId="994" builtinId="8" hidden="1"/>
    <cellStyle name="Hyperlink" xfId="996" builtinId="8" hidden="1"/>
    <cellStyle name="Hyperlink" xfId="1000" builtinId="8" hidden="1"/>
    <cellStyle name="Hyperlink" xfId="1002" builtinId="8" hidden="1"/>
    <cellStyle name="Hyperlink" xfId="1004" builtinId="8" hidden="1"/>
    <cellStyle name="Hyperlink" xfId="1008" builtinId="8" hidden="1"/>
    <cellStyle name="Hyperlink" xfId="1010" builtinId="8" hidden="1"/>
    <cellStyle name="Hyperlink" xfId="1012" builtinId="8" hidden="1"/>
    <cellStyle name="Hyperlink" xfId="1016" builtinId="8" hidden="1"/>
    <cellStyle name="Hyperlink" xfId="1018" builtinId="8" hidden="1"/>
    <cellStyle name="Hyperlink" xfId="1020" builtinId="8" hidden="1"/>
    <cellStyle name="Hyperlink" xfId="1024" builtinId="8" hidden="1"/>
    <cellStyle name="Hyperlink" xfId="1026" builtinId="8" hidden="1"/>
    <cellStyle name="Hyperlink" xfId="1028" builtinId="8" hidden="1"/>
    <cellStyle name="Hyperlink" xfId="1032" builtinId="8" hidden="1"/>
    <cellStyle name="Hyperlink" xfId="1034" builtinId="8" hidden="1"/>
    <cellStyle name="Hyperlink" xfId="1036" builtinId="8" hidden="1"/>
    <cellStyle name="Hyperlink" xfId="1040" builtinId="8" hidden="1"/>
    <cellStyle name="Hyperlink" xfId="1042" builtinId="8" hidden="1"/>
    <cellStyle name="Hyperlink" xfId="1044" builtinId="8" hidden="1"/>
    <cellStyle name="Hyperlink" xfId="1048" builtinId="8" hidden="1"/>
    <cellStyle name="Hyperlink" xfId="1050" builtinId="8" hidden="1"/>
    <cellStyle name="Hyperlink" xfId="1052" builtinId="8" hidden="1"/>
    <cellStyle name="Hyperlink" xfId="1056" builtinId="8" hidden="1"/>
    <cellStyle name="Hyperlink" xfId="1058" builtinId="8" hidden="1"/>
    <cellStyle name="Hyperlink" xfId="1060" builtinId="8" hidden="1"/>
    <cellStyle name="Hyperlink" xfId="1064" builtinId="8" hidden="1"/>
    <cellStyle name="Hyperlink" xfId="1066" builtinId="8" hidden="1"/>
    <cellStyle name="Hyperlink" xfId="1068" builtinId="8" hidden="1"/>
    <cellStyle name="Hyperlink" xfId="1072" builtinId="8" hidden="1"/>
    <cellStyle name="Hyperlink" xfId="1074" builtinId="8" hidden="1"/>
    <cellStyle name="Hyperlink" xfId="1076" builtinId="8" hidden="1"/>
    <cellStyle name="Hyperlink" xfId="1080" builtinId="8" hidden="1"/>
    <cellStyle name="Hyperlink" xfId="1082" builtinId="8" hidden="1"/>
    <cellStyle name="Hyperlink" xfId="1084" builtinId="8" hidden="1"/>
    <cellStyle name="Hyperlink" xfId="1088" builtinId="8" hidden="1"/>
    <cellStyle name="Hyperlink" xfId="1090" builtinId="8" hidden="1"/>
    <cellStyle name="Hyperlink" xfId="1092" builtinId="8" hidden="1"/>
    <cellStyle name="Hyperlink" xfId="1096" builtinId="8" hidden="1"/>
    <cellStyle name="Hyperlink" xfId="1098" builtinId="8" hidden="1"/>
    <cellStyle name="Hyperlink" xfId="1100" builtinId="8" hidden="1"/>
    <cellStyle name="Hyperlink" xfId="1104" builtinId="8" hidden="1"/>
    <cellStyle name="Hyperlink" xfId="1106" builtinId="8" hidden="1"/>
    <cellStyle name="Hyperlink" xfId="1108" builtinId="8" hidden="1"/>
    <cellStyle name="Hyperlink" xfId="1112" builtinId="8" hidden="1"/>
    <cellStyle name="Hyperlink" xfId="1114" builtinId="8" hidden="1"/>
    <cellStyle name="Hyperlink" xfId="1116" builtinId="8" hidden="1"/>
    <cellStyle name="Hyperlink" xfId="1120" builtinId="8" hidden="1"/>
    <cellStyle name="Hyperlink" xfId="1122" builtinId="8" hidden="1"/>
    <cellStyle name="Hyperlink" xfId="1124" builtinId="8" hidden="1"/>
    <cellStyle name="Hyperlink" xfId="1128" builtinId="8" hidden="1"/>
    <cellStyle name="Hyperlink" xfId="1130" builtinId="8" hidden="1"/>
    <cellStyle name="Hyperlink" xfId="1132" builtinId="8" hidden="1"/>
    <cellStyle name="Hyperlink" xfId="1136" builtinId="8" hidden="1"/>
    <cellStyle name="Hyperlink" xfId="1138" builtinId="8" hidden="1"/>
    <cellStyle name="Hyperlink" xfId="1140" builtinId="8" hidden="1"/>
    <cellStyle name="Hyperlink" xfId="1144" builtinId="8" hidden="1"/>
    <cellStyle name="Hyperlink" xfId="1146" builtinId="8" hidden="1"/>
    <cellStyle name="Hyperlink" xfId="1148" builtinId="8" hidden="1"/>
    <cellStyle name="Hyperlink" xfId="1152" builtinId="8" hidden="1"/>
    <cellStyle name="Hyperlink" xfId="1154" builtinId="8" hidden="1"/>
    <cellStyle name="Hyperlink" xfId="1156" builtinId="8" hidden="1"/>
    <cellStyle name="Hyperlink" xfId="1160" builtinId="8" hidden="1"/>
    <cellStyle name="Hyperlink" xfId="1162" builtinId="8" hidden="1"/>
    <cellStyle name="Hyperlink" xfId="1164" builtinId="8" hidden="1"/>
    <cellStyle name="Hyperlink" xfId="1168" builtinId="8" hidden="1"/>
    <cellStyle name="Hyperlink" xfId="1170" builtinId="8" hidden="1"/>
    <cellStyle name="Hyperlink" xfId="1172" builtinId="8" hidden="1"/>
    <cellStyle name="Hyperlink" xfId="1176" builtinId="8" hidden="1"/>
    <cellStyle name="Hyperlink" xfId="1178" builtinId="8" hidden="1"/>
    <cellStyle name="Hyperlink" xfId="1180" builtinId="8" hidden="1"/>
    <cellStyle name="Hyperlink" xfId="1184" builtinId="8" hidden="1"/>
    <cellStyle name="Hyperlink" xfId="1186" builtinId="8" hidden="1"/>
    <cellStyle name="Hyperlink" xfId="1188" builtinId="8" hidden="1"/>
    <cellStyle name="Hyperlink" xfId="1192" builtinId="8" hidden="1"/>
    <cellStyle name="Hyperlink" xfId="1194" builtinId="8" hidden="1"/>
    <cellStyle name="Hyperlink" xfId="1196" builtinId="8" hidden="1"/>
    <cellStyle name="Hyperlink" xfId="1200" builtinId="8" hidden="1"/>
    <cellStyle name="Hyperlink" xfId="1202" builtinId="8" hidden="1"/>
    <cellStyle name="Hyperlink" xfId="1204" builtinId="8" hidden="1"/>
    <cellStyle name="Hyperlink" xfId="1208" builtinId="8" hidden="1"/>
    <cellStyle name="Hyperlink" xfId="1210" builtinId="8" hidden="1"/>
    <cellStyle name="Hyperlink" xfId="1212" builtinId="8" hidden="1"/>
    <cellStyle name="Hyperlink" xfId="1216" builtinId="8" hidden="1"/>
    <cellStyle name="Hyperlink" xfId="1218" builtinId="8" hidden="1"/>
    <cellStyle name="Hyperlink" xfId="1220" builtinId="8" hidden="1"/>
    <cellStyle name="Hyperlink" xfId="1224" builtinId="8" hidden="1"/>
    <cellStyle name="Hyperlink" xfId="1226" builtinId="8" hidden="1"/>
    <cellStyle name="Hyperlink" xfId="1228" builtinId="8" hidden="1"/>
    <cellStyle name="Hyperlink" xfId="1232" builtinId="8" hidden="1"/>
    <cellStyle name="Hyperlink" xfId="1234" builtinId="8" hidden="1"/>
    <cellStyle name="Hyperlink" xfId="1236" builtinId="8" hidden="1"/>
    <cellStyle name="Hyperlink" xfId="1240" builtinId="8" hidden="1"/>
    <cellStyle name="Hyperlink" xfId="1242" builtinId="8" hidden="1"/>
    <cellStyle name="Hyperlink" xfId="1244" builtinId="8" hidden="1"/>
    <cellStyle name="Hyperlink" xfId="1248" builtinId="8" hidden="1"/>
    <cellStyle name="Hyperlink" xfId="1250" builtinId="8" hidden="1"/>
    <cellStyle name="Hyperlink" xfId="1252" builtinId="8" hidden="1"/>
    <cellStyle name="Hyperlink" xfId="1256" builtinId="8" hidden="1"/>
    <cellStyle name="Hyperlink" xfId="1258" builtinId="8" hidden="1"/>
    <cellStyle name="Hyperlink" xfId="1260" builtinId="8" hidden="1"/>
    <cellStyle name="Hyperlink" xfId="1264" builtinId="8" hidden="1"/>
    <cellStyle name="Hyperlink" xfId="1266" builtinId="8" hidden="1"/>
    <cellStyle name="Hyperlink" xfId="1268" builtinId="8" hidden="1"/>
    <cellStyle name="Hyperlink" xfId="1272" builtinId="8" hidden="1"/>
    <cellStyle name="Hyperlink" xfId="1274" builtinId="8" hidden="1"/>
    <cellStyle name="Hyperlink" xfId="1276" builtinId="8" hidden="1"/>
    <cellStyle name="Hyperlink" xfId="1280" builtinId="8" hidden="1"/>
    <cellStyle name="Hyperlink" xfId="1282" builtinId="8" hidden="1"/>
    <cellStyle name="Hyperlink" xfId="1284" builtinId="8" hidden="1"/>
    <cellStyle name="Hyperlink" xfId="1288" builtinId="8" hidden="1"/>
    <cellStyle name="Hyperlink" xfId="1290" builtinId="8" hidden="1"/>
    <cellStyle name="Hyperlink" xfId="1292" builtinId="8" hidden="1"/>
    <cellStyle name="Hyperlink" xfId="1296" builtinId="8" hidden="1"/>
    <cellStyle name="Hyperlink" xfId="1298" builtinId="8" hidden="1"/>
    <cellStyle name="Hyperlink" xfId="1300" builtinId="8" hidden="1"/>
    <cellStyle name="Hyperlink" xfId="1304" builtinId="8" hidden="1"/>
    <cellStyle name="Hyperlink" xfId="1306" builtinId="8" hidden="1"/>
    <cellStyle name="Hyperlink" xfId="1308" builtinId="8" hidden="1"/>
    <cellStyle name="Hyperlink" xfId="1312" builtinId="8" hidden="1"/>
    <cellStyle name="Hyperlink" xfId="1314" builtinId="8" hidden="1"/>
    <cellStyle name="Hyperlink" xfId="1316" builtinId="8" hidden="1"/>
    <cellStyle name="Hyperlink" xfId="1320" builtinId="8" hidden="1"/>
    <cellStyle name="Hyperlink" xfId="1322" builtinId="8" hidden="1"/>
    <cellStyle name="Hyperlink" xfId="1324" builtinId="8" hidden="1"/>
    <cellStyle name="Hyperlink" xfId="1328" builtinId="8" hidden="1"/>
    <cellStyle name="Hyperlink" xfId="1330" builtinId="8" hidden="1"/>
    <cellStyle name="Hyperlink" xfId="1332" builtinId="8" hidden="1"/>
    <cellStyle name="Hyperlink" xfId="1336" builtinId="8" hidden="1"/>
    <cellStyle name="Hyperlink" xfId="1338" builtinId="8" hidden="1"/>
    <cellStyle name="Hyperlink" xfId="1340" builtinId="8" hidden="1"/>
    <cellStyle name="Hyperlink" xfId="1344" builtinId="8" hidden="1"/>
    <cellStyle name="Hyperlink" xfId="1346" builtinId="8" hidden="1"/>
    <cellStyle name="Hyperlink" xfId="1348" builtinId="8" hidden="1"/>
    <cellStyle name="Hyperlink" xfId="1352" builtinId="8" hidden="1"/>
    <cellStyle name="Hyperlink" xfId="1354" builtinId="8" hidden="1"/>
    <cellStyle name="Hyperlink" xfId="1356" builtinId="8" hidden="1"/>
    <cellStyle name="Hyperlink" xfId="1360" builtinId="8" hidden="1"/>
    <cellStyle name="Hyperlink" xfId="1362" builtinId="8" hidden="1"/>
    <cellStyle name="Hyperlink" xfId="1364" builtinId="8" hidden="1"/>
    <cellStyle name="Hyperlink" xfId="1368" builtinId="8" hidden="1"/>
    <cellStyle name="Hyperlink" xfId="1370" builtinId="8" hidden="1"/>
    <cellStyle name="Hyperlink" xfId="1372" builtinId="8" hidden="1"/>
    <cellStyle name="Hyperlink" xfId="1376" builtinId="8" hidden="1"/>
    <cellStyle name="Hyperlink" xfId="1378" builtinId="8" hidden="1"/>
    <cellStyle name="Hyperlink" xfId="1380" builtinId="8" hidden="1"/>
    <cellStyle name="Hyperlink" xfId="1384" builtinId="8" hidden="1"/>
    <cellStyle name="Hyperlink" xfId="1386" builtinId="8" hidden="1"/>
    <cellStyle name="Hyperlink" xfId="1388" builtinId="8" hidden="1"/>
    <cellStyle name="Hyperlink" xfId="1392" builtinId="8" hidden="1"/>
    <cellStyle name="Hyperlink" xfId="1394" builtinId="8" hidden="1"/>
    <cellStyle name="Hyperlink" xfId="1396" builtinId="8" hidden="1"/>
    <cellStyle name="Hyperlink" xfId="1400" builtinId="8" hidden="1"/>
    <cellStyle name="Hyperlink" xfId="1402" builtinId="8" hidden="1"/>
    <cellStyle name="Hyperlink" xfId="1404" builtinId="8" hidden="1"/>
    <cellStyle name="Hyperlink" xfId="1408" builtinId="8" hidden="1"/>
    <cellStyle name="Hyperlink" xfId="1410" builtinId="8" hidden="1"/>
    <cellStyle name="Hyperlink" xfId="1412" builtinId="8" hidden="1"/>
    <cellStyle name="Hyperlink" xfId="1416" builtinId="8" hidden="1"/>
    <cellStyle name="Hyperlink" xfId="1418" builtinId="8" hidden="1"/>
    <cellStyle name="Hyperlink" xfId="1420" builtinId="8" hidden="1"/>
    <cellStyle name="Hyperlink" xfId="1424" builtinId="8" hidden="1"/>
    <cellStyle name="Hyperlink" xfId="1426" builtinId="8" hidden="1"/>
    <cellStyle name="Hyperlink" xfId="1428" builtinId="8" hidden="1"/>
    <cellStyle name="Hyperlink" xfId="1432" builtinId="8" hidden="1"/>
    <cellStyle name="Hyperlink" xfId="1434" builtinId="8" hidden="1"/>
    <cellStyle name="Hyperlink" xfId="1436" builtinId="8" hidden="1"/>
    <cellStyle name="Hyperlink" xfId="1440" builtinId="8" hidden="1"/>
    <cellStyle name="Hyperlink" xfId="1442" builtinId="8" hidden="1"/>
    <cellStyle name="Hyperlink" xfId="1444" builtinId="8" hidden="1"/>
    <cellStyle name="Hyperlink" xfId="1448" builtinId="8" hidden="1"/>
    <cellStyle name="Hyperlink" xfId="1450" builtinId="8" hidden="1"/>
    <cellStyle name="Hyperlink" xfId="1452" builtinId="8" hidden="1"/>
    <cellStyle name="Hyperlink" xfId="1456" builtinId="8" hidden="1"/>
    <cellStyle name="Hyperlink" xfId="1458" builtinId="8" hidden="1"/>
    <cellStyle name="Hyperlink" xfId="1460" builtinId="8" hidden="1"/>
    <cellStyle name="Hyperlink" xfId="1464" builtinId="8" hidden="1"/>
    <cellStyle name="Hyperlink" xfId="1466" builtinId="8" hidden="1"/>
    <cellStyle name="Hyperlink" xfId="1468" builtinId="8" hidden="1"/>
    <cellStyle name="Hyperlink" xfId="1472" builtinId="8" hidden="1"/>
    <cellStyle name="Hyperlink" xfId="1474" builtinId="8" hidden="1"/>
    <cellStyle name="Hyperlink" xfId="1476" builtinId="8" hidden="1"/>
    <cellStyle name="Hyperlink" xfId="1480" builtinId="8" hidden="1"/>
    <cellStyle name="Hyperlink" xfId="1482" builtinId="8" hidden="1"/>
    <cellStyle name="Hyperlink" xfId="1484" builtinId="8" hidden="1"/>
    <cellStyle name="Hyperlink" xfId="1488" builtinId="8" hidden="1"/>
    <cellStyle name="Hyperlink" xfId="1490" builtinId="8" hidden="1"/>
    <cellStyle name="Hyperlink" xfId="1492" builtinId="8" hidden="1"/>
    <cellStyle name="Hyperlink" xfId="1496" builtinId="8" hidden="1"/>
    <cellStyle name="Hyperlink" xfId="1498" builtinId="8" hidden="1"/>
    <cellStyle name="Hyperlink" xfId="1500" builtinId="8" hidden="1"/>
    <cellStyle name="Hyperlink" xfId="1504" builtinId="8" hidden="1"/>
    <cellStyle name="Hyperlink" xfId="1506" builtinId="8" hidden="1"/>
    <cellStyle name="Hyperlink" xfId="1508" builtinId="8" hidden="1"/>
    <cellStyle name="Hyperlink" xfId="1512" builtinId="8" hidden="1"/>
    <cellStyle name="Hyperlink" xfId="1514" builtinId="8" hidden="1"/>
    <cellStyle name="Hyperlink" xfId="1516" builtinId="8" hidden="1"/>
    <cellStyle name="Hyperlink" xfId="1520" builtinId="8" hidden="1"/>
    <cellStyle name="Hyperlink" xfId="1522" builtinId="8" hidden="1"/>
    <cellStyle name="Hyperlink" xfId="1524" builtinId="8" hidden="1"/>
    <cellStyle name="Hyperlink" xfId="1528" builtinId="8" hidden="1"/>
    <cellStyle name="Hyperlink" xfId="1530" builtinId="8" hidden="1"/>
    <cellStyle name="Hyperlink" xfId="1532" builtinId="8" hidden="1"/>
    <cellStyle name="Hyperlink" xfId="1536" builtinId="8" hidden="1"/>
    <cellStyle name="Hyperlink" xfId="1538" builtinId="8" hidden="1"/>
    <cellStyle name="Hyperlink" xfId="1540" builtinId="8" hidden="1"/>
    <cellStyle name="Hyperlink" xfId="1544" builtinId="8" hidden="1"/>
    <cellStyle name="Hyperlink" xfId="1546" builtinId="8" hidden="1"/>
    <cellStyle name="Hyperlink" xfId="1548" builtinId="8" hidden="1"/>
    <cellStyle name="Hyperlink" xfId="1552" builtinId="8" hidden="1"/>
    <cellStyle name="Hyperlink" xfId="1554" builtinId="8" hidden="1"/>
    <cellStyle name="Hyperlink" xfId="1556" builtinId="8" hidden="1"/>
    <cellStyle name="Hyperlink" xfId="1560" builtinId="8" hidden="1"/>
    <cellStyle name="Hyperlink" xfId="1562" builtinId="8" hidden="1"/>
    <cellStyle name="Hyperlink" xfId="1564" builtinId="8" hidden="1"/>
    <cellStyle name="Hyperlink" xfId="1568" builtinId="8" hidden="1"/>
    <cellStyle name="Hyperlink" xfId="1570" builtinId="8" hidden="1"/>
    <cellStyle name="Hyperlink" xfId="1572" builtinId="8" hidden="1"/>
    <cellStyle name="Hyperlink" xfId="1576" builtinId="8" hidden="1"/>
    <cellStyle name="Hyperlink" xfId="1578" builtinId="8" hidden="1"/>
    <cellStyle name="Hyperlink" xfId="1580" builtinId="8" hidden="1"/>
    <cellStyle name="Hyperlink" xfId="1584" builtinId="8" hidden="1"/>
    <cellStyle name="Hyperlink" xfId="1586" builtinId="8" hidden="1"/>
    <cellStyle name="Hyperlink" xfId="1588" builtinId="8" hidden="1"/>
    <cellStyle name="Hyperlink" xfId="1592" builtinId="8" hidden="1"/>
    <cellStyle name="Hyperlink" xfId="1594" builtinId="8" hidden="1"/>
    <cellStyle name="Hyperlink" xfId="1596" builtinId="8" hidden="1"/>
    <cellStyle name="Hyperlink" xfId="1600" builtinId="8" hidden="1"/>
    <cellStyle name="Hyperlink" xfId="1602" builtinId="8" hidden="1"/>
    <cellStyle name="Hyperlink" xfId="1604" builtinId="8" hidden="1"/>
    <cellStyle name="Hyperlink" xfId="1608" builtinId="8" hidden="1"/>
    <cellStyle name="Hyperlink" xfId="1610" builtinId="8" hidden="1"/>
    <cellStyle name="Hyperlink" xfId="1612" builtinId="8" hidden="1"/>
    <cellStyle name="Hyperlink" xfId="1616" builtinId="8" hidden="1"/>
    <cellStyle name="Hyperlink" xfId="1618" builtinId="8" hidden="1"/>
    <cellStyle name="Hyperlink" xfId="1620" builtinId="8" hidden="1"/>
    <cellStyle name="Hyperlink" xfId="1624" builtinId="8" hidden="1"/>
    <cellStyle name="Hyperlink" xfId="1626" builtinId="8" hidden="1"/>
    <cellStyle name="Hyperlink" xfId="1628" builtinId="8" hidden="1"/>
    <cellStyle name="Hyperlink" xfId="1632" builtinId="8" hidden="1"/>
    <cellStyle name="Hyperlink" xfId="1634" builtinId="8" hidden="1"/>
    <cellStyle name="Hyperlink" xfId="1636" builtinId="8" hidden="1"/>
    <cellStyle name="Hyperlink" xfId="1640" builtinId="8" hidden="1"/>
    <cellStyle name="Hyperlink" xfId="1642" builtinId="8" hidden="1"/>
    <cellStyle name="Hyperlink" xfId="1644" builtinId="8" hidden="1"/>
    <cellStyle name="Hyperlink" xfId="1648" builtinId="8" hidden="1"/>
    <cellStyle name="Hyperlink" xfId="1650" builtinId="8" hidden="1"/>
    <cellStyle name="Hyperlink" xfId="1652" builtinId="8" hidden="1"/>
    <cellStyle name="Hyperlink" xfId="1656" builtinId="8" hidden="1"/>
    <cellStyle name="Hyperlink" xfId="1658" builtinId="8" hidden="1"/>
    <cellStyle name="Hyperlink" xfId="1660" builtinId="8" hidden="1"/>
    <cellStyle name="Hyperlink" xfId="1664" builtinId="8" hidden="1"/>
    <cellStyle name="Hyperlink" xfId="1666" builtinId="8" hidden="1"/>
    <cellStyle name="Hyperlink" xfId="1668" builtinId="8" hidden="1"/>
    <cellStyle name="Hyperlink" xfId="1672" builtinId="8" hidden="1"/>
    <cellStyle name="Hyperlink" xfId="1674" builtinId="8" hidden="1"/>
    <cellStyle name="Hyperlink" xfId="1676" builtinId="8" hidden="1"/>
    <cellStyle name="Hyperlink" xfId="1680" builtinId="8" hidden="1"/>
    <cellStyle name="Hyperlink" xfId="1682" builtinId="8" hidden="1"/>
    <cellStyle name="Hyperlink" xfId="1684" builtinId="8" hidden="1"/>
    <cellStyle name="Hyperlink" xfId="1688" builtinId="8" hidden="1"/>
    <cellStyle name="Hyperlink" xfId="1690" builtinId="8" hidden="1"/>
    <cellStyle name="Hyperlink" xfId="1692" builtinId="8" hidden="1"/>
    <cellStyle name="Hyperlink" xfId="1696" builtinId="8" hidden="1"/>
    <cellStyle name="Hyperlink" xfId="1698" builtinId="8" hidden="1"/>
    <cellStyle name="Hyperlink" xfId="1700" builtinId="8" hidden="1"/>
    <cellStyle name="Hyperlink" xfId="1704" builtinId="8" hidden="1"/>
    <cellStyle name="Hyperlink" xfId="1706" builtinId="8" hidden="1"/>
    <cellStyle name="Hyperlink" xfId="1708" builtinId="8" hidden="1"/>
    <cellStyle name="Hyperlink" xfId="1712" builtinId="8" hidden="1"/>
    <cellStyle name="Hyperlink" xfId="1714" builtinId="8" hidden="1"/>
    <cellStyle name="Hyperlink" xfId="1716" builtinId="8" hidden="1"/>
    <cellStyle name="Hyperlink" xfId="1720" builtinId="8" hidden="1"/>
    <cellStyle name="Hyperlink" xfId="1722" builtinId="8" hidden="1"/>
    <cellStyle name="Hyperlink" xfId="1724" builtinId="8" hidden="1"/>
    <cellStyle name="Hyperlink" xfId="1728" builtinId="8" hidden="1"/>
    <cellStyle name="Hyperlink" xfId="1730" builtinId="8" hidden="1"/>
    <cellStyle name="Hyperlink" xfId="1732" builtinId="8" hidden="1"/>
    <cellStyle name="Hyperlink" xfId="1736" builtinId="8" hidden="1"/>
    <cellStyle name="Hyperlink" xfId="1738" builtinId="8" hidden="1"/>
    <cellStyle name="Hyperlink" xfId="1740" builtinId="8" hidden="1"/>
    <cellStyle name="Hyperlink" xfId="1744" builtinId="8" hidden="1"/>
    <cellStyle name="Hyperlink" xfId="1746" builtinId="8" hidden="1"/>
    <cellStyle name="Hyperlink" xfId="1748" builtinId="8" hidden="1"/>
    <cellStyle name="Hyperlink" xfId="1752" builtinId="8" hidden="1"/>
    <cellStyle name="Hyperlink" xfId="1754" builtinId="8" hidden="1"/>
    <cellStyle name="Hyperlink" xfId="1756" builtinId="8" hidden="1"/>
    <cellStyle name="Hyperlink" xfId="1760" builtinId="8" hidden="1"/>
    <cellStyle name="Hyperlink" xfId="1762" builtinId="8" hidden="1"/>
    <cellStyle name="Hyperlink" xfId="1764" builtinId="8" hidden="1"/>
    <cellStyle name="Hyperlink" xfId="1768" builtinId="8" hidden="1"/>
    <cellStyle name="Hyperlink" xfId="1770" builtinId="8" hidden="1"/>
    <cellStyle name="Hyperlink" xfId="1772" builtinId="8" hidden="1"/>
    <cellStyle name="Hyperlink" xfId="1776" builtinId="8" hidden="1"/>
    <cellStyle name="Hyperlink" xfId="1778" builtinId="8" hidden="1"/>
    <cellStyle name="Hyperlink" xfId="1780" builtinId="8" hidden="1"/>
    <cellStyle name="Hyperlink" xfId="1774" builtinId="8" hidden="1"/>
    <cellStyle name="Hyperlink" xfId="1766" builtinId="8" hidden="1"/>
    <cellStyle name="Hyperlink" xfId="1758" builtinId="8" hidden="1"/>
    <cellStyle name="Hyperlink" xfId="1750" builtinId="8" hidden="1"/>
    <cellStyle name="Hyperlink" xfId="1742" builtinId="8" hidden="1"/>
    <cellStyle name="Hyperlink" xfId="1734" builtinId="8" hidden="1"/>
    <cellStyle name="Hyperlink" xfId="1726" builtinId="8" hidden="1"/>
    <cellStyle name="Hyperlink" xfId="1718" builtinId="8" hidden="1"/>
    <cellStyle name="Hyperlink" xfId="1710" builtinId="8" hidden="1"/>
    <cellStyle name="Hyperlink" xfId="1702" builtinId="8" hidden="1"/>
    <cellStyle name="Hyperlink" xfId="1694" builtinId="8" hidden="1"/>
    <cellStyle name="Hyperlink" xfId="1686" builtinId="8" hidden="1"/>
    <cellStyle name="Hyperlink" xfId="1678" builtinId="8" hidden="1"/>
    <cellStyle name="Hyperlink" xfId="1670" builtinId="8" hidden="1"/>
    <cellStyle name="Hyperlink" xfId="1662" builtinId="8" hidden="1"/>
    <cellStyle name="Hyperlink" xfId="1654" builtinId="8" hidden="1"/>
    <cellStyle name="Hyperlink" xfId="1646" builtinId="8" hidden="1"/>
    <cellStyle name="Hyperlink" xfId="1638" builtinId="8" hidden="1"/>
    <cellStyle name="Hyperlink" xfId="1630" builtinId="8" hidden="1"/>
    <cellStyle name="Hyperlink" xfId="1622" builtinId="8" hidden="1"/>
    <cellStyle name="Hyperlink" xfId="1614" builtinId="8" hidden="1"/>
    <cellStyle name="Hyperlink" xfId="1606" builtinId="8" hidden="1"/>
    <cellStyle name="Hyperlink" xfId="1598" builtinId="8" hidden="1"/>
    <cellStyle name="Hyperlink" xfId="1590" builtinId="8" hidden="1"/>
    <cellStyle name="Hyperlink" xfId="1582" builtinId="8" hidden="1"/>
    <cellStyle name="Hyperlink" xfId="1574" builtinId="8" hidden="1"/>
    <cellStyle name="Hyperlink" xfId="1566" builtinId="8" hidden="1"/>
    <cellStyle name="Hyperlink" xfId="1558" builtinId="8" hidden="1"/>
    <cellStyle name="Hyperlink" xfId="1550" builtinId="8" hidden="1"/>
    <cellStyle name="Hyperlink" xfId="1542" builtinId="8" hidden="1"/>
    <cellStyle name="Hyperlink" xfId="1534" builtinId="8" hidden="1"/>
    <cellStyle name="Hyperlink" xfId="1526" builtinId="8" hidden="1"/>
    <cellStyle name="Hyperlink" xfId="1518" builtinId="8" hidden="1"/>
    <cellStyle name="Hyperlink" xfId="1510" builtinId="8" hidden="1"/>
    <cellStyle name="Hyperlink" xfId="1502" builtinId="8" hidden="1"/>
    <cellStyle name="Hyperlink" xfId="1494" builtinId="8" hidden="1"/>
    <cellStyle name="Hyperlink" xfId="1486" builtinId="8" hidden="1"/>
    <cellStyle name="Hyperlink" xfId="1478" builtinId="8" hidden="1"/>
    <cellStyle name="Hyperlink" xfId="1470" builtinId="8" hidden="1"/>
    <cellStyle name="Hyperlink" xfId="1462" builtinId="8" hidden="1"/>
    <cellStyle name="Hyperlink" xfId="1454" builtinId="8" hidden="1"/>
    <cellStyle name="Hyperlink" xfId="1446" builtinId="8" hidden="1"/>
    <cellStyle name="Hyperlink" xfId="1438" builtinId="8" hidden="1"/>
    <cellStyle name="Hyperlink" xfId="1430" builtinId="8" hidden="1"/>
    <cellStyle name="Hyperlink" xfId="1422" builtinId="8" hidden="1"/>
    <cellStyle name="Hyperlink" xfId="1414" builtinId="8" hidden="1"/>
    <cellStyle name="Hyperlink" xfId="1406" builtinId="8" hidden="1"/>
    <cellStyle name="Hyperlink" xfId="1398" builtinId="8" hidden="1"/>
    <cellStyle name="Hyperlink" xfId="1390" builtinId="8" hidden="1"/>
    <cellStyle name="Hyperlink" xfId="1382" builtinId="8" hidden="1"/>
    <cellStyle name="Hyperlink" xfId="1374" builtinId="8" hidden="1"/>
    <cellStyle name="Hyperlink" xfId="1366" builtinId="8" hidden="1"/>
    <cellStyle name="Hyperlink" xfId="1358" builtinId="8" hidden="1"/>
    <cellStyle name="Hyperlink" xfId="1350" builtinId="8" hidden="1"/>
    <cellStyle name="Hyperlink" xfId="1342" builtinId="8" hidden="1"/>
    <cellStyle name="Hyperlink" xfId="1334" builtinId="8" hidden="1"/>
    <cellStyle name="Hyperlink" xfId="1326" builtinId="8" hidden="1"/>
    <cellStyle name="Hyperlink" xfId="1318" builtinId="8" hidden="1"/>
    <cellStyle name="Hyperlink" xfId="1310" builtinId="8" hidden="1"/>
    <cellStyle name="Hyperlink" xfId="1302" builtinId="8" hidden="1"/>
    <cellStyle name="Hyperlink" xfId="1294" builtinId="8" hidden="1"/>
    <cellStyle name="Hyperlink" xfId="1286" builtinId="8" hidden="1"/>
    <cellStyle name="Hyperlink" xfId="1278" builtinId="8" hidden="1"/>
    <cellStyle name="Hyperlink" xfId="1270" builtinId="8" hidden="1"/>
    <cellStyle name="Hyperlink" xfId="1262" builtinId="8" hidden="1"/>
    <cellStyle name="Hyperlink" xfId="1254" builtinId="8" hidden="1"/>
    <cellStyle name="Hyperlink" xfId="1246" builtinId="8" hidden="1"/>
    <cellStyle name="Hyperlink" xfId="1238" builtinId="8" hidden="1"/>
    <cellStyle name="Hyperlink" xfId="1230" builtinId="8" hidden="1"/>
    <cellStyle name="Hyperlink" xfId="1222" builtinId="8" hidden="1"/>
    <cellStyle name="Hyperlink" xfId="1214" builtinId="8" hidden="1"/>
    <cellStyle name="Hyperlink" xfId="1206" builtinId="8" hidden="1"/>
    <cellStyle name="Hyperlink" xfId="1198" builtinId="8" hidden="1"/>
    <cellStyle name="Hyperlink" xfId="1190" builtinId="8" hidden="1"/>
    <cellStyle name="Hyperlink" xfId="1182" builtinId="8" hidden="1"/>
    <cellStyle name="Hyperlink" xfId="1174" builtinId="8" hidden="1"/>
    <cellStyle name="Hyperlink" xfId="1166" builtinId="8" hidden="1"/>
    <cellStyle name="Hyperlink" xfId="1158" builtinId="8" hidden="1"/>
    <cellStyle name="Hyperlink" xfId="1150" builtinId="8" hidden="1"/>
    <cellStyle name="Hyperlink" xfId="1142" builtinId="8" hidden="1"/>
    <cellStyle name="Hyperlink" xfId="1134" builtinId="8" hidden="1"/>
    <cellStyle name="Hyperlink" xfId="1126" builtinId="8" hidden="1"/>
    <cellStyle name="Hyperlink" xfId="1118" builtinId="8" hidden="1"/>
    <cellStyle name="Hyperlink" xfId="1110" builtinId="8" hidden="1"/>
    <cellStyle name="Hyperlink" xfId="1102" builtinId="8" hidden="1"/>
    <cellStyle name="Hyperlink" xfId="1094" builtinId="8" hidden="1"/>
    <cellStyle name="Hyperlink" xfId="1086" builtinId="8" hidden="1"/>
    <cellStyle name="Hyperlink" xfId="1078" builtinId="8" hidden="1"/>
    <cellStyle name="Hyperlink" xfId="1070" builtinId="8" hidden="1"/>
    <cellStyle name="Hyperlink" xfId="1062" builtinId="8" hidden="1"/>
    <cellStyle name="Hyperlink" xfId="1054" builtinId="8" hidden="1"/>
    <cellStyle name="Hyperlink" xfId="1046" builtinId="8" hidden="1"/>
    <cellStyle name="Hyperlink" xfId="1038" builtinId="8" hidden="1"/>
    <cellStyle name="Hyperlink" xfId="1030" builtinId="8" hidden="1"/>
    <cellStyle name="Hyperlink" xfId="1022" builtinId="8" hidden="1"/>
    <cellStyle name="Hyperlink" xfId="1014" builtinId="8" hidden="1"/>
    <cellStyle name="Hyperlink" xfId="1006" builtinId="8" hidden="1"/>
    <cellStyle name="Hyperlink" xfId="998" builtinId="8" hidden="1"/>
    <cellStyle name="Hyperlink" xfId="990" builtinId="8" hidden="1"/>
    <cellStyle name="Hyperlink" xfId="982" builtinId="8" hidden="1"/>
    <cellStyle name="Hyperlink" xfId="974" builtinId="8" hidden="1"/>
    <cellStyle name="Hyperlink" xfId="966" builtinId="8" hidden="1"/>
    <cellStyle name="Hyperlink" xfId="958" builtinId="8" hidden="1"/>
    <cellStyle name="Hyperlink" xfId="950" builtinId="8" hidden="1"/>
    <cellStyle name="Hyperlink" xfId="942" builtinId="8" hidden="1"/>
    <cellStyle name="Hyperlink" xfId="934" builtinId="8" hidden="1"/>
    <cellStyle name="Hyperlink" xfId="926" builtinId="8" hidden="1"/>
    <cellStyle name="Hyperlink" xfId="918" builtinId="8" hidden="1"/>
    <cellStyle name="Hyperlink" xfId="910" builtinId="8" hidden="1"/>
    <cellStyle name="Hyperlink" xfId="902" builtinId="8" hidden="1"/>
    <cellStyle name="Hyperlink" xfId="894" builtinId="8" hidden="1"/>
    <cellStyle name="Hyperlink" xfId="886" builtinId="8" hidden="1"/>
    <cellStyle name="Hyperlink" xfId="878" builtinId="8" hidden="1"/>
    <cellStyle name="Hyperlink" xfId="870" builtinId="8" hidden="1"/>
    <cellStyle name="Hyperlink" xfId="862" builtinId="8" hidden="1"/>
    <cellStyle name="Hyperlink" xfId="854" builtinId="8" hidden="1"/>
    <cellStyle name="Hyperlink" xfId="846" builtinId="8" hidden="1"/>
    <cellStyle name="Hyperlink" xfId="838" builtinId="8" hidden="1"/>
    <cellStyle name="Hyperlink" xfId="830" builtinId="8" hidden="1"/>
    <cellStyle name="Hyperlink" xfId="822" builtinId="8" hidden="1"/>
    <cellStyle name="Hyperlink" xfId="814" builtinId="8" hidden="1"/>
    <cellStyle name="Hyperlink" xfId="806" builtinId="8" hidden="1"/>
    <cellStyle name="Hyperlink" xfId="798" builtinId="8" hidden="1"/>
    <cellStyle name="Hyperlink" xfId="790" builtinId="8" hidden="1"/>
    <cellStyle name="Hyperlink" xfId="782" builtinId="8" hidden="1"/>
    <cellStyle name="Hyperlink" xfId="774" builtinId="8" hidden="1"/>
    <cellStyle name="Hyperlink" xfId="766" builtinId="8" hidden="1"/>
    <cellStyle name="Hyperlink" xfId="758" builtinId="8" hidden="1"/>
    <cellStyle name="Hyperlink" xfId="750" builtinId="8" hidden="1"/>
    <cellStyle name="Hyperlink" xfId="742" builtinId="8" hidden="1"/>
    <cellStyle name="Hyperlink" xfId="734" builtinId="8" hidden="1"/>
    <cellStyle name="Hyperlink" xfId="726" builtinId="8" hidden="1"/>
    <cellStyle name="Hyperlink" xfId="718" builtinId="8" hidden="1"/>
    <cellStyle name="Hyperlink" xfId="710" builtinId="8" hidden="1"/>
    <cellStyle name="Hyperlink" xfId="702" builtinId="8" hidden="1"/>
    <cellStyle name="Hyperlink" xfId="694" builtinId="8" hidden="1"/>
    <cellStyle name="Hyperlink" xfId="686" builtinId="8" hidden="1"/>
    <cellStyle name="Hyperlink" xfId="678" builtinId="8" hidden="1"/>
    <cellStyle name="Hyperlink" xfId="670" builtinId="8" hidden="1"/>
    <cellStyle name="Hyperlink" xfId="662" builtinId="8" hidden="1"/>
    <cellStyle name="Hyperlink" xfId="654" builtinId="8" hidden="1"/>
    <cellStyle name="Hyperlink" xfId="646" builtinId="8" hidden="1"/>
    <cellStyle name="Hyperlink" xfId="638" builtinId="8" hidden="1"/>
    <cellStyle name="Hyperlink" xfId="630" builtinId="8" hidden="1"/>
    <cellStyle name="Hyperlink" xfId="622" builtinId="8" hidden="1"/>
    <cellStyle name="Hyperlink" xfId="233" builtinId="8" hidden="1"/>
    <cellStyle name="Hyperlink" xfId="183" builtinId="8" hidden="1"/>
    <cellStyle name="Hyperlink" xfId="331" builtinId="8" hidden="1"/>
    <cellStyle name="Hyperlink" xfId="45" builtinId="8" hidden="1"/>
    <cellStyle name="Hyperlink" xfId="249" builtinId="8" hidden="1"/>
    <cellStyle name="Hyperlink" xfId="81" builtinId="8" hidden="1"/>
    <cellStyle name="Hyperlink" xfId="189" builtinId="8" hidden="1"/>
    <cellStyle name="Hyperlink" xfId="415" builtinId="8" hidden="1"/>
    <cellStyle name="Hyperlink" xfId="347" builtinId="8" hidden="1"/>
    <cellStyle name="Hyperlink" xfId="283" builtinId="8" hidden="1"/>
    <cellStyle name="Hyperlink" xfId="185" builtinId="8" hidden="1"/>
    <cellStyle name="Hyperlink" xfId="455" builtinId="8" hidden="1"/>
    <cellStyle name="Hyperlink" xfId="500" builtinId="8" hidden="1"/>
    <cellStyle name="Hyperlink" xfId="201" builtinId="8" hidden="1"/>
    <cellStyle name="Hyperlink" xfId="63" builtinId="8" hidden="1"/>
    <cellStyle name="Hyperlink" xfId="381" builtinId="8" hidden="1"/>
    <cellStyle name="Hyperlink" xfId="474" builtinId="8" hidden="1"/>
    <cellStyle name="Hyperlink" xfId="427" builtinId="8" hidden="1"/>
    <cellStyle name="Hyperlink" xfId="393" builtinId="8" hidden="1"/>
    <cellStyle name="Hyperlink" xfId="341" builtinId="8" hidden="1"/>
    <cellStyle name="Hyperlink" xfId="241" builtinId="8" hidden="1"/>
    <cellStyle name="Hyperlink" xfId="303" builtinId="8" hidden="1"/>
    <cellStyle name="Hyperlink" xfId="155" builtinId="8" hidden="1"/>
    <cellStyle name="Hyperlink" xfId="518" builtinId="8" hidden="1"/>
    <cellStyle name="Hyperlink" xfId="441" builtinId="8" hidden="1"/>
    <cellStyle name="Hyperlink" xfId="229" builtinId="8" hidden="1"/>
    <cellStyle name="Hyperlink" xfId="21" builtinId="8" hidden="1"/>
    <cellStyle name="Hyperlink" xfId="195" builtinId="8" hidden="1"/>
    <cellStyle name="Hyperlink" xfId="447" builtinId="8" hidden="1"/>
    <cellStyle name="Hyperlink" xfId="53" builtinId="8" hidden="1"/>
    <cellStyle name="Hyperlink" xfId="89" builtinId="8" hidden="1"/>
    <cellStyle name="Hyperlink" xfId="119" builtinId="8" hidden="1"/>
    <cellStyle name="Hyperlink" xfId="91" builtinId="8" hidden="1"/>
    <cellStyle name="Hyperlink" xfId="87" builtinId="8" hidden="1"/>
    <cellStyle name="Hyperlink" xfId="25" builtinId="8" hidden="1"/>
    <cellStyle name="Hyperlink" xfId="7" builtinId="8" hidden="1"/>
    <cellStyle name="Hyperlink" xfId="409" builtinId="8" hidden="1"/>
    <cellStyle name="Hyperlink" xfId="419" builtinId="8" hidden="1"/>
    <cellStyle name="Hyperlink" xfId="309" builtinId="8" hidden="1"/>
    <cellStyle name="Hyperlink" xfId="227" builtinId="8" hidden="1"/>
    <cellStyle name="Hyperlink" xfId="257" builtinId="8" hidden="1"/>
    <cellStyle name="Hyperlink" xfId="399" builtinId="8" hidden="1"/>
    <cellStyle name="Hyperlink" xfId="385" builtinId="8" hidden="1"/>
    <cellStyle name="Hyperlink" xfId="502" builtinId="8" hidden="1"/>
    <cellStyle name="Hyperlink" xfId="534" builtinId="8" hidden="1"/>
    <cellStyle name="Hyperlink" xfId="3" builtinId="8" hidden="1"/>
    <cellStyle name="Hyperlink" xfId="41" builtinId="8" hidden="1"/>
    <cellStyle name="Hyperlink" xfId="263" builtinId="8" hidden="1"/>
    <cellStyle name="Hyperlink" xfId="247" builtinId="8" hidden="1"/>
    <cellStyle name="Hyperlink" xfId="93" builtinId="8" hidden="1"/>
    <cellStyle name="Hyperlink" xfId="105" builtinId="8" hidden="1"/>
    <cellStyle name="Hyperlink" xfId="139" builtinId="8" hidden="1"/>
    <cellStyle name="Hyperlink" xfId="145" builtinId="8" hidden="1"/>
    <cellStyle name="Hyperlink" xfId="153" builtinId="8" hidden="1"/>
    <cellStyle name="Hyperlink" xfId="167" builtinId="8" hidden="1"/>
    <cellStyle name="Hyperlink" xfId="179" builtinId="8" hidden="1"/>
    <cellStyle name="Hyperlink" xfId="187" builtinId="8" hidden="1"/>
    <cellStyle name="Hyperlink" xfId="205" builtinId="8" hidden="1"/>
    <cellStyle name="Hyperlink" xfId="43" builtinId="8" hidden="1"/>
    <cellStyle name="Hyperlink" xfId="55" builtinId="8" hidden="1"/>
    <cellStyle name="Hyperlink" xfId="61" builtinId="8" hidden="1"/>
    <cellStyle name="Hyperlink" xfId="199" builtinId="8" hidden="1"/>
    <cellStyle name="Hyperlink" xfId="151" builtinId="8" hidden="1"/>
    <cellStyle name="Hyperlink" xfId="536" builtinId="8" hidden="1"/>
    <cellStyle name="Hyperlink" xfId="472" builtinId="8" hidden="1"/>
    <cellStyle name="Hyperlink" xfId="125" builtinId="8" hidden="1"/>
    <cellStyle name="Hyperlink" xfId="47" builtinId="8" hidden="1"/>
    <cellStyle name="Hyperlink" xfId="163" builtinId="8" hidden="1"/>
    <cellStyle name="Hyperlink" xfId="259" builtinId="8" hidden="1"/>
    <cellStyle name="Hyperlink" xfId="297" builtinId="8" hidden="1"/>
    <cellStyle name="Hyperlink" xfId="277" builtinId="8" hidden="1"/>
    <cellStyle name="Hyperlink" xfId="339" builtinId="8" hidden="1"/>
    <cellStyle name="Hyperlink" xfId="482" builtinId="8" hidden="1"/>
    <cellStyle name="Hyperlink" xfId="123" builtinId="8" hidden="1"/>
    <cellStyle name="Hyperlink" xfId="512" builtinId="8" hidden="1"/>
    <cellStyle name="Hyperlink" xfId="181" builtinId="8" hidden="1"/>
    <cellStyle name="Hyperlink" xfId="71" builtinId="8" hidden="1"/>
    <cellStyle name="Hyperlink" xfId="9" builtinId="8" hidden="1"/>
    <cellStyle name="Hyperlink" xfId="173" builtinId="8" hidden="1"/>
    <cellStyle name="Hyperlink" xfId="211" builtinId="8" hidden="1"/>
    <cellStyle name="Hyperlink" xfId="75" builtinId="8" hidden="1"/>
    <cellStyle name="Hyperlink" xfId="554" builtinId="8" hidden="1"/>
    <cellStyle name="Hyperlink" xfId="361" builtinId="8" hidden="1"/>
    <cellStyle name="Hyperlink" xfId="459" builtinId="8" hidden="1"/>
    <cellStyle name="Hyperlink" xfId="281" builtinId="8" hidden="1"/>
    <cellStyle name="Hyperlink" xfId="121" builtinId="8" hidden="1"/>
    <cellStyle name="Hyperlink" xfId="480" builtinId="8" hidden="1"/>
    <cellStyle name="Hyperlink" xfId="209" builtinId="8" hidden="1"/>
    <cellStyle name="Hyperlink" xfId="117" builtinId="8" hidden="1"/>
    <cellStyle name="Hyperlink" xfId="383" builtinId="8" hidden="1"/>
    <cellStyle name="Hyperlink" xfId="315" builtinId="8" hidden="1"/>
    <cellStyle name="Hyperlink" xfId="514" builtinId="8" hidden="1"/>
    <cellStyle name="Hyperlink" xfId="197" builtinId="8" hidden="1"/>
    <cellStyle name="Hyperlink" xfId="223" builtinId="8" hidden="1"/>
    <cellStyle name="Hyperlink" xfId="65" builtinId="8" hidden="1"/>
    <cellStyle name="Hyperlink" xfId="359" builtinId="8" hidden="1"/>
    <cellStyle name="Hyperlink" xfId="219" builtinId="8" hidden="1"/>
    <cellStyle name="Hyperlink" xfId="165" builtinId="8" hidden="1"/>
    <cellStyle name="Hyperlink" xfId="57" builtinId="8" hidden="1"/>
    <cellStyle name="Hyperlink" xfId="349" builtinId="8" hidden="1"/>
    <cellStyle name="Hyperlink" xfId="465" builtinId="8" hidden="1"/>
    <cellStyle name="Hyperlink" xfId="411" builtinId="8" hidden="1"/>
    <cellStyle name="Hyperlink" xfId="389" builtinId="8" hidden="1"/>
    <cellStyle name="Hyperlink" xfId="355" builtinId="8" hidden="1"/>
    <cellStyle name="Hyperlink" xfId="321" builtinId="8" hidden="1"/>
    <cellStyle name="Hyperlink" xfId="301" builtinId="8" hidden="1"/>
    <cellStyle name="Hyperlink" xfId="17" builtinId="8" hidden="1"/>
    <cellStyle name="Hyperlink" xfId="546" builtinId="8" hidden="1"/>
    <cellStyle name="Hyperlink" xfId="231" builtinId="8" hidden="1"/>
    <cellStyle name="Hyperlink" xfId="59" builtinId="8" hidden="1"/>
    <cellStyle name="Hyperlink" xfId="203" builtinId="8" hidden="1"/>
    <cellStyle name="Hyperlink" xfId="273" builtinId="8" hidden="1"/>
    <cellStyle name="Hyperlink" xfId="508" builtinId="8" hidden="1"/>
    <cellStyle name="Hyperlink" xfId="498" builtinId="8" hidden="1"/>
    <cellStyle name="Hyperlink" xfId="287" builtinId="8" hidden="1"/>
    <cellStyle name="Hyperlink" xfId="538" builtinId="8" hidden="1"/>
    <cellStyle name="Hyperlink" xfId="540" builtinId="8" hidden="1"/>
    <cellStyle name="Hyperlink" xfId="343" builtinId="8" hidden="1"/>
    <cellStyle name="Hyperlink" xfId="311" builtinId="8" hidden="1"/>
    <cellStyle name="Hyperlink" xfId="391" builtinId="8" hidden="1"/>
    <cellStyle name="Hyperlink" xfId="548" builtinId="8" hidden="1"/>
    <cellStyle name="Hyperlink" xfId="457" builtinId="8" hidden="1"/>
    <cellStyle name="Hyperlink" xfId="425" builtinId="8" hidden="1"/>
    <cellStyle name="Hyperlink" xfId="562" builtinId="8" hidden="1"/>
    <cellStyle name="Hyperlink" xfId="552" builtinId="8" hidden="1"/>
    <cellStyle name="Hyperlink" xfId="524" builtinId="8" hidden="1"/>
    <cellStyle name="Hyperlink" xfId="279" builtinId="8" hidden="1"/>
    <cellStyle name="Hyperlink" xfId="31" builtinId="8" hidden="1"/>
    <cellStyle name="Hyperlink" xfId="115" builtinId="8" hidden="1"/>
    <cellStyle name="Hyperlink" xfId="141"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06" builtinId="8" hidden="1"/>
    <cellStyle name="Hyperlink" xfId="590" builtinId="8" hidden="1"/>
    <cellStyle name="Hyperlink" xfId="574" builtinId="8" hidden="1"/>
    <cellStyle name="Hyperlink" xfId="357" builtinId="8" hidden="1"/>
    <cellStyle name="Hyperlink" xfId="295" builtinId="8" hidden="1"/>
    <cellStyle name="Hyperlink" xfId="530" builtinId="8" hidden="1"/>
    <cellStyle name="Hyperlink" xfId="421" builtinId="8" hidden="1"/>
    <cellStyle name="Hyperlink" xfId="467" builtinId="8" hidden="1"/>
    <cellStyle name="Hyperlink" xfId="528" builtinId="8" hidden="1"/>
    <cellStyle name="Hyperlink" xfId="323" builtinId="8" hidden="1"/>
    <cellStyle name="Hyperlink" xfId="335" builtinId="8" hidden="1"/>
    <cellStyle name="Hyperlink" xfId="469" builtinId="8" hidden="1"/>
    <cellStyle name="Hyperlink" xfId="439" builtinId="8" hidden="1"/>
    <cellStyle name="Hyperlink" xfId="175" builtinId="8" hidden="1"/>
    <cellStyle name="Hyperlink" xfId="113" builtinId="8" hidden="1"/>
    <cellStyle name="Hyperlink" xfId="544" builtinId="8" hidden="1"/>
    <cellStyle name="Hyperlink" xfId="387" builtinId="8" hidden="1"/>
    <cellStyle name="Hyperlink" xfId="437" builtinId="8" hidden="1"/>
    <cellStyle name="Hyperlink" xfId="526" builtinId="8" hidden="1"/>
    <cellStyle name="Hyperlink" xfId="403" builtinId="8" hidden="1"/>
    <cellStyle name="Hyperlink" xfId="77" builtinId="8" hidden="1"/>
    <cellStyle name="Hyperlink" xfId="325" builtinId="8" hidden="1"/>
    <cellStyle name="Hyperlink" xfId="353" builtinId="8" hidden="1"/>
    <cellStyle name="Hyperlink" xfId="369" builtinId="8" hidden="1"/>
    <cellStyle name="Hyperlink" xfId="397" builtinId="8" hidden="1"/>
    <cellStyle name="Hyperlink" xfId="405" builtinId="8" hidden="1"/>
    <cellStyle name="Hyperlink" xfId="417" builtinId="8" hidden="1"/>
    <cellStyle name="Hyperlink" xfId="435" builtinId="8" hidden="1"/>
    <cellStyle name="Hyperlink" xfId="451" builtinId="8" hidden="1"/>
    <cellStyle name="Hyperlink" xfId="461" builtinId="8" hidden="1"/>
    <cellStyle name="Hyperlink" xfId="486" builtinId="8" hidden="1"/>
    <cellStyle name="Hyperlink" xfId="492" builtinId="8" hidden="1"/>
    <cellStyle name="Hyperlink" xfId="445" builtinId="8" hidden="1"/>
    <cellStyle name="Hyperlink" xfId="269" builtinId="8" hidden="1"/>
    <cellStyle name="Hyperlink" xfId="285" builtinId="8" hidden="1"/>
    <cellStyle name="Hyperlink" xfId="293" builtinId="8" hidden="1"/>
    <cellStyle name="Hyperlink" xfId="478" builtinId="8" hidden="1"/>
    <cellStyle name="Hyperlink" xfId="413" builtinId="8" hidden="1"/>
    <cellStyle name="Hyperlink" xfId="49" builtinId="8" hidden="1"/>
    <cellStyle name="Hyperlink" xfId="95" builtinId="8" hidden="1"/>
    <cellStyle name="Hyperlink" xfId="193" builtinId="8" hidden="1"/>
    <cellStyle name="Hyperlink" xfId="379" builtinId="8" hidden="1"/>
    <cellStyle name="Hyperlink" xfId="275" builtinId="8" hidden="1"/>
    <cellStyle name="Hyperlink" xfId="429" builtinId="8" hidden="1"/>
    <cellStyle name="Hyperlink" xfId="558" builtinId="8" hidden="1"/>
    <cellStyle name="Hyperlink" xfId="423" builtinId="8" hidden="1"/>
    <cellStyle name="Hyperlink" xfId="319" builtinId="8" hidden="1"/>
    <cellStyle name="Hyperlink" xfId="504" builtinId="8" hidden="1"/>
    <cellStyle name="Hyperlink" xfId="255" builtinId="8" hidden="1"/>
    <cellStyle name="Hyperlink" xfId="111" builtinId="8" hidden="1"/>
    <cellStyle name="Hyperlink" xfId="51" builtinId="8" hidden="1"/>
    <cellStyle name="Hyperlink" xfId="377" builtinId="8" hidden="1"/>
    <cellStyle name="Hyperlink" xfId="83" builtinId="8" hidden="1"/>
    <cellStyle name="Hyperlink" xfId="373" builtinId="8" hidden="1"/>
    <cellStyle name="Hyperlink" xfId="307" builtinId="8" hidden="1"/>
    <cellStyle name="Hyperlink" xfId="225" builtinId="8" hidden="1"/>
    <cellStyle name="Hyperlink" xfId="443" builtinId="8" hidden="1"/>
    <cellStyle name="Hyperlink" xfId="271" builtinId="8" hidden="1"/>
    <cellStyle name="Hyperlink" xfId="494" builtinId="8" hidden="1"/>
    <cellStyle name="Hyperlink" xfId="313" builtinId="8" hidden="1"/>
    <cellStyle name="Hyperlink" xfId="5" builtinId="8" hidden="1"/>
    <cellStyle name="Hyperlink" xfId="488" builtinId="8" hidden="1"/>
    <cellStyle name="Hyperlink" xfId="103" builtinId="8" hidden="1"/>
    <cellStyle name="Hyperlink" xfId="191" builtinId="8" hidden="1"/>
    <cellStyle name="Hyperlink" xfId="149" builtinId="8" hidden="1"/>
    <cellStyle name="Hyperlink" xfId="133" builtinId="8" hidden="1"/>
    <cellStyle name="Hyperlink" xfId="107" builtinId="8" hidden="1"/>
    <cellStyle name="Hyperlink" xfId="67" builtinId="8" hidden="1"/>
    <cellStyle name="Hyperlink" xfId="157" builtinId="8" hidden="1"/>
    <cellStyle name="Hyperlink" xfId="345" builtinId="8" hidden="1"/>
    <cellStyle name="Hyperlink" xfId="490" builtinId="8" hidden="1"/>
    <cellStyle name="Hyperlink" xfId="449" builtinId="8" hidden="1"/>
    <cellStyle name="Hyperlink" xfId="221" builtinId="8" hidden="1"/>
    <cellStyle name="Hyperlink" xfId="213" builtinId="8" hidden="1"/>
    <cellStyle name="Hyperlink" xfId="237" builtinId="8" hidden="1"/>
    <cellStyle name="Hyperlink" xfId="243" builtinId="8" hidden="1"/>
    <cellStyle name="Hyperlink" xfId="245" builtinId="8" hidden="1"/>
    <cellStyle name="Hyperlink" xfId="317" builtinId="8" hidden="1"/>
    <cellStyle name="Hyperlink" xfId="305" builtinId="8" hidden="1"/>
    <cellStyle name="Hyperlink" xfId="251" builtinId="8" hidden="1"/>
    <cellStyle name="Hyperlink" xfId="329" builtinId="8" hidden="1"/>
    <cellStyle name="Hyperlink" xfId="159" builtinId="8" hidden="1"/>
    <cellStyle name="Hyperlink" xfId="261" builtinId="8" hidden="1"/>
    <cellStyle name="Hyperlink" xfId="333" builtinId="8" hidden="1"/>
    <cellStyle name="Hyperlink" xfId="532" builtinId="8" hidden="1"/>
    <cellStyle name="Hyperlink" xfId="109" builtinId="8" hidden="1"/>
    <cellStyle name="Hyperlink" xfId="395" builtinId="8" hidden="1"/>
    <cellStyle name="Hyperlink" xfId="371" builtinId="8" hidden="1"/>
    <cellStyle name="Hyperlink" xfId="265" builtinId="8" hidden="1"/>
    <cellStyle name="Hyperlink" xfId="550" builtinId="8" hidden="1"/>
    <cellStyle name="Hyperlink" xfId="453" builtinId="8" hidden="1"/>
    <cellStyle name="Hyperlink" xfId="35" builtinId="8" hidden="1"/>
    <cellStyle name="Hyperlink" xfId="363" builtinId="8" hidden="1"/>
    <cellStyle name="Hyperlink" xfId="289" builtinId="8" hidden="1"/>
    <cellStyle name="Hyperlink" xfId="520" builtinId="8" hidden="1"/>
    <cellStyle name="Hyperlink" xfId="127" builtinId="8" hidden="1"/>
    <cellStyle name="Hyperlink" xfId="143" builtinId="8" hidden="1"/>
    <cellStyle name="Hyperlink" xfId="161" builtinId="8" hidden="1"/>
    <cellStyle name="Hyperlink" xfId="135" builtinId="8" hidden="1"/>
    <cellStyle name="Hyperlink" xfId="97" builtinId="8" hidden="1"/>
    <cellStyle name="Hyperlink" xfId="327" builtinId="8" hidden="1"/>
    <cellStyle name="Hyperlink" xfId="407" builtinId="8" hidden="1"/>
    <cellStyle name="Hyperlink" xfId="235" builtinId="8" hidden="1"/>
    <cellStyle name="Hyperlink" xfId="171" builtinId="8" hidden="1"/>
    <cellStyle name="Hyperlink" xfId="13" builtinId="8" hidden="1"/>
    <cellStyle name="Hyperlink" xfId="522" builtinId="8" hidden="1"/>
    <cellStyle name="Hyperlink" xfId="291" builtinId="8" hidden="1"/>
    <cellStyle name="Hyperlink" xfId="484" builtinId="8" hidden="1"/>
    <cellStyle name="Hyperlink" xfId="169" builtinId="8" hidden="1"/>
    <cellStyle name="Hyperlink" xfId="375" builtinId="8" hidden="1"/>
    <cellStyle name="Hyperlink" xfId="351" builtinId="8" hidden="1"/>
    <cellStyle name="Hyperlink" xfId="516" builtinId="8" hidden="1"/>
    <cellStyle name="Hyperlink" xfId="556" builtinId="8" hidden="1"/>
    <cellStyle name="Hyperlink" xfId="147" builtinId="8" hidden="1"/>
    <cellStyle name="Hyperlink" xfId="131" builtinId="8" hidden="1"/>
    <cellStyle name="Hyperlink" xfId="73" builtinId="8" hidden="1"/>
    <cellStyle name="Hyperlink" xfId="11" builtinId="8" hidden="1"/>
    <cellStyle name="Hyperlink" xfId="33" builtinId="8" hidden="1"/>
    <cellStyle name="Hyperlink" xfId="129" builtinId="8" hidden="1"/>
    <cellStyle name="Hyperlink" xfId="217" builtinId="8" hidden="1"/>
    <cellStyle name="Hyperlink" xfId="267" builtinId="8" hidden="1"/>
    <cellStyle name="Hyperlink" xfId="560" builtinId="8" hidden="1"/>
    <cellStyle name="Hyperlink" xfId="542" builtinId="8" hidden="1"/>
    <cellStyle name="Hyperlink" xfId="337" builtinId="8" hidden="1"/>
    <cellStyle name="Hyperlink" xfId="215" builtinId="8" hidden="1"/>
    <cellStyle name="Hyperlink" xfId="37" builtinId="8" hidden="1"/>
    <cellStyle name="Hyperlink" xfId="39" builtinId="8" hidden="1"/>
    <cellStyle name="Hyperlink" xfId="239" builtinId="8" hidden="1"/>
    <cellStyle name="Hyperlink" xfId="367" builtinId="8" hidden="1"/>
    <cellStyle name="Hyperlink" xfId="137" builtinId="8" hidden="1"/>
    <cellStyle name="Hyperlink" xfId="15" builtinId="8" hidden="1"/>
    <cellStyle name="Hyperlink" xfId="431" builtinId="8" hidden="1"/>
    <cellStyle name="Hyperlink" xfId="85" builtinId="8" hidden="1"/>
    <cellStyle name="Hyperlink" xfId="476" builtinId="8" hidden="1"/>
    <cellStyle name="Hyperlink" xfId="27" builtinId="8" hidden="1"/>
    <cellStyle name="Hyperlink" xfId="510" builtinId="8" hidden="1"/>
    <cellStyle name="Hyperlink" xfId="299" builtinId="8" hidden="1"/>
    <cellStyle name="Hyperlink" xfId="101" builtinId="8" hidden="1"/>
    <cellStyle name="Hyperlink" xfId="506" builtinId="8" hidden="1"/>
    <cellStyle name="Hyperlink" xfId="433" builtinId="8" hidden="1"/>
    <cellStyle name="Hyperlink" xfId="1" builtinId="8" hidden="1"/>
    <cellStyle name="Hyperlink" xfId="19" builtinId="8" hidden="1"/>
    <cellStyle name="Hyperlink" xfId="23" builtinId="8" hidden="1"/>
    <cellStyle name="Hyperlink" xfId="79" builtinId="8" hidden="1"/>
    <cellStyle name="Hyperlink" xfId="69" builtinId="8" hidden="1"/>
    <cellStyle name="Hyperlink" xfId="29" builtinId="8" hidden="1"/>
    <cellStyle name="Hyperlink" xfId="463" builtinId="8" hidden="1"/>
    <cellStyle name="Hyperlink" xfId="253" builtinId="8" hidden="1"/>
    <cellStyle name="Hyperlink" xfId="99" builtinId="8" hidden="1"/>
    <cellStyle name="Hyperlink" xfId="207" builtinId="8" hidden="1"/>
    <cellStyle name="Hyperlink" xfId="177" builtinId="8" hidden="1"/>
    <cellStyle name="Hyperlink" xfId="365" builtinId="8" hidden="1"/>
    <cellStyle name="Hyperlink" xfId="496" builtinId="8" hidden="1"/>
    <cellStyle name="Hyperlink" xfId="401" builtinId="8" hidden="1"/>
    <cellStyle name="Hyperlink" xfId="1783" builtinId="8" customBuiltin="1"/>
    <cellStyle name="Normal" xfId="0" builtinId="0"/>
    <cellStyle name="Normal 2 2" xfId="1782" xr:uid="{CA1553E6-A1FF-4368-961E-EFB1B350480A}"/>
  </cellStyles>
  <dxfs count="76">
    <dxf>
      <font>
        <color auto="1"/>
      </font>
      <fill>
        <patternFill patternType="none">
          <bgColor auto="1"/>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bgColor rgb="FFFF0000"/>
        </patternFill>
      </fill>
    </dxf>
    <dxf>
      <font>
        <color auto="1"/>
      </font>
      <fill>
        <patternFill>
          <bgColor theme="8" tint="0.79998168889431442"/>
        </patternFill>
      </fill>
    </dxf>
    <dxf>
      <font>
        <b val="0"/>
        <i val="0"/>
        <color theme="1"/>
      </font>
      <fill>
        <patternFill>
          <bgColor theme="2" tint="-9.9948118533890809E-2"/>
        </patternFill>
      </fill>
    </dxf>
    <dxf>
      <fill>
        <patternFill>
          <bgColor rgb="FF00B0F0"/>
        </patternFill>
      </fill>
    </dxf>
    <dxf>
      <font>
        <b val="0"/>
        <i val="0"/>
        <color theme="1"/>
      </font>
      <fill>
        <patternFill>
          <bgColor rgb="FFFFFF00"/>
        </patternFill>
      </fill>
    </dxf>
    <dxf>
      <font>
        <color auto="1"/>
      </font>
      <fill>
        <patternFill patternType="solid">
          <bgColor rgb="FF00B050"/>
        </patternFill>
      </fill>
    </dxf>
    <dxf>
      <numFmt numFmtId="164" formatCode="&quot;$&quot;#,##0.00"/>
    </dxf>
    <dxf>
      <numFmt numFmtId="164" formatCode="&quot;$&quot;#,##0.00"/>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Body)"/>
        <scheme val="none"/>
      </font>
      <alignment horizontal="center"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auto="1"/>
        <name val="Calibri (Body)"/>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Body)"/>
        <scheme val="none"/>
      </font>
      <numFmt numFmtId="1" formatCode="0"/>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Body)"/>
        <scheme val="none"/>
      </font>
      <numFmt numFmtId="167" formatCode="[$-F800]dddd\,\ mmmm\ dd\,\ yyyy"/>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auto="1"/>
        <name val="Calibri (Body)"/>
        <scheme val="none"/>
      </font>
      <numFmt numFmtId="167" formatCode="[$-F800]dddd\,\ mmmm\ dd\,\ yyyy"/>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auto="1"/>
        <name val="Calibri (Body)"/>
        <scheme val="none"/>
      </font>
      <numFmt numFmtId="167" formatCode="[$-F800]dddd\,\ mmmm\ dd\,\ yy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72" formatCode="dd\-mmm\-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22" formatCode="mmm\-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5" formatCode="[$-809]dd\ mmmm\ yy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5" formatCode="[$-809]dd\ mmmm\ yy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5" formatCode="[$-809]dd\ mmmm\ yyyy;@"/>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Body)"/>
        <scheme val="none"/>
      </font>
      <numFmt numFmtId="165" formatCode="[$-809]dd\ mmmm\ yy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5" formatCode="[$-809]dd\ mmmm\ yy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6" formatCode="[$$-409]#,##0.00"/>
      <fill>
        <patternFill patternType="solid">
          <fgColor indexed="64"/>
          <bgColor theme="0"/>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6" formatCode="[$$-409]#,##0.00"/>
      <fill>
        <patternFill patternType="solid">
          <fgColor indexed="64"/>
          <bgColor theme="0"/>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6" formatCode="[$$-409]#,##0.00"/>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numFmt numFmtId="166" formatCode="[$$-409]#,##0.00"/>
      <fill>
        <patternFill patternType="solid">
          <fgColor indexed="64"/>
          <bgColor rgb="FFFFFF00"/>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0"/>
        <color auto="1"/>
        <name val="Calibri (Body)"/>
        <scheme val="none"/>
      </font>
      <alignment horizontal="general" vertical="center" textRotation="0" wrapText="1" indent="0" justifyLastLine="0" shrinkToFit="0" readingOrder="0"/>
    </dxf>
    <dxf>
      <border outline="0">
        <bottom style="thin">
          <color auto="1"/>
        </bottom>
      </border>
    </dxf>
    <dxf>
      <numFmt numFmtId="0" formatCode="General"/>
    </dxf>
    <dxf>
      <numFmt numFmtId="0" formatCode="General"/>
    </dxf>
    <dxf>
      <numFmt numFmtId="0" formatCode="General"/>
    </dxf>
    <dxf>
      <numFmt numFmtId="19" formatCode="m/d/yyyy"/>
    </dxf>
    <dxf>
      <numFmt numFmtId="27" formatCode="m/d/yyyy\ h:mm"/>
    </dxf>
    <dxf>
      <numFmt numFmtId="27" formatCode="m/d/yyyy\ h:mm"/>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 formatCode="#,##0"/>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numFmt numFmtId="3" formatCode="#,##0"/>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s>
  <tableStyles count="0" defaultTableStyle="TableStyleMedium2" defaultPivotStyle="PivotStyleLight16"/>
  <colors>
    <mruColors>
      <color rgb="FF2616F6"/>
      <color rgb="FFCCFFCC"/>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8.xml"/><Relationship Id="rId5" Type="http://schemas.openxmlformats.org/officeDocument/2006/relationships/worksheet" Target="worksheets/sheet5.xml"/><Relationship Id="rId15" Type="http://schemas.microsoft.com/office/2017/10/relationships/person" Target="persons/person.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United%20Nations%20Development%20Programme\UNDP%20Libya\SFL\Project%20Documents\POs\Excel%20PO%20payment\2019%2007%2031%20PO%20Budget%20activ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neDrive%20-%20United%20Nations%20Development%20Programme\UNDP%20Libya\SFL\Tracker\2019%2003%2021%20SFL%20Tracker%20Li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 07 31 PO Budget activity"/>
    </sheetNames>
    <sheetDataSet>
      <sheetData sheetId="0">
        <row r="301">
          <cell r="I301">
            <v>178132.8</v>
          </cell>
        </row>
        <row r="302">
          <cell r="I302">
            <v>267927.48</v>
          </cell>
        </row>
        <row r="303">
          <cell r="I303">
            <v>31224.23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by loc and sector"/>
      <sheetName val="Sheet1"/>
      <sheetName val="Sheet2"/>
      <sheetName val="Delivery Progress"/>
      <sheetName val="budget by sector"/>
      <sheetName val="Tracker 2.0"/>
      <sheetName val="Procurement Tracker"/>
      <sheetName val="Data inputs "/>
      <sheetName val="List of Goods"/>
      <sheetName val="SFL Tracker Output 1"/>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Set>
  </externalBook>
</externalLink>
</file>

<file path=xl/persons/person.xml><?xml version="1.0" encoding="utf-8"?>
<personList xmlns="http://schemas.microsoft.com/office/spreadsheetml/2018/threadedcomments" xmlns:x="http://schemas.openxmlformats.org/spreadsheetml/2006/main">
  <person displayName="Rohan" id="{F3F37E80-8D98-4886-B2B8-D109F7E0B160}" userId="Rohan" providerId="None"/>
  <person displayName="Omar Abdi" id="{754329A1-3DA8-407F-A457-B1F1B671490B}" userId="Omar Abdi" providerId="None"/>
  <person displayName="Craig Castro" id="{F79EFED3-A5C9-41ED-9F8C-81F7B0D6F5FF}" userId="Craig Castro" providerId="None"/>
  <person displayName="Mitch Teberg" id="{FAC6A755-6961-4D26-AF8D-9B35E9AF48EC}" userId="Mitch Teberg" providerId="None"/>
  <person displayName="Rohan Manandhar" id="{5D0AD752-BC85-4527-AB85-87BD8EB3F252}" userId="Rohan Manandhar" providerId="None"/>
  <person displayName="Rohan Manandhar" id="{7AE12B69-D821-4041-852A-6F8509BB156F}" userId="S::rohan.manandhar@undp.org::9c955927-f40a-4e71-8855-056979620268"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2" xr16:uid="{2D100816-B6C1-4D6A-A8AA-BA8B8A9C1ED3}" autoFormatId="16" applyNumberFormats="0" applyBorderFormats="0" applyFontFormats="0" applyPatternFormats="0" applyAlignmentFormats="0" applyWidthHeightFormats="0">
  <queryTableRefresh nextId="44">
    <queryTableFields count="22">
      <queryTableField id="1" name="Works / Goods" tableColumnId="1"/>
      <queryTableField id="2" name="Region" tableColumnId="2"/>
      <queryTableField id="3" name="Location" tableColumnId="3"/>
      <queryTableField id="4" name="Sector" tableColumnId="4"/>
      <queryTableField id="5" name="Project" tableColumnId="5"/>
      <queryTableField id="6" name="Funding Stage" tableColumnId="6"/>
      <queryTableField id="8" name="Amount" tableColumnId="8"/>
      <queryTableField id="10" name="Expenditure" tableColumnId="10"/>
      <queryTableField id="11" name="Initial Phase Status" tableColumnId="11"/>
      <queryTableField id="12" name="Procurement Phase Status" tableColumnId="12"/>
      <queryTableField id="13" name="Contract Signing" tableColumnId="13"/>
      <queryTableField id="14" name=" Implementation Phase Status" tableColumnId="14"/>
      <queryTableField id="15" name="Site handover date" tableColumnId="15"/>
      <queryTableField id="16" name="Start Date" tableColumnId="16"/>
      <queryTableField id="17" name="Actual completion date" tableColumnId="17"/>
      <queryTableField id="18" name="Overall Status " tableColumnId="18"/>
      <queryTableField id="22" name="Type" tableColumnId="22"/>
      <queryTableField id="27" name="Project ID" tableColumnId="27"/>
      <queryTableField id="28" name="Latitude" tableColumnId="28"/>
      <queryTableField id="29" name="Longitude" tableColumnId="29"/>
      <queryTableField id="42" name="Donor" tableColumnId="36"/>
      <queryTableField id="43" name="Implementation_duration" tableColumnId="37"/>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FB8D290-A5F1-48F3-96C5-32542DBCDFBA}" name="Table27" displayName="Table27" ref="B3:D17" totalsRowShown="0" headerRowDxfId="75" headerRowBorderDxfId="74" tableBorderDxfId="73" totalsRowBorderDxfId="72">
  <autoFilter ref="B3:D17" xr:uid="{F1031F5C-F391-48EB-8185-9BA857C1F8D0}"/>
  <tableColumns count="3">
    <tableColumn id="1" xr3:uid="{13F3B410-046D-4AFA-8B21-E948629694EB}" name="SN" dataDxfId="71"/>
    <tableColumn id="2" xr3:uid="{28165339-9B3E-4402-B457-ECED42915113}" name="Location" dataDxfId="70"/>
    <tableColumn id="3" xr3:uid="{8BE2F790-6A8E-4CBD-A833-559607E74D44}" name="Population" dataDxfId="69"/>
  </tableColumns>
  <tableStyleInfo name="TableStyleMedium2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2C97CA-9575-4DC2-96C0-EFCD0D6B3DCD}" name="Table274" displayName="Table274" ref="B21:D35" totalsRowShown="0" headerRowDxfId="68" headerRowBorderDxfId="67" tableBorderDxfId="66" totalsRowBorderDxfId="65">
  <autoFilter ref="B21:D35" xr:uid="{8F6F2E96-6AE8-4178-9939-7FE2D7E9B5BF}"/>
  <tableColumns count="3">
    <tableColumn id="1" xr3:uid="{6C9F90EB-C4FA-46B0-9DED-313DD4551903}" name="SN" dataDxfId="64"/>
    <tableColumn id="2" xr3:uid="{AF265003-B896-40E9-AE35-7C5CB2A6EB92}" name="Location" dataDxfId="63"/>
    <tableColumn id="3" xr3:uid="{9262941A-2DC3-47C0-8B94-65DF0395E579}" name="Population" dataDxfId="62"/>
  </tableColumns>
  <tableStyleInfo name="TableStyleMedium2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A7B6EA-2864-4FAA-B2A9-57BDEB1B08DF}" name="Table2" displayName="Table2" ref="A1:C15" totalsRowShown="0">
  <autoFilter ref="A1:C15" xr:uid="{D1A7B6EA-2864-4FAA-B2A9-57BDEB1B08DF}"/>
  <tableColumns count="3">
    <tableColumn id="1" xr3:uid="{F2079117-5484-496C-A375-A1271BB8320D}" name="Location"/>
    <tableColumn id="2" xr3:uid="{ABF2D133-7E9A-4ED5-8E7C-A4EDAB6B6C94}" name="Latitude"/>
    <tableColumn id="3" xr3:uid="{8D895CA0-FBF6-42A8-BC1A-DDEED1F229D1}" name="Longitu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A4A768-AD91-4CC7-8392-D76657EE53D1}" name="Tracker" displayName="Tracker" ref="A1:V404" tableType="queryTable" totalsRowShown="0">
  <autoFilter ref="A1:V404" xr:uid="{16A4A768-AD91-4CC7-8392-D76657EE53D1}"/>
  <tableColumns count="22">
    <tableColumn id="1" xr3:uid="{9C256A2B-34F6-4809-98F1-F46D82BFE4C2}" uniqueName="1" name="Works / Goods" queryTableFieldId="1" dataDxfId="61"/>
    <tableColumn id="2" xr3:uid="{49E797AC-E265-4027-8C80-02CB0BF40898}" uniqueName="2" name="Region" queryTableFieldId="2" dataDxfId="60"/>
    <tableColumn id="3" xr3:uid="{D4F7D61B-BF92-427E-807A-69939310F91D}" uniqueName="3" name="Location" queryTableFieldId="3" dataDxfId="59"/>
    <tableColumn id="4" xr3:uid="{F628A0B7-F660-44CF-9F12-6E6B3BA1B68A}" uniqueName="4" name="Sector" queryTableFieldId="4" dataDxfId="58"/>
    <tableColumn id="5" xr3:uid="{CFF129AF-A15F-4F6F-B1E1-E0B843D2B1D6}" uniqueName="5" name="Project" queryTableFieldId="5" dataDxfId="57"/>
    <tableColumn id="6" xr3:uid="{9E5A8960-6EC7-4B3C-BF53-3C2787C8169B}" uniqueName="6" name="Funding Stage" queryTableFieldId="6" dataDxfId="56"/>
    <tableColumn id="8" xr3:uid="{784BB72F-B167-4472-A30C-17EB238BF305}" uniqueName="8" name="Amount" queryTableFieldId="8"/>
    <tableColumn id="10" xr3:uid="{2B163A11-4FEA-4110-A653-B7A7B9C10009}" uniqueName="10" name="Expenditure" queryTableFieldId="10"/>
    <tableColumn id="11" xr3:uid="{EF5CF311-B6AA-49DB-816B-1A930C323E5A}" uniqueName="11" name="Initial Phase Status" queryTableFieldId="11" dataDxfId="55"/>
    <tableColumn id="12" xr3:uid="{643B7BBA-FD40-4C46-BE34-A796D5714529}" uniqueName="12" name="Procurement Phase Status" queryTableFieldId="12" dataDxfId="54"/>
    <tableColumn id="13" xr3:uid="{A7CF5A33-5C0B-495E-B23E-BB339013CD11}" uniqueName="13" name="Contract Signing" queryTableFieldId="13" dataDxfId="53"/>
    <tableColumn id="14" xr3:uid="{DDC2C9DF-0ACD-44A3-A466-6E7848135BE2}" uniqueName="14" name=" Implementation Phase Status" queryTableFieldId="14" dataDxfId="52"/>
    <tableColumn id="15" xr3:uid="{2DF241F3-5FB1-4EEC-B953-E8F85ECBCDAA}" uniqueName="15" name="Site handover date" queryTableFieldId="15" dataDxfId="51"/>
    <tableColumn id="16" xr3:uid="{959D2973-3EBA-4832-B363-BBEAFDB733D6}" uniqueName="16" name="Start Date" queryTableFieldId="16" dataDxfId="50"/>
    <tableColumn id="17" xr3:uid="{38F4C00A-6C87-4361-AD1E-88986ACA004A}" uniqueName="17" name="Actual completion date" queryTableFieldId="17" dataDxfId="49"/>
    <tableColumn id="18" xr3:uid="{F7606CA6-4D21-4B05-8169-D2AE22DD86FB}" uniqueName="18" name="Overall Status " queryTableFieldId="18" dataDxfId="48"/>
    <tableColumn id="22" xr3:uid="{A59F630A-9ED0-45B6-80E6-8FA70E074AAA}" uniqueName="22" name="Type" queryTableFieldId="22" dataDxfId="47"/>
    <tableColumn id="27" xr3:uid="{EDEBA574-804E-46AC-B442-AF069F172EF3}" uniqueName="27" name="Project ID" queryTableFieldId="27" dataDxfId="46"/>
    <tableColumn id="28" xr3:uid="{41DFA14A-D4AA-4E27-90F1-15D624B29191}" uniqueName="28" name="Latitude" queryTableFieldId="28"/>
    <tableColumn id="29" xr3:uid="{1FE527EC-0120-43B9-9E0D-42186C39A117}" uniqueName="29" name="Longitude" queryTableFieldId="29"/>
    <tableColumn id="36" xr3:uid="{78A682AF-3034-4F78-AF33-F7DAC1C33BA8}" uniqueName="36" name="Donor" queryTableFieldId="42"/>
    <tableColumn id="37" xr3:uid="{B58752FD-216C-4C2F-8990-58B5BDDF291C}" uniqueName="37" name="Implementation_duration" queryTableFieldId="4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4FB4DD6-57E4-49B4-8AD3-2689530CA135}" name="Table7" displayName="Table7" ref="A1:B13" totalsRowShown="0">
  <autoFilter ref="A1:B13" xr:uid="{E4FB4DD6-57E4-49B4-8AD3-2689530CA135}"/>
  <tableColumns count="2">
    <tableColumn id="1" xr3:uid="{3FE1B456-85A2-4A5D-8D14-A4DA7114FFC9}" name="Before"/>
    <tableColumn id="2" xr3:uid="{D1B751A2-98E0-469D-A425-C6C195F56D28}" name="Afte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89DC4F-9A31-4014-AA83-DA0992F3A3C5}" name="Table1" displayName="Table1" ref="B1:AC471" totalsRowShown="0" dataDxfId="44" headerRowBorderDxfId="45" tableBorderDxfId="43">
  <autoFilter ref="B1:AC471" xr:uid="{D480B759-F832-4C99-AF5C-269DC2FDCD9E}"/>
  <tableColumns count="28">
    <tableColumn id="2" xr3:uid="{D67250B8-119B-4E25-A687-737977054B7A}" name="Works / Goods" dataDxfId="42"/>
    <tableColumn id="59" xr3:uid="{EBFC65F4-BDED-48E9-878C-09A6C86433C3}" name="Region" dataDxfId="41"/>
    <tableColumn id="3" xr3:uid="{B7506FC2-39BA-4B08-9274-848E7DB5EACE}" name="Location" dataDxfId="40"/>
    <tableColumn id="5" xr3:uid="{16DA700E-22F3-44A9-9462-C01B4CE578F9}" name="Sector" dataDxfId="39"/>
    <tableColumn id="8" xr3:uid="{925C497B-5491-4248-8014-443D4C28EE2D}" name="Project" dataDxfId="38"/>
    <tableColumn id="9" xr3:uid="{18D378A9-AFA6-48E6-9B9E-3950A81E0F1A}" name="Funding Stage" dataDxfId="37" dataCellStyle="Good"/>
    <tableColumn id="11" xr3:uid="{7CA56924-4623-4C1E-B7CB-17DF69F9976D}" name="Contracted Amount" dataDxfId="36"/>
    <tableColumn id="1" xr3:uid="{488EA5A5-0DC2-4464-A16F-B5145EDE270B}" name="Amount" dataDxfId="35">
      <calculatedColumnFormula>Table1[[#This Row],[Contracted Amount]]*AF2</calculatedColumnFormula>
    </tableColumn>
    <tableColumn id="12" xr3:uid="{4018321B-C3E8-477A-AE92-A9E65423AD77}" name="Actual Expenditure (including admin fees)" dataDxfId="34"/>
    <tableColumn id="4" xr3:uid="{C3427F9A-BC6E-46D4-AA59-498F1A466C16}" name="Expenditure" dataDxfId="33">
      <calculatedColumnFormula>Table1[[#This Row],[Actual Expenditure (including admin fees)]]*AF2</calculatedColumnFormula>
    </tableColumn>
    <tableColumn id="14" xr3:uid="{1C95946A-1209-493C-822C-AAEDED178D34}" name="Initial Phase Status" dataDxfId="32" dataCellStyle="Good"/>
    <tableColumn id="19" xr3:uid="{71B92630-4FB4-4118-A722-4BE0DAF4FCF5}" name="Procurement Phase Status" dataDxfId="31"/>
    <tableColumn id="24" xr3:uid="{E2B0068A-3EC9-40FA-A1E9-C4482524AAA1}" name="Contract Signing" dataDxfId="30"/>
    <tableColumn id="25" xr3:uid="{174E9C46-0504-43C6-BEB9-B2B7B65D8F62}" name=" Implementation Phase Status" dataDxfId="29"/>
    <tableColumn id="53" xr3:uid="{4E92EC37-83A5-4C9E-9563-970ED74A3317}" name="Site handover date" dataDxfId="28"/>
    <tableColumn id="60" xr3:uid="{4F43F593-2313-4A4C-82A0-0E72AB539EE7}" name="Start Date" dataDxfId="27"/>
    <tableColumn id="20" xr3:uid="{C1C50C9C-9800-4034-8122-49C65A0D0F58}" name="Actual completion date" dataDxfId="26"/>
    <tableColumn id="28" xr3:uid="{BEB56B17-CB4B-41C7-8F6B-C774C54204F6}" name="Overall Status " dataDxfId="25" dataCellStyle="Good"/>
    <tableColumn id="29" xr3:uid="{18B7C8D1-E84D-4A7A-9A7C-7B77CD459D46}" name="Remarks" dataDxfId="24"/>
    <tableColumn id="30" xr3:uid="{8F238AEC-2E91-4D14-BBFD-D4EC2DAA0214}" name="Remarks date" dataDxfId="23"/>
    <tableColumn id="61" xr3:uid="{A108002B-1776-4500-BAD9-3D859FCDCF45}" name="Proc plan ref" dataDxfId="22"/>
    <tableColumn id="68" xr3:uid="{D19DC4A0-762E-49C6-90D6-805BCF3F7337}" name="Type" dataDxfId="21"/>
    <tableColumn id="67" xr3:uid="{1DE56DA8-C649-4855-95F8-34DFA0039F4E}" name="Quantity" dataDxfId="20"/>
    <tableColumn id="31" xr3:uid="{69C4A912-1AFA-463B-9461-3D1F37D6601B}" name="Donor Number" dataDxfId="19"/>
    <tableColumn id="32" xr3:uid="{2262DA54-6EFD-461B-8F4D-6EC1B4BC5C47}" name="Donor " dataDxfId="18"/>
    <tableColumn id="72" xr3:uid="{B5182ED7-25F6-495A-A62F-687AFA6AEED9}" name="Project ID" dataDxfId="17"/>
    <tableColumn id="44" xr3:uid="{77BD55E9-1C81-423C-881C-B2EA429558D0}" name="Latitude" dataDxfId="16"/>
    <tableColumn id="47" xr3:uid="{CB50D2C8-25B8-41A4-A3B2-5524F1973E17}" name="Longitude" dataDxfId="1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B80AD7-84D7-4CF9-B7CC-061ADAF625F4}" name="Table4" displayName="Table4" ref="A1:B17" totalsRowCount="1">
  <autoFilter ref="A1:B16" xr:uid="{DEB80AD7-84D7-4CF9-B7CC-061ADAF625F4}"/>
  <tableColumns count="2">
    <tableColumn id="1" xr3:uid="{A2BD0636-7DB9-475D-BD36-882EBC8591F1}" name="Location "/>
    <tableColumn id="2" xr3:uid="{4860DA5E-0300-45E8-8937-DFA5DAAB0344}" name="Approved Budget" totalsRowFunction="custom" dataDxfId="14" totalsRowDxfId="13">
      <totalsRowFormula>SUBTOTAL(9,Table4[Approved Budget])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4" personId="{F3F37E80-8D98-4886-B2B8-D109F7E0B160}" id="{23FEEE5F-6C43-451C-A01C-5CF01BBF5484}">
    <text>2006 est wiki</text>
  </threadedComment>
  <threadedComment ref="D24" personId="{5D0AD752-BC85-4527-AB85-87BD8EB3F252}" id="{EBC448F2-4F2B-46A6-96C7-BF4E8294D183}">
    <text>as received from Saeed Zekry</text>
  </threadedComment>
</ThreadedComments>
</file>

<file path=xl/threadedComments/threadedComment2.xml><?xml version="1.0" encoding="utf-8"?>
<ThreadedComments xmlns="http://schemas.microsoft.com/office/spreadsheetml/2018/threadedcomments" xmlns:x="http://schemas.openxmlformats.org/spreadsheetml/2006/main">
  <threadedComment ref="J3" personId="{5D0AD752-BC85-4527-AB85-87BD8EB3F252}" id="{133B8105-FB95-4D5B-80DF-7BFEDC1D4B44}">
    <text>cost for 8 out of 9 garbage trucks</text>
  </threadedComment>
  <threadedComment ref="R3" personId="{5D0AD752-BC85-4527-AB85-87BD8EB3F252}" id="{CDDB756D-0EC3-4E2E-A46C-C9CE9DCFC3E0}">
    <text xml:space="preserve">1 - 10 dec 2017
4 - 24 July 2018
3 - 28 Aug 2018
</text>
  </threadedComment>
  <threadedComment ref="Z3" personId="{5D0AD752-BC85-4527-AB85-87BD8EB3F252}" id="{87463642-4C04-43A8-A876-96D78618F8B4}">
    <text>Korea - PO 4772 @ US$ 35,532.17</text>
  </threadedComment>
  <threadedComment ref="F4" personId="{5D0AD752-BC85-4527-AB85-87BD8EB3F252}" id="{0D513570-E99B-438E-96A0-BBDB8C3A76F6}">
    <text xml:space="preserve">Not specific enough
Cost Calculation:
apart from Fire trucks every other truck's average cost was USD 150,000 per truck or higher
but this estimate may be farfetched from realistic costs in absence of further info
</text>
  </threadedComment>
  <threadedComment ref="F5" personId="{5D0AD752-BC85-4527-AB85-87BD8EB3F252}" id="{C4651834-D9FB-499F-8529-F2C8E320FDFA}">
    <text>15 m3 USD 116,000 per truck for sirt in June 2018</text>
  </threadedComment>
  <threadedComment ref="F6" personId="{5D0AD752-BC85-4527-AB85-87BD8EB3F252}" id="{149AC071-E29A-4EC6-A7C6-98B369BE38C5}">
    <text xml:space="preserve">Not specific enough
Cost Calculation:
apart from Fire trucks every other truck's average cost was USD 150,000 per truck or higher
but this estimate may be farfetched from realistic costs in absence of further info
</text>
  </threadedComment>
  <threadedComment ref="Z7" personId="{5D0AD752-BC85-4527-AB85-87BD8EB3F252}" id="{56D29C90-B71E-487D-8B70-16A57583A7F9}">
    <text>Korea - PO 4752 @ US$ 18,714.12</text>
  </threadedComment>
  <threadedComment ref="F8" personId="{5D0AD752-BC85-4527-AB85-87BD8EB3F252}" id="{5007963D-8CE7-440B-ADA5-50CCA8D45156}">
    <text>USD 500 per bin for sirt back in June 2018</text>
  </threadedComment>
  <threadedComment ref="F13" personId="{5D0AD752-BC85-4527-AB85-87BD8EB3F252}" id="{2FA6A36A-BE4A-4CDA-92ED-63C0A8FA2367}">
    <text>Renamed from Supply of Refrigeration for vaccines, cold chain for Health Directorate.</text>
  </threadedComment>
  <threadedComment ref="F14" personId="{5D0AD752-BC85-4527-AB85-87BD8EB3F252}" id="{13DAAD6A-1E60-47B2-9CAF-1693D359B8D3}">
    <text>USD 58,000 for regular ambulance for Ghodowah in Sep 2019
Approximately USD 45,000 for both ICU and regular back in Jan 2017</text>
  </threadedComment>
  <threadedComment ref="H14" personId="{5D0AD752-BC85-4527-AB85-87BD8EB3F252}" id="{D201B0D5-E1F2-48CC-ADA8-650B24C87952}">
    <text>3 already delivered as test case.</text>
  </threadedComment>
  <threadedComment ref="J14" personId="{FAC6A755-6961-4D26-AF8D-9B35E9AF48EC}" id="{85896FDA-8024-4FDA-A826-53DA0E58169C}">
    <text xml:space="preserve">Based on SFL Procurement Monitoring cost breakdown Cost Reconciliation tab Rows 4&amp;5
</text>
  </threadedComment>
  <threadedComment ref="Z22" personId="{F3F37E80-8D98-4886-B2B8-D109F7E0B160}" id="{91AEA554-7E4C-4B8E-A568-73204EFA1431}">
    <text>Japan - PO 4936 @ US$ 14,080</text>
  </threadedComment>
  <threadedComment ref="Z23" personId="{5D0AD752-BC85-4527-AB85-87BD8EB3F252}" id="{58DE6AAC-C486-43A3-997F-FB18B95A23E7}">
    <text>Korea - PO 4831 @ US$ 10,844</text>
  </threadedComment>
  <threadedComment ref="Z25" personId="{5D0AD752-BC85-4527-AB85-87BD8EB3F252}" id="{A7D62C77-11F7-48E8-BDAB-2A4F4C0EC563}">
    <text>KfW - PO 5430 @US$ 11,416</text>
  </threadedComment>
  <threadedComment ref="AA25" personId="{5D0AD752-BC85-4527-AB85-87BD8EB3F252}" id="{EC3B568F-1F97-4F2D-A0E2-1C5F2224F48C}">
    <text>KfW @ US$ 11,416 under 112158</text>
  </threadedComment>
  <threadedComment ref="Z26" dT="2022-03-02T13:52:54.19" personId="{7AE12B69-D821-4041-852A-6F8509BB156F}" id="{85661C28-A9AB-4DDB-B851-6099014F0E34}">
    <text>As per info on GJLE reversal from Korea, provided by Basma on 24 Feb 2022</text>
  </threadedComment>
  <threadedComment ref="F30" personId="{F3F37E80-8D98-4886-B2B8-D109F7E0B160}" id="{17F61C9C-7A90-453B-A5AE-5CB42AB33501}">
    <text>estimated at $100,000</text>
  </threadedComment>
  <threadedComment ref="F31" personId="{F3F37E80-8D98-4886-B2B8-D109F7E0B160}" id="{E61D9CCD-A662-48FB-A48D-9DEB5D738DC9}">
    <text>estimated at $100,000</text>
  </threadedComment>
  <threadedComment ref="F32" personId="{F3F37E80-8D98-4886-B2B8-D109F7E0B160}" id="{2EBCB3FC-8B42-4CA9-BAAB-FE4B833041DB}">
    <text>estimated at $100,000</text>
  </threadedComment>
  <threadedComment ref="Z35" dT="2022-06-01T09:41:02.00" personId="{7AE12B69-D821-4041-852A-6F8509BB156F}" id="{EB0C4832-56B6-4EAA-B2C1-EAE77A2C51DF}">
    <text>KfW - US$ 119,427.89 transferred from Netherlands through GLJE (in process)</text>
  </threadedComment>
  <threadedComment ref="J37" personId="{FAC6A755-6961-4D26-AF8D-9B35E9AF48EC}" id="{E063257C-C927-44A5-9E0F-3AA48B170106}">
    <text>Based on SFL Procurement Monitoring cost breakdown Cost Reconciliation tab Rows 4&amp;5</text>
  </threadedComment>
  <threadedComment ref="J51" personId="{5D0AD752-BC85-4527-AB85-87BD8EB3F252}" id="{2799534F-6FC8-4CE6-AFBD-F71AEB338348}">
    <text xml:space="preserve">PO 4626 for transportation of 3 ambulances to Bani walid
</text>
  </threadedComment>
  <threadedComment ref="Z51" personId="{5D0AD752-BC85-4527-AB85-87BD8EB3F252}" id="{800F3424-B6E2-45E8-9357-AA2E4E6BC5A6}">
    <text>Denmark - PO 4626 @ US$ 6,575</text>
  </threadedComment>
  <threadedComment ref="Z52" dT="2022-04-11T14:42:47.65" personId="{7AE12B69-D821-4041-852A-6F8509BB156F}" id="{23F23E9C-7A4C-4473-85D7-2FA3D4659235}">
    <text>KfW - @ US$ 335,223.44 transferred from Italy through GLJE 7164218</text>
  </threadedComment>
  <threadedComment ref="Z58" personId="{5D0AD752-BC85-4527-AB85-87BD8EB3F252}" id="{4B36A4EB-EDB8-4747-AB44-5C7ED41F2A90}">
    <text>Italy  - PO 4005 @ US$ 43,885.27  for shipment of 14 generators
Denmark - PO 4704 @ US$ 3,846.15</text>
  </threadedComment>
  <threadedComment ref="Z62" dT="2022-08-18T11:48:17.35" personId="{5D0AD752-BC85-4527-AB85-87BD8EB3F252}" id="{B52B212F-B03D-48DC-9EBB-C703D0F39655}">
    <text>Netherlands - PO 6746 @ US$ 57,248.81 for retention amount</text>
  </threadedComment>
  <threadedComment ref="J63" personId="{FAC6A755-6961-4D26-AF8D-9B35E9AF48EC}" id="{6162AA11-CA17-459F-9B56-9AAC950F0893}">
    <text>Based on SFL Procurement Monitoring cost breakdown Cost Reconciliation tab Rows 4&amp;5</text>
  </threadedComment>
  <threadedComment ref="Z63" personId="{5D0AD752-BC85-4527-AB85-87BD8EB3F252}" id="{9ECA464A-5290-4482-9597-889CF01F7CE2}">
    <text>Denmark - PO 4626 @ US$ 6,575</text>
  </threadedComment>
  <threadedComment ref="J64" personId="{5D0AD752-BC85-4527-AB85-87BD8EB3F252}" id="{26854ABC-F155-48AE-91A7-C350A78E2C89}">
    <text>$ 237.63 insurance for shipment (non PO voucher-0027332)
516 euros damco demurrage cost-processed to finance on 23 dec 2019
6,501.65 shipment</text>
  </threadedComment>
  <threadedComment ref="Z64" personId="{5D0AD752-BC85-4527-AB85-87BD8EB3F252}" id="{113696C5-586B-4E14-9F3D-FEF954AEAF8C}">
    <text>KfW - PO 5242 @ US$ 6,501.65</text>
  </threadedComment>
  <threadedComment ref="AA64" personId="{5D0AD752-BC85-4527-AB85-87BD8EB3F252}" id="{7FC31DEB-51CA-49F0-9B9D-6FFFA9C90CFF}">
    <text>KfW - PO 5242 @ US$ 6,501.65 under 112158</text>
  </threadedComment>
  <threadedComment ref="R66" personId="{5D0AD752-BC85-4527-AB85-87BD8EB3F252}" id="{C4412527-96CD-4158-9FD3-5CE0387E9EB5}">
    <text>1 - 8 Feb 2018</text>
  </threadedComment>
  <threadedComment ref="Z67" personId="{5D0AD752-BC85-4527-AB85-87BD8EB3F252}" id="{CEF216E9-5373-4698-B340-A415CD9BC234}">
    <text>Italy  - PO 4005 @ US$ 43,885.27  for shipment of 14 generators
Denmark - PO 4704 @ US$ 3,846.15</text>
  </threadedComment>
  <threadedComment ref="F69" personId="{F3F37E80-8D98-4886-B2B8-D109F7E0B160}" id="{26BE0925-0860-456A-8853-5A9DD1CC6D86}">
    <text>estimated $55000</text>
  </threadedComment>
  <threadedComment ref="F70" personId="{F3F37E80-8D98-4886-B2B8-D109F7E0B160}" id="{B09A544E-3D69-4CEA-B105-CC6450AB9382}">
    <text>estimated $30000</text>
  </threadedComment>
  <threadedComment ref="J71" personId="{F3F37E80-8D98-4886-B2B8-D109F7E0B160}" id="{A3BB96E1-4C6E-45DC-8866-026B083A9A99}">
    <text>US$ 299.25 insurance for delivery of goods.</text>
  </threadedComment>
  <threadedComment ref="Z71" personId="{5D0AD752-BC85-4527-AB85-87BD8EB3F252}" id="{E13E2C3C-B4EB-41C7-A057-9BCCF6579FB1}">
    <text>UK - PO 5102 @ US$ 7,146.04</text>
  </threadedComment>
  <threadedComment ref="J72" personId="{F3F37E80-8D98-4886-B2B8-D109F7E0B160}" id="{F4EF13EB-02ED-489F-A6A4-8F52DA657207}">
    <text>payment of shipping services for 6 pcs</text>
  </threadedComment>
  <threadedComment ref="Z72" personId="{5D0AD752-BC85-4527-AB85-87BD8EB3F252}" id="{64FD1270-80C7-487D-B29E-4928F00D06EC}">
    <text>USAID - PO 5089 @ US$ 7,554.95</text>
  </threadedComment>
  <threadedComment ref="AA72" personId="{5D0AD752-BC85-4527-AB85-87BD8EB3F252}" id="{FE1E9556-D1E8-4144-8F22-5B3E0713E6A8}">
    <text>USAID - PO 5089 @ US$ 7,554.95 under 112158</text>
  </threadedComment>
  <threadedComment ref="H74" personId="{754329A1-3DA8-407F-A457-B1F1B671490B}" id="{BEDAE604-9E75-4273-ABED-2E3A36DC5CCC}">
    <text>Includes transportation to palm city</text>
  </threadedComment>
  <threadedComment ref="J74" personId="{754329A1-3DA8-407F-A457-B1F1B671490B}" id="{758AB971-F3B6-45FD-A2A3-299808CECC28}">
    <text>Includes transportation to palm city</text>
  </threadedComment>
  <threadedComment ref="Z74" personId="{5D0AD752-BC85-4527-AB85-87BD8EB3F252}" id="{E31C0EC2-C50B-4400-B28E-C73856826754}">
    <text>Korea - PO 4832 @ US$ 5,835.23
Japan - PO 4704 @ US$ 3,226.18</text>
  </threadedComment>
  <threadedComment ref="Z75" personId="{5D0AD752-BC85-4527-AB85-87BD8EB3F252}" id="{90D3528C-4CA7-4673-B9A8-DBA8E958A201}">
    <text>Japan - PO 4997 @ US$ 11,178.45</text>
  </threadedComment>
  <threadedComment ref="F76" personId="{F3F37E80-8D98-4886-B2B8-D109F7E0B160}" id="{66937AE3-A44C-4EF8-8A94-861D1B6F0A7D}">
    <text>estimated $25000</text>
  </threadedComment>
  <threadedComment ref="Z77" dT="2022-04-11T14:42:47.65" personId="{7AE12B69-D821-4041-852A-6F8509BB156F}" id="{17C0C60B-3239-406A-AFDA-55D48DAED1A3}">
    <text>KfW - @ US$ 335,223.44 transferred from Italy through GLJE 7164218</text>
  </threadedComment>
  <threadedComment ref="H82" dT="2022-03-31T16:16:49.93" personId="{7AE12B69-D821-4041-852A-6F8509BB156F}" id="{9458AB69-1F98-43A0-AA4A-0C1953B835CD}">
    <text>initial amount reflected as per PO 3975</text>
  </threadedComment>
  <threadedComment ref="N85" personId="{F3F37E80-8D98-4886-B2B8-D109F7E0B160}" id="{B2160D66-B0E3-4BEF-AAF9-9096FD5E76D5}">
    <text>amendmend signed on 28 August 17</text>
  </threadedComment>
  <threadedComment ref="Z85" personId="{5D0AD752-BC85-4527-AB85-87BD8EB3F252}" id="{3B6EFAEA-15A6-4FE9-8208-7A4BA4767EDE}">
    <text>KfW - PO 4440 @ US$ 19,133</text>
  </threadedComment>
  <threadedComment ref="Z87" personId="{F3F37E80-8D98-4886-B2B8-D109F7E0B160}" id="{0E2A1075-0130-4DAA-89F9-E19AF8A964B1}">
    <text>GoL - 6498 for retention @ US$ 26,232.50</text>
  </threadedComment>
  <threadedComment ref="F89" personId="{FAC6A755-6961-4D26-AF8D-9B35E9AF48EC}" id="{5A7C6ECB-3D81-4CAA-BEB3-17729604E842}">
    <text xml:space="preserve">200 bins for $95,667 
</text>
  </threadedComment>
  <threadedComment ref="Z99" dT="2022-04-11T15:01:39.23" personId="{7AE12B69-D821-4041-852A-6F8509BB156F}" id="{A591F936-7AC4-4BE8-B424-6571CE93EE92}">
    <text>US$ 29,750 transferred to KfW from Norway through GLJE 7164218</text>
  </threadedComment>
  <threadedComment ref="Z100" dT="2022-04-11T15:01:39.23" personId="{7AE12B69-D821-4041-852A-6F8509BB156F}" id="{B26A35DE-E1A4-4E0B-8B5C-DB825F981BDD}">
    <text>US$ 29,750 transferred to KfW from Norway through GLJE 7164218</text>
  </threadedComment>
  <threadedComment ref="Z101" dT="2022-04-11T15:01:39.23" personId="{7AE12B69-D821-4041-852A-6F8509BB156F}" id="{43E82E20-D2F5-46F3-8AF2-75938665C01A}">
    <text>US$ 29,750 transferred to KfW from Norway through GLJE 7164218</text>
  </threadedComment>
  <threadedComment ref="Z102" dT="2022-04-11T15:01:39.23" personId="{7AE12B69-D821-4041-852A-6F8509BB156F}" id="{AF35D304-AA0F-41C1-833B-4B873A75664B}">
    <text>US$ 29,750 transferred to KfW from Norway through GLJE 7164218</text>
  </threadedComment>
  <threadedComment ref="H105" personId="{5D0AD752-BC85-4527-AB85-87BD8EB3F252}" id="{2181D913-5964-4EA1-8018-0F7A1C744275}">
    <text>100000 allocation shifted to tawergha case (PO 5364)</text>
  </threadedComment>
  <threadedComment ref="J105" personId="{5D0AD752-BC85-4527-AB85-87BD8EB3F252}" id="{2C13C776-671F-43B7-88C1-E9D290AA55B4}">
    <text>100000 allocation shifted to tawergha case (PO 5364)</text>
  </threadedComment>
  <threadedComment ref="Z105" personId="{F3F37E80-8D98-4886-B2B8-D109F7E0B160}" id="{62F853FA-0AF2-431E-9B6E-93AD3768D42A}">
    <text>KfW - GP600439-1 @ US$ 2,700 transferred from Italy Through GLJE 7164218
Korea- GP600439-2 @ US$ 59,900
KfW- GP600439-2 &amp; GP600439-8 @ US$ 60,935.05
Japan- GP600439-3 @ US$ 71,689.49
Norway- GP600439-4 @ US$ 13,468.01</text>
  </threadedComment>
  <threadedComment ref="Z106" personId="{5D0AD752-BC85-4527-AB85-87BD8EB3F252}" id="{C9788ED5-EECA-4B6C-95A3-0B57D24F8F0D}">
    <text>KfW - PO 4409 @ US$ 119,099.78
Denmark - PO 4699 @ US$ 5,565.07
EU - PO 4592 @ US$ 9,250
USAID - PO 4338 @ US$ 245,880.4 transferred from France through GLJE 7686419</text>
  </threadedComment>
  <threadedComment ref="F107" personId="{F79EFED3-A5C9-41ED-9F8C-81F7B0D6F5FF}" id="{5764538A-BEF0-423A-8EF8-6B8854E39ACA}">
    <text>Need to check if there is transport cost under a different PO.</text>
  </threadedComment>
  <threadedComment ref="Z107" dT="2022-04-11T15:32:58.01" personId="{7AE12B69-D821-4041-852A-6F8509BB156F}" id="{AA05E89A-F0DD-4248-8812-EFBC02D738DD}">
    <text>255,036.4 transferred to USAID from Norway through GLJE 7686419</text>
  </threadedComment>
  <threadedComment ref="H111" personId="{754329A1-3DA8-407F-A457-B1F1B671490B}" id="{31C32DD7-4076-431E-BE63-66ACEF707AEE}">
    <text xml:space="preserve">includes shipment by air and sea
</text>
  </threadedComment>
  <threadedComment ref="Z125" personId="{5D0AD752-BC85-4527-AB85-87BD8EB3F252}" id="{2A02723D-4C9F-460C-B67E-1292374D18B0}">
    <text>Korea - PO GP-2 @ US$ 4,914.29
Korea - PO 4792 @ US$ 1,934.01 for transport</text>
  </threadedComment>
  <threadedComment ref="Z128" dT="2022-04-11T14:55:27.85" personId="{7AE12B69-D821-4041-852A-6F8509BB156F}" id="{3AAB664C-5D6B-4BBA-84BD-3E0CE7D0E7DB}">
    <text>Transferred from Italy through GLJE 7164218</text>
  </threadedComment>
  <threadedComment ref="Z131" personId="{5D0AD752-BC85-4527-AB85-87BD8EB3F252}" id="{DF256079-F058-4590-9F6A-E6590CE407D9}">
    <text>France - PO 4754 @ US$ 394,093.35
Canada - PO 4754 @ US$ 82,957.77 
USAID - PO 4754 @ US$ 33,393.57
Japan - PO 5080 @ US$ 17,502.76</text>
  </threadedComment>
  <threadedComment ref="AA131" personId="{5D0AD752-BC85-4527-AB85-87BD8EB3F252}" id="{01FF78E2-F9D0-4E72-8F36-C404FFFCBF7A}">
    <text>Japan - PO 5080 @ US$ 17,502.76 under 112158</text>
  </threadedComment>
  <threadedComment ref="H132" personId="{754329A1-3DA8-407F-A457-B1F1B671490B}" id="{84EAB7CF-1E5C-497B-8079-0BF03F9F4B48}">
    <text>Includes transportation to Palm city
$39.28 for insurance of shipment (non PO voucher 00028950)</text>
  </threadedComment>
  <threadedComment ref="Z132" personId="{5D0AD752-BC85-4527-AB85-87BD8EB3F252}" id="{9EF0B8BD-9777-441D-84B8-7B328C5E0E17}">
    <text>Korea - PO 4832 @ US$ 15,202.31
KfW - PO 5259 @ US$ 9.349.5</text>
  </threadedComment>
  <threadedComment ref="AA132" personId="{5D0AD752-BC85-4527-AB85-87BD8EB3F252}" id="{7A55B340-880C-47BF-9646-AC58603CC14A}">
    <text>KfW - PO 5259 @ US$ 9.349.5 under 112158
EU - PO 5318 @ US$ 9,318.68 under 112158
EU - PO 5344 @ US$ 16,307.69 under 112158</text>
  </threadedComment>
  <threadedComment ref="Z133" personId="{5D0AD752-BC85-4527-AB85-87BD8EB3F252}" id="{FA84C8BD-7376-415D-A3F4-9AC907020BB8}">
    <text>Japan - PO 5528 @ US$ 5,714.5</text>
  </threadedComment>
  <threadedComment ref="J134" personId="{5D0AD752-BC85-4527-AB85-87BD8EB3F252}" id="{F2250816-A61C-477D-9E58-EB2E97AA1D83}">
    <text>$ 118.81  insurance for shipment (non PO voucher-0027332)</text>
  </threadedComment>
  <threadedComment ref="Z134" personId="{5D0AD752-BC85-4527-AB85-87BD8EB3F252}" id="{8A02E0DF-11FB-4B84-94D8-8E24B05C7A3B}">
    <text>Germany (KfW)-PO 5241 @ US$ 6,668.77
USAID-PO 5222 @ US$ 13,076.92</text>
  </threadedComment>
  <threadedComment ref="AA134" personId="{5D0AD752-BC85-4527-AB85-87BD8EB3F252}" id="{05EBFAF3-1B1F-4864-9391-7A3D55D6D179}">
    <text>USAID-PO 5222 @ US$ 13,076.92 under 98720</text>
  </threadedComment>
  <threadedComment ref="Z135" personId="{F3F37E80-8D98-4886-B2B8-D109F7E0B160}" id="{D92F3E54-3842-44F8-BE46-06D10E19147D}">
    <text>Italy - PO 5071 @ US$ 8,615.97
Japan - PO 5632 @ US$ 8,825.09
Japan - PO 5633 @ US$ 34,596.94
UK - PO 6115 @ US$ 900</text>
  </threadedComment>
  <threadedComment ref="AA135" personId="{5D0AD752-BC85-4527-AB85-87BD8EB3F252}" id="{31DF15D2-DBF0-444B-A766-105FCEF8D2B4}">
    <text>Japan - PO 5632 @ US$ 8,825.09 under 112158
Japan - PO 5633 @ US$ 34,596.94 under 112158</text>
  </threadedComment>
  <threadedComment ref="F136" personId="{F3F37E80-8D98-4886-B2B8-D109F7E0B160}" id="{5CA39974-4B1F-4352-BC77-9972396CEDAA}">
    <text>Initially advertised in 2 April 2020. Readvertised in September 2020 for 2 wks.
Readvertised in 6 January 2022 for 3rd time
Readvertised on 18 July 2022</text>
  </threadedComment>
  <threadedComment ref="H136" dT="2021-12-22T15:34:13.36" personId="{5D0AD752-BC85-4527-AB85-87BD8EB3F252}" id="{9F35F88A-4A3E-478E-A153-F86107EA1344}">
    <text>updated engineering estimate</text>
  </threadedComment>
  <threadedComment ref="F137" personId="{F3F37E80-8D98-4886-B2B8-D109F7E0B160}" id="{EC7026B1-E280-4067-812A-5FDD2958BF09}">
    <text>estiamted at $20,000</text>
  </threadedComment>
  <threadedComment ref="F138" personId="{F3F37E80-8D98-4886-B2B8-D109F7E0B160}" id="{4A672D01-03BC-4D8B-ACFA-2508CB7B34E0}">
    <text>estimated at $130,000</text>
  </threadedComment>
  <threadedComment ref="J142" personId="{F3F37E80-8D98-4886-B2B8-D109F7E0B160}" id="{966883A7-D374-4E6C-9A33-42C07836ADE5}">
    <text>formerly =712320+56000</text>
  </threadedComment>
  <threadedComment ref="Z144" dT="2022-04-11T15:08:26.00" personId="{7AE12B69-D821-4041-852A-6F8509BB156F}" id="{E0C8F9B3-861E-458D-8D2D-016A093CA978}">
    <text>US$ 198,410.47 transferred to KfW from USDoS through GLJE 7299501</text>
  </threadedComment>
  <threadedComment ref="Z147" personId="{5D0AD752-BC85-4527-AB85-87BD8EB3F252}" id="{6D1BAAC5-4B5F-4423-82E8-189CAFAECD74}">
    <text>Demark - GP405127-1 (one line) @ US$ 10,416.48</text>
  </threadedComment>
  <threadedComment ref="H150" personId="{754329A1-3DA8-407F-A457-B1F1B671490B}" id="{E1ABC2C6-B302-43CA-8BA3-AA5B5FECBD8B}">
    <text xml:space="preserve">Add cost for transportation once PO is raised
</text>
  </threadedComment>
  <threadedComment ref="J157" personId="{754329A1-3DA8-407F-A457-B1F1B671490B}" id="{C0D151BE-BE10-435E-90B1-25F641268398}">
    <text xml:space="preserve">Includes delivery cost
</text>
  </threadedComment>
  <threadedComment ref="Z158" dT="2022-04-13T10:42:51.64" personId="{7AE12B69-D821-4041-852A-6F8509BB156F}" id="{CCAD8276-CB78-4A41-A8F7-13248FA85C3C}">
    <text>Italy - US$ 173,303.93 transferred from UK through GLJE 8676295</text>
  </threadedComment>
  <threadedComment ref="Z161" dT="2022-08-18T11:54:28.31" personId="{5D0AD752-BC85-4527-AB85-87BD8EB3F252}" id="{D9F6A83E-1558-4718-BE14-2F7F38744A42}">
    <text>Netherlands - PO 6745 @ US$ 22,695.11 for retention</text>
  </threadedComment>
  <threadedComment ref="J163" personId="{5D0AD752-BC85-4527-AB85-87BD8EB3F252}" id="{3812C4CE-F8B7-403E-9C39-6361B2881E13}">
    <text>1040.86 insurance for shipment of 4 from Belgium to Tripoli</text>
  </threadedComment>
  <threadedComment ref="Z163" personId="{F3F37E80-8D98-4886-B2B8-D109F7E0B160}" id="{B5A8AF3F-BDE8-4D1D-91CD-7865862970B6}">
    <text>Norway - PO 5188 @ US$ 81,619.26</text>
  </threadedComment>
  <threadedComment ref="AA163" personId="{5D0AD752-BC85-4527-AB85-87BD8EB3F252}" id="{98E6CEF3-4762-4348-B36A-4B2414D8C7C9}">
    <text>Japan - PO 5091 @ US$ 20,562.29 under 112158</text>
  </threadedComment>
  <threadedComment ref="F166" personId="{5D0AD752-BC85-4527-AB85-87BD8EB3F252}" id="{A3DA1F11-4FF4-4FEC-8DA3-8086259D2EA9}">
    <text>initial estimate $ 1,500,000</text>
  </threadedComment>
  <threadedComment ref="J167" personId="{5D0AD752-BC85-4527-AB85-87BD8EB3F252}" id="{D5792E99-A953-4D7F-B3C6-E804E423E573}">
    <text>cost of 1 out of 9 garbage trucks</text>
  </threadedComment>
  <threadedComment ref="Z167" personId="{5D0AD752-BC85-4527-AB85-87BD8EB3F252}" id="{3A1DF75C-DAD7-490D-890E-D76016CA2B2D}">
    <text>Korea - PO 4772 @ US$ 8,883.04</text>
  </threadedComment>
  <threadedComment ref="Y174" personId="{5D0AD752-BC85-4527-AB85-87BD8EB3F252}" id="{AF2FD5D2-765D-4FE8-911D-5560B2CABCD4}">
    <text xml:space="preserve">Canada - GP405110-1 @ US$ 614,020.9
MOFA - GP405110-1 @ US$ 151,553.73
USAID - GP405110-3 @ US$ 12,950
</text>
  </threadedComment>
  <threadedComment ref="Z174" personId="{5D0AD752-BC85-4527-AB85-87BD8EB3F252}" id="{82145E09-CC6D-4C20-B09F-5D496B547C43}">
    <text xml:space="preserve">USAID - GP405110-3 @ US$ 12,950 under 112158
</text>
  </threadedComment>
  <threadedComment ref="AA174" personId="{5D0AD752-BC85-4527-AB85-87BD8EB3F252}" id="{E5CFAFB8-1D69-4024-A18B-9E6FFFE9AC46}">
    <text xml:space="preserve">USAID - GP405110-3 @ US$ 12,950 under 112158
</text>
  </threadedComment>
  <threadedComment ref="Z201" dT="2022-03-29T10:23:03.75" personId="{7AE12B69-D821-4041-852A-6F8509BB156F}" id="{850CA377-70F0-4DC3-B9BF-ADA1104C6FAE}">
    <text>Italy - PO 5895 @ US$ 10,245.5 for retention</text>
  </threadedComment>
  <threadedComment ref="Z202" dT="2022-03-29T10:23:03.75" personId="{7AE12B69-D821-4041-852A-6F8509BB156F}" id="{2335A232-6019-456A-93BD-864C4C3FD40E}">
    <text>Italy - PO 5895 @ US$ 10,245.5 for retention</text>
  </threadedComment>
  <threadedComment ref="Z203" dT="2022-03-29T10:23:03.75" personId="{7AE12B69-D821-4041-852A-6F8509BB156F}" id="{F4EE91C1-E96F-4D7F-83B9-C9DD22B3EFE7}">
    <text>Italy - PO 5895 @ US$ 10,245.5 for retention</text>
  </threadedComment>
  <threadedComment ref="R278" personId="{5D0AD752-BC85-4527-AB85-87BD8EB3F252}" id="{E1CBC6A1-F8CC-47C3-8165-46C56DA024E8}">
    <text>completed in march but substantial handover document availed near end of 2019</text>
  </threadedComment>
  <threadedComment ref="R279" personId="{5D0AD752-BC85-4527-AB85-87BD8EB3F252}" id="{B44860E9-C2F0-49F1-A5AC-C0E42FD732C8}">
    <text>completed in march but substantial handover document availed near end of 2019</text>
  </threadedComment>
  <threadedComment ref="R280" personId="{5D0AD752-BC85-4527-AB85-87BD8EB3F252}" id="{82E0D079-147E-426B-95A6-5019481E95DC}">
    <text>completed in march but substantial handover document availed near end of 2019</text>
  </threadedComment>
  <threadedComment ref="Z281" dT="2022-06-01T09:05:40.88" personId="{7AE12B69-D821-4041-852A-6F8509BB156F}" id="{4DF7AD44-3ACB-46A6-94EB-B03E897B3AB0}">
    <text>KfW - US$ 4,845.20 transferred from USAID through GLJE 8630159. This is for PO 4982 for 3 schools Omar Ebn Al-Khatab, Al-Nidhal, and Ebn Al-Hasan Schools</text>
  </threadedComment>
  <threadedComment ref="Z282" dT="2022-06-01T09:05:40.88" personId="{7AE12B69-D821-4041-852A-6F8509BB156F}" id="{AE7B184D-6AC9-44BC-A48B-249845C6A252}">
    <text>KfW - US$ 4,845.20 transferred from USAID through GLJE 8630159. This is for PO 4982 for 3 schools Omar Ebn Al-Khatab, Al-Nidhal, and Ebn Al-Hasan Schools</text>
  </threadedComment>
  <threadedComment ref="Z283" dT="2022-06-01T09:05:40.88" personId="{7AE12B69-D821-4041-852A-6F8509BB156F}" id="{3E40126A-2C97-4DFD-B71C-A04B72E4F695}">
    <text>KfW - US$ 4,845.20 transferred from USAID through GLJE 8630159. This is for PO 4982 for 3 schools Omar Ebn Al-Khatab, Al-Nidhal, and Ebn Al-Hasan Schools</text>
  </threadedComment>
  <threadedComment ref="Z300" dT="2022-04-11T14:42:47.65" personId="{7AE12B69-D821-4041-852A-6F8509BB156F}" id="{026CABEF-6D95-4AF2-8C8E-14CB8F77E01D}">
    <text>KfW - @ US$ 335,223.44 transferred from Italy through GLJE 7164218</text>
  </threadedComment>
  <threadedComment ref="Z313" personId="{5D0AD752-BC85-4527-AB85-87BD8EB3F252}" id="{4F6BBBC0-949D-4BF7-8A5E-414AEA940880}">
    <text>Total expenditure of Trucks procurement US$ 678,696.51 shifted to KfW from GoL through GLJE 0009128005
Korea - PO 6071 @ US$ 52,753.94 divided equally between 2</text>
  </threadedComment>
  <threadedComment ref="H316" personId="{5D0AD752-BC85-4527-AB85-87BD8EB3F252}" id="{C1C05FDB-CA92-4C11-9270-CD21F792D481}">
    <text>engineering estimate</text>
  </threadedComment>
  <threadedComment ref="H317" personId="{5D0AD752-BC85-4527-AB85-87BD8EB3F252}" id="{498E6398-5875-4D9C-9C08-9A4A2869FD13}">
    <text>engineering estimate</text>
  </threadedComment>
  <threadedComment ref="H318" personId="{5D0AD752-BC85-4527-AB85-87BD8EB3F252}" id="{E33557F7-EC1F-4534-B24C-4779B3BF81A0}">
    <text>engineering estimate</text>
  </threadedComment>
  <threadedComment ref="J319" dT="2022-08-24T10:55:04.70" personId="{5D0AD752-BC85-4527-AB85-87BD8EB3F252}" id="{D9869F11-F001-4360-A936-5FC421A80696}">
    <text>10,707.45 request submitted on 22 August 2022</text>
  </threadedComment>
  <threadedComment ref="H320" personId="{F3F37E80-8D98-4886-B2B8-D109F7E0B160}" id="{52E8A1A4-F1A8-4DCB-97A4-C7AEAC4DFD8D}">
    <text>76.59 for insurance of shipment (non po voucher 00028950)</text>
  </threadedComment>
  <threadedComment ref="Z320" personId="{5D0AD752-BC85-4527-AB85-87BD8EB3F252}" id="{67E3F6AE-4012-493D-93EC-ECC99D92CF12}">
    <text>USAID - US$ 452,877.5 total cost of 8000m cable transferred to Repsol through GLJE 8282350
EU - PO 5403 for shipment</text>
  </threadedComment>
  <threadedComment ref="Z323" personId="{5D0AD752-BC85-4527-AB85-87BD8EB3F252}" id="{93E0F1D0-D269-43B0-9AB8-A62D85D86353}">
    <text>EU - PO 5365 @ US$ 285,344.73
Japan - PO 5334 @ US$ 54,651.42</text>
  </threadedComment>
  <threadedComment ref="Z324" dT="2022-03-30T17:06:27.74" personId="{7AE12B69-D821-4041-852A-6F8509BB156F}" id="{52FD1D51-2ADE-4661-AEF7-F0ECBD12CAD4}">
    <text>KfW - @ US$ 95,753.84 payment reversed from Norway through GLJE 9141924</text>
  </threadedComment>
  <threadedComment ref="H328" personId="{5D0AD752-BC85-4527-AB85-87BD8EB3F252}" id="{AD24529A-CF5E-483B-B1E9-C9C8E2624392}">
    <text>VID 29492 @ $750 for custom clearance of Benghazi Solar Shipment</text>
  </threadedComment>
  <threadedComment ref="Z328" personId="{5D0AD752-BC85-4527-AB85-87BD8EB3F252}" id="{EBB3DEC9-28FF-430A-B155-7576E9E2EEEA}">
    <text>Libya - PO GP600788-4 @ US$ 55,202.70</text>
  </threadedComment>
  <threadedComment ref="J329" dT="2022-08-24T10:34:51.90" personId="{5D0AD752-BC85-4527-AB85-87BD8EB3F252}" id="{9E808CAF-0FBE-45E4-81E5-91A63E1D5125}">
    <text>37.008.84 payment request submitted on 17 August 2022</text>
  </threadedComment>
  <threadedComment ref="Z329" dT="2021-11-19T12:13:39.89" personId="{7AE12B69-D821-4041-852A-6F8509BB156F}" id="{E2C60D3E-0499-4402-AF01-61218D87BED0}">
    <text>$228,842.70 shifted from Norway to KfW through GLJE 0009128005
Therefore Norway contribution becomes $141,291.3</text>
  </threadedComment>
  <threadedComment ref="H334" personId="{5D0AD752-BC85-4527-AB85-87BD8EB3F252}" id="{D0BFD292-2952-4412-85D2-CE808108B3FD}">
    <text>$16633.42 shipment cost of 3 ICUs to Derna 
EUR 3250 shipment of 1 regular to Derna
VID 29450 @ $250 for custom clearance of 2 ICU ambulances
VID 29451 @ $200 for custom clearance of 1 ICU ambulance</text>
  </threadedComment>
  <threadedComment ref="Z336" personId="{5D0AD752-BC85-4527-AB85-87BD8EB3F252}" id="{35B91E12-20B5-4491-9D77-EF029978D54C}">
    <text>Total expenditure of Trucks procurement US$ 678,696.51 shifted to KfW from GoL through GLJE 0009128005
Korea - PO 6071 @ US$ 52,753.94 divided equally between 2</text>
  </threadedComment>
  <threadedComment ref="H337" personId="{5D0AD752-BC85-4527-AB85-87BD8EB3F252}" id="{C6827F5D-00FE-4F4A-923B-B390C622DEF8}">
    <text>shipment cost 11538.35</text>
  </threadedComment>
  <threadedComment ref="Z337" personId="{5D0AD752-BC85-4527-AB85-87BD8EB3F252}" id="{7DDEF349-9EE8-41B2-97E6-0E66C200EF75}">
    <text>Korea - PO 5823 @ US$ 11,538.35</text>
  </threadedComment>
  <threadedComment ref="AA337" personId="{5D0AD752-BC85-4527-AB85-87BD8EB3F252}" id="{118ED1DE-380A-42E7-8098-1A516625E3E2}">
    <text>Korea - PO 5823 @ US$ 11,538.35 under 112158</text>
  </threadedComment>
  <threadedComment ref="H338" personId="{F3F37E80-8D98-4886-B2B8-D109F7E0B160}" id="{258649A1-0370-4161-971D-EE078E76592A}">
    <text>$6,853.35 for shipment</text>
  </threadedComment>
  <threadedComment ref="Z338" personId="{5D0AD752-BC85-4527-AB85-87BD8EB3F252}" id="{AF3EF435-FB14-4436-9093-2A1EB188DC17}">
    <text>KfW - PO 5832 @ US$ 6,853.35</text>
  </threadedComment>
  <threadedComment ref="AA338" personId="{5D0AD752-BC85-4527-AB85-87BD8EB3F252}" id="{BFC67385-1017-44CB-9960-8E541F0D2D37}">
    <text>KfW - PO 5832 @ US$ 6,853.35 under 112158</text>
  </threadedComment>
  <threadedComment ref="Z339" dT="2021-10-01T09:47:00.58" personId="{7AE12B69-D821-4041-852A-6F8509BB156F}" id="{BEE3AE9E-29CA-4068-A698-1D0C4A9B6C99}">
    <text>Norway - PO 6248 @ US$ 11,459.7</text>
  </threadedComment>
  <threadedComment ref="N340" dT="2022-06-22T12:04:04.74" personId="{7AE12B69-D821-4041-852A-6F8509BB156F}" id="{C1CE1C9E-12D2-4ADB-A614-82EC11DACC9B}">
    <text>typo in contract as March 22 2022, Anees has email correspondence</text>
  </threadedComment>
  <threadedComment ref="Z341" personId="{5D0AD752-BC85-4527-AB85-87BD8EB3F252}" id="{C538D2C6-0FE8-4060-A1B0-24FADF296846}">
    <text>90% payment of US$  110,501.19 shifted to SUSC from GoL through GLJE 0009136820</text>
  </threadedComment>
  <threadedComment ref="H344" personId="{F3F37E80-8D98-4886-B2B8-D109F7E0B160}" id="{0DF7D297-10FF-4C1D-A93C-370CF36E7017}">
    <text>$400 for custom clearance cost</text>
  </threadedComment>
  <threadedComment ref="J344" personId="{5D0AD752-BC85-4527-AB85-87BD8EB3F252}" id="{545BF82B-ECC8-4AB9-BEB3-961E5D1B1FB7}">
    <text>$400 custom clearance under non PO VID 00029356 (processed on 28 July 20 for payment)</text>
  </threadedComment>
  <threadedComment ref="Z344" dT="2022-03-29T10:11:14.56" personId="{7AE12B69-D821-4041-852A-6F8509BB156F}" id="{3203C64E-2E8F-44DF-9557-CE415133FFCE}">
    <text>MOFA - PO 5615 @ US$ 81224.1
EU - US$ 401,781.64 transferred from KfW through GLJE 8631034 for trucks</text>
  </threadedComment>
  <threadedComment ref="Z345" personId="{F3F37E80-8D98-4886-B2B8-D109F7E0B160}" id="{122C5A19-5727-4D2F-9E1B-DA83433EF654}">
    <text>USAID- PO 5408 payment @ US$ 43,696.37 transferred from Japan through GLJE 8353473</text>
  </threadedComment>
  <threadedComment ref="H346" personId="{F3F37E80-8D98-4886-B2B8-D109F7E0B160}" id="{2E7425D6-BA27-4E74-8318-8B10E089D61F}">
    <text>$411 demurrage cost on shipping under non PO voucher 00028902
Rohan:
$500 customs clearance cost under non PO voucher 00029019</text>
  </threadedComment>
  <threadedComment ref="H348" personId="{F3F37E80-8D98-4886-B2B8-D109F7E0B160}" id="{3DD85C57-C225-4C6E-AD03-D4886492B72D}">
    <text>$380.72 for customs with non PO voucher 29194</text>
  </threadedComment>
  <threadedComment ref="H349" personId="{F3F37E80-8D98-4886-B2B8-D109F7E0B160}" id="{C5740367-F3C6-4282-BF0D-2B7E0A30C22E}">
    <text>$542.8 for customs with non PO voucher 00029200</text>
  </threadedComment>
  <threadedComment ref="H350" personId="{5D0AD752-BC85-4527-AB85-87BD8EB3F252}" id="{ED36CF4A-2516-4532-9720-558257119FFD}">
    <text>US$ 150 under non PO VID 30344 for customs clearance</text>
  </threadedComment>
  <threadedComment ref="Z350" personId="{5D0AD752-BC85-4527-AB85-87BD8EB3F252}" id="{468478D3-0494-4229-9BE8-CB7480F20848}">
    <text>GoL- PO 6065 @ US$ 18,048.23
SUSC - VID 30344 @ US$ 150</text>
  </threadedComment>
  <threadedComment ref="Z351" personId="{F3F37E80-8D98-4886-B2B8-D109F7E0B160}" id="{7E817520-5F52-4D19-80DF-2448D9C7044B}">
    <text>KfW- GP405177-2 @ US$ 11,848.34</text>
  </threadedComment>
  <threadedComment ref="Z353" personId="{5D0AD752-BC85-4527-AB85-87BD8EB3F252}" id="{4D22D2F2-2BDD-4546-8E66-E3CDA000D480}">
    <text>USAID - US$ 452,877.5 total cost of 8000m cable transferred to Repsol through GLJE 8282350
USAID - PO 5331 for shipment @ US$ 7,000 transferred from Japan through GLJE 8353473</text>
  </threadedComment>
  <threadedComment ref="H354" personId="{5D0AD752-BC85-4527-AB85-87BD8EB3F252}" id="{1BCE86C2-0051-4EB7-ACE4-D68BACB6112D}">
    <text>US$ 1,200 for transportation
2,982.33 is USD amount for Hydraulic Cranes. LYD amount is LYD 4,220 paid via VID 28806.</text>
  </threadedComment>
  <threadedComment ref="Z354" personId="{5D0AD752-BC85-4527-AB85-87BD8EB3F252}" id="{C1E2702F-A07F-4175-9721-8FBD436DCDAA}">
    <text>UK- PO 6115 @ US$ 1,200</text>
  </threadedComment>
  <threadedComment ref="H359" dT="2022-06-22T15:05:31.98" personId="{7AE12B69-D821-4041-852A-6F8509BB156F}" id="{BA12F197-8021-4E09-A0F6-E159E7638C47}">
    <text>Previous contract value US$ 248,854</text>
  </threadedComment>
  <threadedComment ref="N359" dT="2022-07-07T09:06:24.11" personId="{7AE12B69-D821-4041-852A-6F8509BB156F}" id="{A11E9816-7D4C-4708-A6F0-AC8A524ABA25}">
    <text>previous contract signing date 6 Dec 2020 which was cancelled.</text>
  </threadedComment>
  <threadedComment ref="N360" dT="2021-10-01T10:58:37.20" personId="{7AE12B69-D821-4041-852A-6F8509BB156F}" id="{26C35C38-FAC2-45F8-9E08-77C53C8F0BEA}">
    <text>this contract was terminated on 24 Sep 2021</text>
  </threadedComment>
  <threadedComment ref="Z362" dT="2022-08-03T08:40:33.55" personId="{7AE12B69-D821-4041-852A-6F8509BB156F}" id="{F5AEAA00-EF24-4143-8A53-9CC1C89A48CE}">
    <text>SUSC - VID 30419 @ US$ 1,335 for custom clearance</text>
  </threadedComment>
  <threadedComment ref="Z365" personId="{5D0AD752-BC85-4527-AB85-87BD8EB3F252}" id="{01909DEA-0CC0-4557-8ECD-B632BA17A745}">
    <text>SUSC - PO 6064 @ US$ 18,363.61</text>
  </threadedComment>
  <threadedComment ref="Z365" dT="2021-09-27T10:20:04.51" personId="{7AE12B69-D821-4041-852A-6F8509BB156F}" id="{A1C51B55-50C3-451A-82D3-2E39AA8D718D}" parentId="{01909DEA-0CC0-4557-8ECD-B632BA17A745}">
    <text>Italy - PO 6250 @ US$ 1,292.03</text>
  </threadedComment>
  <threadedComment ref="H369" personId="{5D0AD752-BC85-4527-AB85-87BD8EB3F252}" id="{0BF42295-4C08-4116-BC39-14C861C1ECBA}">
    <text>34,251 MCR for WFP-UNHRD (sewage truck, water tankers, sewer cleaner)</text>
  </threadedComment>
  <threadedComment ref="H369" dT="2021-12-16T12:03:47.58" personId="{7AE12B69-D821-4041-852A-6F8509BB156F}" id="{81566DFA-49DC-4233-9DB3-10BC11DC35B2}" parentId="{0BF42295-4C08-4116-BC39-14C861C1ECBA}">
    <text>55.276.2 shipment cost for 1 sewage truck and 2 water tankers</text>
  </threadedComment>
  <threadedComment ref="J369" personId="{5D0AD752-BC85-4527-AB85-87BD8EB3F252}" id="{DF3FB301-B206-4F0B-A13B-CE09CBB35505}">
    <text>27,144.79 actual cost of MCR for WFP-UNHRD (sewage truck, water tankers, sewer cleaner)</text>
  </threadedComment>
  <threadedComment ref="H370" personId="{5D0AD752-BC85-4527-AB85-87BD8EB3F252}" id="{78B25767-6CA1-40B7-A22D-FA459D795E2C}">
    <text>34,251 MCR for WFP-UNHRD (sewage truck, water tankers, sewer cleaner)</text>
  </threadedComment>
  <threadedComment ref="H370" dT="2021-12-16T12:03:47.58" personId="{7AE12B69-D821-4041-852A-6F8509BB156F}" id="{5A5991B7-C78B-4FDF-B5EC-7DDF1A062F30}" parentId="{78B25767-6CA1-40B7-A22D-FA459D795E2C}">
    <text>55.276.2 shipment cost for 1 sewage truck and 2 water tankers</text>
  </threadedComment>
  <threadedComment ref="J370" personId="{5D0AD752-BC85-4527-AB85-87BD8EB3F252}" id="{5BC73A05-2640-4BE1-B8C3-99E80A0A17C1}">
    <text>27,144.79 actual cost of MCR for WFP-UNHRD (sewage truck, water tankers, sewer cleaner)</text>
  </threadedComment>
  <threadedComment ref="H371" personId="{5D0AD752-BC85-4527-AB85-87BD8EB3F252}" id="{7A959316-4000-48A7-95CB-378D821FE44C}">
    <text>34,251 MCR for WFP-UNHRD (sewage truck, water tankers, sewer cleaner)</text>
  </threadedComment>
  <threadedComment ref="J371" personId="{5D0AD752-BC85-4527-AB85-87BD8EB3F252}" id="{1214720D-E7BF-4312-A164-14039ABC9BC7}">
    <text>27,144.79 actual cost of MCR for WFP-UNHRD (sewage truck, water tankers, sewer cleaner)</text>
  </threadedComment>
  <threadedComment ref="Z371" personId="{5D0AD752-BC85-4527-AB85-87BD8EB3F252}" id="{E80D01F3-2D6C-4566-9164-E29C9CC1E494}">
    <text>Netherlands - PO 6162 @ US$ 11,184.44</text>
  </threadedComment>
  <threadedComment ref="Z373" dT="2022-06-01T09:14:47.72" personId="{7AE12B69-D821-4041-852A-6F8509BB156F}" id="{BB493693-77EA-41AB-9DEE-5E4BFE978B6E}">
    <text>EU - US$ 104,213.85 transferred from KfW through GLJE 8631034</text>
  </threadedComment>
  <threadedComment ref="J375" dT="2022-08-24T10:31:31.50" personId="{5D0AD752-BC85-4527-AB85-87BD8EB3F252}" id="{DB2CFF8E-BE4B-4664-BDA3-1D15B2FFDD39}">
    <text>18,772.14 processed for payment on 17 Aug 2022</text>
  </threadedComment>
  <threadedComment ref="H377" personId="{5D0AD752-BC85-4527-AB85-87BD8EB3F252}" id="{C64D9D16-A064-4809-B065-278EBF4F96B5}">
    <text>23775.43 additiional as amendment</text>
  </threadedComment>
  <threadedComment ref="Z377" personId="{5D0AD752-BC85-4527-AB85-87BD8EB3F252}" id="{76A6CB1C-DC03-4771-ADFF-4942D786A0CA}">
    <text>Korea - PO 6094 @ US$ 23,775.43</text>
  </threadedComment>
  <threadedComment ref="Z379" dT="2022-06-01T14:45:40.79" personId="{7AE12B69-D821-4041-852A-6F8509BB156F}" id="{1D36320A-CDD9-4458-A37D-7C994AEBA1EF}">
    <text>Italy - PO 6610 @ US$ 14,719.06 for amendment for extra works</text>
  </threadedComment>
  <threadedComment ref="Z380" dT="2022-04-13T11:03:27.71" personId="{7AE12B69-D821-4041-852A-6F8509BB156F}" id="{330491A2-61F7-40C7-B07D-F79F0A05FF82}">
    <text>EU - US$ 106,232.22 transerred from Netherlands through GLJE 8818340</text>
  </threadedComment>
  <threadedComment ref="R381" personId="{5D0AD752-BC85-4527-AB85-87BD8EB3F252}" id="{C2FE0F18-7FF6-4DC9-B833-1E5124ED059B}">
    <text>taking over inspection date</text>
  </threadedComment>
  <threadedComment ref="Z384" personId="{5D0AD752-BC85-4527-AB85-87BD8EB3F252}" id="{9AE3E707-B716-41E1-816A-A04C62DA6433}">
    <text>SUSC - VID 30344 @ US$ 824.13</text>
  </threadedComment>
  <threadedComment ref="Z385" personId="{5D0AD752-BC85-4527-AB85-87BD8EB3F252}" id="{85CE7A6E-9189-4054-8DD0-8195663A046A}">
    <text>France - PO 5987 @ US$ 17,185.5</text>
  </threadedComment>
  <threadedComment ref="AA385" personId="{5D0AD752-BC85-4527-AB85-87BD8EB3F252}" id="{5C6C02D3-1EE8-4846-AE51-41D5A7CFF0A0}">
    <text>France - PO 5987 @ US$ 17,185.5 under 98720</text>
  </threadedComment>
  <threadedComment ref="Z386" personId="{5D0AD752-BC85-4527-AB85-87BD8EB3F252}" id="{3AA067DE-AA32-4D49-BC9E-F5CBFCA469C8}">
    <text>SUSC - VID 30341 @ US$ 750</text>
  </threadedComment>
  <threadedComment ref="H387" personId="{5D0AD752-BC85-4527-AB85-87BD8EB3F252}" id="{7BE30662-DA4E-4FEE-9247-7CCED6A129DD}">
    <text>VID 29455 @ $500 for custom clearance of 3 pumps
$19,818.54 for shipment
$157.29 additional storage cost</text>
  </threadedComment>
  <threadedComment ref="Z387" personId="{5D0AD752-BC85-4527-AB85-87BD8EB3F252}" id="{D5F403A6-04F6-4527-888E-8052B6E19EC9}">
    <text>Germany (KfW)-PO 5635 @ US$ 19,818.54</text>
  </threadedComment>
  <threadedComment ref="H388" personId="{5D0AD752-BC85-4527-AB85-87BD8EB3F252}" id="{054CC564-C244-433A-AED7-701BF82947AF}">
    <text>$7,563.10 increment through amendment on 3 Nov 2020</text>
  </threadedComment>
  <threadedComment ref="N390" dT="2021-10-01T10:59:05.71" personId="{7AE12B69-D821-4041-852A-6F8509BB156F}" id="{BF16A3D8-247D-4F61-8555-488319409CB2}">
    <text>contract was terminated as informed by PU on 8 Oct 2021</text>
  </threadedComment>
  <threadedComment ref="Z392" personId="{5D0AD752-BC85-4527-AB85-87BD8EB3F252}" id="{A1403A5C-112F-40E3-9868-3E1DEA96F3B3}">
    <text>USAID - US$ 452,877.5 total cost of 8000m cable transferred to Repsol through GLJE 8282350
USAID - PO 5331 for shipment @ US$ 5,700 transferred from Japan through GLJE 8353473</text>
  </threadedComment>
  <threadedComment ref="L396" personId="{5D0AD752-BC85-4527-AB85-87BD8EB3F252}" id="{29341596-BFDC-4D54-8EB5-139639895582}">
    <text>e-req pending</text>
  </threadedComment>
  <threadedComment ref="Z398" dT="2022-04-13T12:11:27.08" personId="{7AE12B69-D821-4041-852A-6F8509BB156F}" id="{3F59C7F5-2FA4-4280-92FF-37DAB13EDB76}">
    <text>US$ 145,824 shifted to PBF project from Italy through GLJE 9140566</text>
  </threadedComment>
  <threadedComment ref="H400" personId="{5D0AD752-BC85-4527-AB85-87BD8EB3F252}" id="{9C666D44-10B7-444F-AF4B-4E9872B149C5}">
    <text>10,000 Management support cost
16,179.16 shipment</text>
  </threadedComment>
  <threadedComment ref="H402" personId="{5D0AD752-BC85-4527-AB85-87BD8EB3F252}" id="{813B69C8-AA1D-45C0-857C-FD62679DDA20}">
    <text>10,000 Management support cost
24,268.74 shipment</text>
  </threadedComment>
  <threadedComment ref="H403" dT="2022-06-23T15:27:08.71" personId="{7AE12B69-D821-4041-852A-6F8509BB156F}" id="{CC5E4961-CB64-41F2-84CD-813A665A613A}">
    <text>shipement estimated @15% of equipment cost</text>
  </threadedComment>
  <threadedComment ref="H404" personId="{5D0AD752-BC85-4527-AB85-87BD8EB3F252}" id="{4922DA7F-5800-4117-8256-A4A53BA1583E}">
    <text>10,000 Management support cost
26, 076.17 shipment</text>
  </threadedComment>
  <threadedComment ref="H405" personId="{5D0AD752-BC85-4527-AB85-87BD8EB3F252}" id="{AA4BF593-F3C1-430D-A451-774E1A5B4620}">
    <text>8,367 Management support cost
18, 419.5 shipment</text>
  </threadedComment>
  <threadedComment ref="L407" personId="{5D0AD752-BC85-4527-AB85-87BD8EB3F252}" id="{444FF925-4C3E-4FDF-ACD2-4699208D5EE6}">
    <text>Technical docs submitted on 19 Oct 2020. e-req shared on 4 Nov 2020</text>
  </threadedComment>
  <threadedComment ref="L408" personId="{5D0AD752-BC85-4527-AB85-87BD8EB3F252}" id="{BD111A98-94D0-4EBA-A60A-0503E9FCB886}">
    <text>endorsed specs submitted on 28 Jan 2021. E-req issuance pending, put under priority 2</text>
  </threadedComment>
  <threadedComment ref="H410" personId="{5D0AD752-BC85-4527-AB85-87BD8EB3F252}" id="{ABDE85C2-755C-4474-A3AB-BE8B16B689DE}">
    <text>10,000 Management support cost
17,969.04 shipment</text>
  </threadedComment>
  <threadedComment ref="F412" personId="{5D0AD752-BC85-4527-AB85-87BD8EB3F252}" id="{1BC7F327-2752-4FC7-9127-1A15D35D867B}">
    <text>Estimated amount $406,585. Cancelled as this was prefab.</text>
  </threadedComment>
  <threadedComment ref="H413" personId="{5D0AD752-BC85-4527-AB85-87BD8EB3F252}" id="{EE1C340B-45A1-4046-A7D7-11DD474FB441}">
    <text>estimated cost for 1 ambulance and shipping. This was delivered from stock present at Palm City at the time.</text>
  </threadedComment>
  <threadedComment ref="Z414" personId="{5D0AD752-BC85-4527-AB85-87BD8EB3F252}" id="{67A343C1-2E09-4B6C-A428-9B2E1230E405}">
    <text>KfW - GP600439-8 @ US$ 47,015.05</text>
  </threadedComment>
  <threadedComment ref="Z418" personId="{5D0AD752-BC85-4527-AB85-87BD8EB3F252}" id="{592CABD3-6FB2-402B-BBA2-BDA4EFC035D7}">
    <text>KfW - PO 5789 @ US$ 8,055.95
Netherlands - VID 30587 @ US$ 3083.90</text>
  </threadedComment>
  <threadedComment ref="H421" personId="{5D0AD752-BC85-4527-AB85-87BD8EB3F252}" id="{E76107CE-D922-469C-8A09-5E787E9BA270}">
    <text>22858.5 MCR for WFP-UNHRD (suction truck, water tanker and pesticide sprayers)</text>
  </threadedComment>
  <threadedComment ref="H421" dT="2021-12-16T12:08:27.64" personId="{7AE12B69-D821-4041-852A-6F8509BB156F}" id="{93BE1409-6D6C-4EB0-A9B4-62F260346341}" parentId="{E76107CE-D922-469C-8A09-5E787E9BA270}">
    <text>36,850.8/2 shipment cost for 1 sewage truck and 1 water tanker</text>
  </threadedComment>
  <threadedComment ref="J421" personId="{5D0AD752-BC85-4527-AB85-87BD8EB3F252}" id="{5DCF6C0C-B6F8-43AB-BDD5-B575F6BB79B9}">
    <text>20,412 actual cost of MCR for WFP-UNHRD (sewage truck, water tanker, pesticide sprayers)</text>
  </threadedComment>
  <threadedComment ref="H422" personId="{5D0AD752-BC85-4527-AB85-87BD8EB3F252}" id="{F72AC8C6-D474-4230-920E-B2AFF81F6C80}">
    <text>22858.5 MCR for WFP-UNHRD (suction truck, water tanker and pesticide sprayers)</text>
  </threadedComment>
  <threadedComment ref="H422" dT="2021-12-16T12:08:27.64" personId="{7AE12B69-D821-4041-852A-6F8509BB156F}" id="{7C48C2C4-C683-45F4-A4E0-95B67BEAACA1}" parentId="{F72AC8C6-D474-4230-920E-B2AFF81F6C80}">
    <text>36,850.8/2 shipment cost for 1 sewage truck and 1 water tanker</text>
  </threadedComment>
  <threadedComment ref="J422" personId="{5D0AD752-BC85-4527-AB85-87BD8EB3F252}" id="{619285F3-2765-4CEF-BDD9-45B347551AFD}">
    <text>20,412 actual cost of MCR for WFP-UNHRD (sewage truck, water tanker, pesticide sprayers)</text>
  </threadedComment>
  <threadedComment ref="H423" personId="{5D0AD752-BC85-4527-AB85-87BD8EB3F252}" id="{5017D75B-5AE4-46D1-B1CF-8222C4DB67AB}">
    <text>22858.5 MCR for WFP-UNHRD (suction truck, water tanker and pesticide sprayers)</text>
  </threadedComment>
  <threadedComment ref="J423" personId="{5D0AD752-BC85-4527-AB85-87BD8EB3F252}" id="{D59E8F91-515F-4B0C-8C8E-ACE75D26784A}">
    <text>20,412 actual cost of MCR for WFP-UNHRD (sewage truck, water tanker, pesticide sprayers)</text>
  </threadedComment>
  <threadedComment ref="Z424" dT="2022-04-07T15:10:49.61" personId="{7AE12B69-D821-4041-852A-6F8509BB156F}" id="{F118B21C-8A00-4EAB-827B-918F2F3A7D7E}">
    <text>US$ 130,000 contributioin from RFF</text>
  </threadedComment>
  <threadedComment ref="Z426" personId="{5D0AD752-BC85-4527-AB85-87BD8EB3F252}" id="{C177BD23-C5BE-41EE-9FAE-6D48B43CBDD9}">
    <text>GoL - @ US$ 200,000
Italy - @ US$ 160,299.64
Italy - PO 6762 @ US$ 54,000 for amendment</text>
  </threadedComment>
  <threadedComment ref="Z428" personId="{5D0AD752-BC85-4527-AB85-87BD8EB3F252}" id="{21AFE829-9971-4608-ACB2-487C63464E96}">
    <text>Japan - PO 5549 @ US$ 249,754.05
USAID - US$ 489,151.94 trasferred from KfW through GLJE 8353473
EU - US$ 36,347.75 transferred from KfW through GLJE 8631034</text>
  </threadedComment>
  <threadedComment ref="Z429" dT="2022-03-30T16:24:23.15" personId="{7AE12B69-D821-4041-852A-6F8509BB156F}" id="{19B42AC8-B92E-4514-87E4-E37B9BC08461}">
    <text>EU - PO 5467 expenditure US$ 752,178.26 reversed through GLJE 0008631034</text>
  </threadedComment>
  <threadedComment ref="J431" dT="2022-08-24T10:43:25.12" personId="{5D0AD752-BC85-4527-AB85-87BD8EB3F252}" id="{5E17672F-D2DC-4B77-9A98-383A99B58860}">
    <text>237,200.4 request submitted on 17 August 2022</text>
  </threadedComment>
  <threadedComment ref="L431" personId="{5D0AD752-BC85-4527-AB85-87BD8EB3F252}" id="{1EE77406-3A16-4620-B8E7-9DCD213669B1}">
    <text>technical docs submitted on 23 Dec 2020. E-Req shared on 20 Jan 2021.</text>
  </threadedComment>
  <threadedComment ref="Z431" dT="2022-07-12T09:33:21.64" personId="{7AE12B69-D821-4041-852A-6F8509BB156F}" id="{421ACB75-D464-44C8-9F34-0AF672240E17}">
    <text>Italy - PO 6673 for amendment @ US$ 115,441
PO 6163 distributed evenly between Libya and Norway</text>
  </threadedComment>
  <threadedComment ref="F432" personId="{5D0AD752-BC85-4527-AB85-87BD8EB3F252}" id="{249B19F2-A2F4-49B6-81ED-D1561E46D0D7}">
    <text>estimated amount $356,357</text>
  </threadedComment>
  <threadedComment ref="H436" personId="{5D0AD752-BC85-4527-AB85-87BD8EB3F252}" id="{78E416E8-E87A-4DA2-A5EF-F17A66A34841}">
    <text>engineering estimate</text>
  </threadedComment>
  <threadedComment ref="F440" personId="{5D0AD752-BC85-4527-AB85-87BD8EB3F252}" id="{98970C6D-10D2-4F16-923D-1FF796A22D37}">
    <text>First case advertisement was closed in 1 Aug 2019 and was scheduled for readvertisement</text>
  </threadedComment>
  <threadedComment ref="Z440" dT="2022-04-08T11:02:44.18" personId="{7AE12B69-D821-4041-852A-6F8509BB156F}" id="{698BFDD2-AC2D-4FE3-BB01-12E20F0D150A}">
    <text>Payment of US$ 146,497.49 transferred from GoL to SUSC through GLJE 9136820</text>
  </threadedComment>
  <threadedComment ref="F441" personId="{5D0AD752-BC85-4527-AB85-87BD8EB3F252}" id="{F1929741-FB34-426A-A878-E6DF0DFB0C5A}">
    <text>First case advertisement was closed in 1 Aug 2019 and was scheduled for readvertisement. Case then divided into two separate cases.</text>
  </threadedComment>
  <threadedComment ref="J441" dT="2022-08-24T10:50:23.37" personId="{5D0AD752-BC85-4527-AB85-87BD8EB3F252}" id="{D7602A08-9DE2-4270-9D3A-D662E8FDA328}">
    <text>4,017.6 request submitted on 22 August 2022</text>
  </threadedComment>
  <threadedComment ref="F442" personId="{5D0AD752-BC85-4527-AB85-87BD8EB3F252}" id="{15A3A549-C7C5-49CA-AA25-7A184BFC43D6}">
    <text>estimated at $1,000,000</text>
  </threadedComment>
  <threadedComment ref="H442" personId="{F3F37E80-8D98-4886-B2B8-D109F7E0B160}" id="{57F46A90-7759-496E-9EB8-F99457977BE8}">
    <text>engineering estimate</text>
  </threadedComment>
  <threadedComment ref="Z443" personId="{5D0AD752-BC85-4527-AB85-87BD8EB3F252}" id="{6079812A-25E0-412A-A781-90AE0F348E9B}">
    <text>Divided among 3 donors
UK - @ US$ 332,000
Korea - @ US$ 220,000
Japan - @ US$ 200,000 under START</text>
  </threadedComment>
  <threadedComment ref="H445" personId="{5D0AD752-BC85-4527-AB85-87BD8EB3F252}" id="{22434D56-ABD9-4896-BD93-8766B86CA362}">
    <text>Initial agreed allocation</text>
  </threadedComment>
  <threadedComment ref="H447" personId="{5D0AD752-BC85-4527-AB85-87BD8EB3F252}" id="{425BD6A2-B582-4298-90BF-AD473BEDBBAD}">
    <text>engineering estimate</text>
  </threadedComment>
  <threadedComment ref="J455" dT="2022-08-25T08:06:29.17" personId="{5D0AD752-BC85-4527-AB85-87BD8EB3F252}" id="{AB4E0C7F-EF9A-42BB-8624-94C2641F50AF}">
    <text>4,050.9 request submitted on 17 Aug 2022</text>
  </threadedComment>
  <threadedComment ref="Z458" personId="{5D0AD752-BC85-4527-AB85-87BD8EB3F252}" id="{06570D4E-4A98-4181-A14F-6D52963522C9}">
    <text>Norway - PO 5755 for 2 ambulances
GoL - PO 6069 @ US$ 49,850 for medical items
GoL - PO 5930 @ US$ 9,074.72 for 2 ambulances
KfW - US$ 488.43 shifted from GoL through GLJE 9128005</text>
  </threadedComment>
  <threadedComment ref="Z459" dT="2022-03-29T16:45:08.19" personId="{7AE12B69-D821-4041-852A-6F8509BB156F}" id="{C24A1A4F-47C9-4E30-A424-F2C93784BBB7}">
    <text>PO 5930 @ US$ 13,608.91 against which payment of US$ 11,196.24 was done. 
GoL - PO 5930 @ US$ 732.46 in payment
KfW - PO 5930 @ US$ 10,463.78 in payment reversed from GoL through GLJE 0009128005</text>
  </threadedComment>
  <threadedComment ref="D461" personId="{F3F37E80-8D98-4886-B2B8-D109F7E0B160}" id="{94F67D1D-36AA-47D3-AECE-EE3611921EA4}">
    <text>Tobruk, Derna, Al Baida,Al Marj, Benghazi, Ajdabiya, Al Wahat,  Al Kufra, Sebha, Ubari Murzuk, Ashashatti</text>
  </threadedComment>
  <threadedComment ref="D462" personId="{F3F37E80-8D98-4886-B2B8-D109F7E0B160}" id="{BB149F7C-667E-40DF-BB5A-9425381FED02}">
    <text>Kufra, Derna, Benghazi, Ghat, Sebha, Tripoli, Tawergha, Ubari, Ajdabiya, Bani walid</text>
  </threadedComment>
  <threadedComment ref="L463" personId="{5D0AD752-BC85-4527-AB85-87BD8EB3F252}" id="{D36F7914-84E6-4BAC-B8E1-7E8578337438}">
    <text>submitted on 20 Jan 2021. E-req shared on 28 Dec 2020.</text>
  </threadedComment>
  <threadedComment ref="J465" dT="2022-08-02T15:40:38.12" personId="{7AE12B69-D821-4041-852A-6F8509BB156F}" id="{E0993B1A-BBB8-4E3A-8A15-EC78C20C30CD}">
    <text>38,500 payment request submitted on 2 August 2022</text>
  </threadedComment>
  <threadedComment ref="F468" personId="{5D0AD752-BC85-4527-AB85-87BD8EB3F252}" id="{014DD221-0ADC-4B98-A0DE-376EC82F7844}">
    <text>-CNCD Lab
-Sebha Isolation Centre,
-Sebha Medical Centre; A-Dialysis Department
B-Baby Incubators
C-Laboratory</text>
  </threadedComment>
  <threadedComment ref="H468" personId="{5D0AD752-BC85-4527-AB85-87BD8EB3F252}" id="{368CC33F-A527-4B92-BE7A-9278E66414F4}">
    <text>engineering estimate</text>
  </threadedComment>
  <threadedComment ref="H471" personId="{5D0AD752-BC85-4527-AB85-87BD8EB3F252}" id="{E6F83D01-213E-4DF4-A674-7885455BBF84}">
    <text>Lumped together with medical lab bent baya above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DF529-1C50-4E5D-980A-C38A898066CD}">
  <sheetPr codeName="Sheet21"/>
  <dimension ref="A2:O35"/>
  <sheetViews>
    <sheetView showZeros="0" zoomScaleNormal="100" workbookViewId="0">
      <selection activeCell="R37" sqref="R37"/>
    </sheetView>
  </sheetViews>
  <sheetFormatPr defaultRowHeight="15"/>
  <cols>
    <col min="1" max="1" width="10.140625" customWidth="1"/>
    <col min="2" max="2" width="11.28515625" bestFit="1" customWidth="1"/>
    <col min="3" max="3" width="17.28515625" bestFit="1" customWidth="1"/>
    <col min="4" max="5" width="11.140625" bestFit="1" customWidth="1"/>
    <col min="6" max="11" width="9.140625" hidden="1" customWidth="1"/>
    <col min="12" max="12" width="10.5703125" hidden="1" customWidth="1"/>
    <col min="13" max="14" width="9.140625" hidden="1" customWidth="1"/>
  </cols>
  <sheetData>
    <row r="2" spans="1:15">
      <c r="B2" s="53" t="s">
        <v>0</v>
      </c>
    </row>
    <row r="3" spans="1:15" ht="30">
      <c r="A3" s="19"/>
      <c r="B3" s="72" t="s">
        <v>1</v>
      </c>
      <c r="C3" s="73" t="s">
        <v>2</v>
      </c>
      <c r="D3" s="74" t="s">
        <v>3</v>
      </c>
      <c r="F3" s="122" t="s">
        <v>4</v>
      </c>
      <c r="G3" s="122" t="s">
        <v>5</v>
      </c>
      <c r="H3" s="122" t="s">
        <v>6</v>
      </c>
      <c r="I3" s="122" t="s">
        <v>7</v>
      </c>
      <c r="J3" s="122" t="s">
        <v>8</v>
      </c>
      <c r="K3" s="122" t="s">
        <v>9</v>
      </c>
      <c r="L3" s="123">
        <v>43965</v>
      </c>
      <c r="M3" s="122" t="s">
        <v>10</v>
      </c>
      <c r="N3" s="122" t="s">
        <v>11</v>
      </c>
    </row>
    <row r="4" spans="1:15">
      <c r="B4" s="70">
        <v>1</v>
      </c>
      <c r="C4" s="54" t="s">
        <v>12</v>
      </c>
      <c r="D4" s="71">
        <v>297934</v>
      </c>
      <c r="F4" s="120"/>
      <c r="G4" s="54"/>
      <c r="H4" s="120"/>
      <c r="I4" s="54"/>
      <c r="J4" s="120"/>
      <c r="K4" s="54"/>
      <c r="L4" s="54"/>
      <c r="M4" s="120"/>
      <c r="N4" s="120"/>
      <c r="O4" s="69"/>
    </row>
    <row r="5" spans="1:15">
      <c r="B5" s="70">
        <v>2</v>
      </c>
      <c r="C5" s="54" t="s">
        <v>13</v>
      </c>
      <c r="D5" s="71">
        <v>76829</v>
      </c>
      <c r="F5" s="120">
        <f>Table27[[#This Row],[Population]]</f>
        <v>76829</v>
      </c>
      <c r="G5" s="120">
        <f>Table27[[#This Row],[Population]]</f>
        <v>76829</v>
      </c>
      <c r="H5" s="120">
        <f>Table27[[#This Row],[Population]]</f>
        <v>76829</v>
      </c>
      <c r="I5" s="120">
        <f>Table27[[#This Row],[Population]]</f>
        <v>76829</v>
      </c>
      <c r="J5" s="120"/>
      <c r="K5" s="120">
        <f>Table27[[#This Row],[Population]]</f>
        <v>76829</v>
      </c>
      <c r="L5" s="54"/>
      <c r="M5" s="120">
        <f>Table27[[#This Row],[Population]]</f>
        <v>76829</v>
      </c>
      <c r="N5" s="120"/>
      <c r="O5" s="69"/>
    </row>
    <row r="6" spans="1:15">
      <c r="B6" s="70">
        <v>3</v>
      </c>
      <c r="C6" s="54" t="s">
        <v>14</v>
      </c>
      <c r="D6" s="71">
        <v>1093663</v>
      </c>
      <c r="F6" s="120">
        <f>Table27[[#This Row],[Population]]</f>
        <v>1093663</v>
      </c>
      <c r="G6" s="120">
        <f>Table27[[#This Row],[Population]]</f>
        <v>1093663</v>
      </c>
      <c r="H6" s="120">
        <f>Table27[[#This Row],[Population]]</f>
        <v>1093663</v>
      </c>
      <c r="I6" s="120">
        <f>Table27[[#This Row],[Population]]</f>
        <v>1093663</v>
      </c>
      <c r="J6" s="120"/>
      <c r="K6" s="120">
        <f>Table27[[#This Row],[Population]]</f>
        <v>1093663</v>
      </c>
      <c r="L6" s="54"/>
      <c r="M6" s="120">
        <f>Table27[[#This Row],[Population]]</f>
        <v>1093663</v>
      </c>
      <c r="N6" s="120">
        <f>Table27[[#This Row],[Population]]</f>
        <v>1093663</v>
      </c>
      <c r="O6" s="69"/>
    </row>
    <row r="7" spans="1:15">
      <c r="B7" s="81">
        <v>4</v>
      </c>
      <c r="C7" s="79" t="s">
        <v>15</v>
      </c>
      <c r="D7" s="82">
        <v>260199</v>
      </c>
      <c r="F7" s="120"/>
      <c r="G7" s="54"/>
      <c r="H7" s="120"/>
      <c r="I7" s="120"/>
      <c r="J7" s="120"/>
      <c r="K7" s="54"/>
      <c r="L7" s="54"/>
      <c r="M7" s="120"/>
      <c r="N7" s="120"/>
      <c r="O7" s="69"/>
    </row>
    <row r="8" spans="1:15">
      <c r="B8" s="83">
        <v>5</v>
      </c>
      <c r="C8" s="80" t="s">
        <v>16</v>
      </c>
      <c r="D8" s="84">
        <v>39448</v>
      </c>
      <c r="F8" s="120"/>
      <c r="G8" s="120"/>
      <c r="H8" s="120">
        <f>Table27[[#This Row],[Population]]</f>
        <v>39448</v>
      </c>
      <c r="I8" s="120">
        <f>Table27[[#This Row],[Population]]</f>
        <v>39448</v>
      </c>
      <c r="J8" s="120"/>
      <c r="K8" s="54"/>
      <c r="L8" s="54"/>
      <c r="M8" s="120">
        <f>Table27[[#This Row],[Population]]</f>
        <v>39448</v>
      </c>
      <c r="N8" s="120"/>
      <c r="O8" s="69"/>
    </row>
    <row r="9" spans="1:15">
      <c r="B9" s="81">
        <v>6</v>
      </c>
      <c r="C9" s="79" t="s">
        <v>17</v>
      </c>
      <c r="D9" s="82">
        <v>17892</v>
      </c>
      <c r="F9" s="120">
        <f>Table27[[#This Row],[Population]]</f>
        <v>17892</v>
      </c>
      <c r="G9" s="120">
        <f>Table27[[#This Row],[Population]]</f>
        <v>17892</v>
      </c>
      <c r="H9" s="120">
        <f>Table27[[#This Row],[Population]]</f>
        <v>17892</v>
      </c>
      <c r="I9" s="120"/>
      <c r="J9" s="120"/>
      <c r="K9" s="54"/>
      <c r="L9" s="54"/>
      <c r="M9" s="120">
        <f>Table27[[#This Row],[Population]]</f>
        <v>17892</v>
      </c>
      <c r="N9" s="120">
        <f>Table27[[#This Row],[Population]]</f>
        <v>17892</v>
      </c>
      <c r="O9" s="69"/>
    </row>
    <row r="10" spans="1:15">
      <c r="B10" s="83">
        <v>7</v>
      </c>
      <c r="C10" s="80" t="s">
        <v>18</v>
      </c>
      <c r="D10" s="84">
        <v>74134</v>
      </c>
      <c r="F10" s="120"/>
      <c r="G10" s="54"/>
      <c r="H10" s="120"/>
      <c r="I10" s="120"/>
      <c r="J10" s="120">
        <f>Table27[[#This Row],[Population]]</f>
        <v>74134</v>
      </c>
      <c r="K10" s="54"/>
      <c r="L10" s="54"/>
      <c r="M10" s="120">
        <f>Table27[[#This Row],[Population]]</f>
        <v>74134</v>
      </c>
      <c r="N10" s="120"/>
    </row>
    <row r="11" spans="1:15">
      <c r="B11" s="124">
        <v>8</v>
      </c>
      <c r="C11" s="80" t="s">
        <v>19</v>
      </c>
      <c r="D11" s="125">
        <v>785984</v>
      </c>
      <c r="F11" s="120"/>
      <c r="G11" s="54"/>
      <c r="H11" s="120"/>
      <c r="I11" s="120"/>
      <c r="J11" s="120"/>
      <c r="K11" s="54"/>
      <c r="L11" s="54"/>
      <c r="M11" s="120"/>
      <c r="N11" s="120"/>
    </row>
    <row r="12" spans="1:15">
      <c r="B12" s="81">
        <v>9</v>
      </c>
      <c r="C12" s="79" t="s">
        <v>20</v>
      </c>
      <c r="D12" s="82">
        <v>212159</v>
      </c>
      <c r="F12" s="120">
        <f>Table27[[#This Row],[Population]]</f>
        <v>212159</v>
      </c>
      <c r="G12" s="120"/>
      <c r="H12" s="120">
        <f>Table27[[#This Row],[Population]]</f>
        <v>212159</v>
      </c>
      <c r="I12" s="120">
        <f>Table27[[#This Row],[Population]]</f>
        <v>212159</v>
      </c>
      <c r="J12" s="120">
        <f>Table27[[#This Row],[Population]]</f>
        <v>212159</v>
      </c>
      <c r="K12" s="54"/>
      <c r="L12" s="54"/>
      <c r="M12" s="120">
        <f>Table27[[#This Row],[Population]]</f>
        <v>212159</v>
      </c>
      <c r="N12" s="120"/>
      <c r="O12" s="69"/>
    </row>
    <row r="13" spans="1:15">
      <c r="B13" s="83">
        <v>10</v>
      </c>
      <c r="C13" s="80" t="s">
        <v>21</v>
      </c>
      <c r="D13" s="84">
        <v>241984</v>
      </c>
      <c r="F13" s="120">
        <f>Table27[[#This Row],[Population]]</f>
        <v>241984</v>
      </c>
      <c r="G13" s="54"/>
      <c r="H13" s="120"/>
      <c r="I13" s="120"/>
      <c r="J13" s="120"/>
      <c r="K13" s="120">
        <f>Table27[[#This Row],[Population]]</f>
        <v>241984</v>
      </c>
      <c r="L13" s="54"/>
      <c r="M13" s="120">
        <f>Table27[[#This Row],[Population]]</f>
        <v>241984</v>
      </c>
      <c r="N13" s="120">
        <f>Table27[[#This Row],[Population]]</f>
        <v>241984</v>
      </c>
      <c r="O13" s="69"/>
    </row>
    <row r="14" spans="1:15">
      <c r="B14" s="81">
        <v>11</v>
      </c>
      <c r="C14" s="54" t="s">
        <v>22</v>
      </c>
      <c r="D14" s="71">
        <v>24223</v>
      </c>
      <c r="F14" s="120">
        <f>Table27[[#This Row],[Population]]</f>
        <v>24223</v>
      </c>
      <c r="G14" s="54"/>
      <c r="H14" s="120">
        <f>Table27[[#This Row],[Population]]</f>
        <v>24223</v>
      </c>
      <c r="I14" s="120"/>
      <c r="J14" s="120">
        <f>Table27[[#This Row],[Population]]</f>
        <v>24223</v>
      </c>
      <c r="K14" s="54"/>
      <c r="L14" s="54"/>
      <c r="M14" s="120">
        <f>Table27[[#This Row],[Population]]</f>
        <v>24223</v>
      </c>
      <c r="N14" s="120"/>
      <c r="O14" s="69"/>
    </row>
    <row r="15" spans="1:15">
      <c r="B15" s="81">
        <v>12</v>
      </c>
      <c r="C15" s="79" t="s">
        <v>23</v>
      </c>
      <c r="D15" s="105">
        <v>1749347</v>
      </c>
      <c r="F15" s="120">
        <f>Table27[[#This Row],[Population]]</f>
        <v>1749347</v>
      </c>
      <c r="G15" s="54"/>
      <c r="H15" s="120"/>
      <c r="I15" s="120">
        <f>(Table27[[#This Row],[Population]]/13)*5</f>
        <v>672825.76923076925</v>
      </c>
      <c r="J15" s="120"/>
      <c r="K15" s="120">
        <f>Table27[[#This Row],[Population]]</f>
        <v>1749347</v>
      </c>
      <c r="L15" s="54"/>
      <c r="M15" s="120">
        <f>Table27[[#This Row],[Population]]</f>
        <v>1749347</v>
      </c>
      <c r="N15" s="120"/>
      <c r="O15" s="69"/>
    </row>
    <row r="16" spans="1:15">
      <c r="B16" s="83">
        <v>13</v>
      </c>
      <c r="C16" s="104" t="s">
        <v>24</v>
      </c>
      <c r="D16" s="106">
        <v>133652</v>
      </c>
      <c r="F16" s="120">
        <f>Table27[[#This Row],[Population]]</f>
        <v>133652</v>
      </c>
      <c r="G16" s="120">
        <f>Table27[[#This Row],[Population]]</f>
        <v>133652</v>
      </c>
      <c r="H16" s="120"/>
      <c r="I16" s="120"/>
      <c r="J16" s="120">
        <f>Table27[[#This Row],[Population]]</f>
        <v>133652</v>
      </c>
      <c r="K16" s="120">
        <f>Table27[[#This Row],[Population]]</f>
        <v>133652</v>
      </c>
      <c r="L16" s="54"/>
      <c r="M16" s="120">
        <f>Table27[[#This Row],[Population]]</f>
        <v>133652</v>
      </c>
      <c r="N16" s="120">
        <f>Table27[[#This Row],[Population]]</f>
        <v>133652</v>
      </c>
      <c r="O16" s="69"/>
    </row>
    <row r="17" spans="2:14">
      <c r="B17" s="75"/>
      <c r="C17" s="76" t="s">
        <v>25</v>
      </c>
      <c r="D17" s="77">
        <f>SUM(D4:D16)</f>
        <v>5007448</v>
      </c>
      <c r="E17" s="53"/>
      <c r="F17" s="121">
        <f t="shared" ref="F17:N17" si="0">SUM(F4:F16)</f>
        <v>3549749</v>
      </c>
      <c r="G17" s="121">
        <f t="shared" si="0"/>
        <v>1322036</v>
      </c>
      <c r="H17" s="121">
        <f t="shared" si="0"/>
        <v>1464214</v>
      </c>
      <c r="I17" s="121">
        <f t="shared" si="0"/>
        <v>2094924.7692307692</v>
      </c>
      <c r="J17" s="121">
        <f t="shared" si="0"/>
        <v>444168</v>
      </c>
      <c r="K17" s="121">
        <f t="shared" si="0"/>
        <v>3295475</v>
      </c>
      <c r="L17" s="110"/>
      <c r="M17" s="121">
        <f t="shared" si="0"/>
        <v>3663331</v>
      </c>
      <c r="N17" s="121">
        <f t="shared" si="0"/>
        <v>1487191</v>
      </c>
    </row>
    <row r="20" spans="2:14">
      <c r="B20" s="53" t="s">
        <v>26</v>
      </c>
    </row>
    <row r="21" spans="2:14">
      <c r="B21" s="72" t="s">
        <v>1</v>
      </c>
      <c r="C21" s="73" t="s">
        <v>2</v>
      </c>
      <c r="D21" s="74" t="s">
        <v>3</v>
      </c>
    </row>
    <row r="22" spans="2:14">
      <c r="B22" s="70">
        <v>1</v>
      </c>
      <c r="C22" s="54" t="s">
        <v>27</v>
      </c>
      <c r="D22" s="71">
        <v>256855</v>
      </c>
      <c r="E22">
        <v>0</v>
      </c>
      <c r="F22" s="69">
        <f>Table274[[#This Row],[Population]]</f>
        <v>256855</v>
      </c>
    </row>
    <row r="23" spans="2:14">
      <c r="B23" s="70">
        <v>2</v>
      </c>
      <c r="C23" s="54" t="s">
        <v>28</v>
      </c>
      <c r="D23" s="71">
        <v>53528</v>
      </c>
      <c r="F23" s="69"/>
    </row>
    <row r="24" spans="2:14">
      <c r="B24" s="70">
        <v>3</v>
      </c>
      <c r="C24" s="54" t="s">
        <v>29</v>
      </c>
      <c r="D24" s="71">
        <v>55000</v>
      </c>
      <c r="F24" s="69">
        <f>Table274[[#This Row],[Population]]</f>
        <v>55000</v>
      </c>
    </row>
    <row r="25" spans="2:14">
      <c r="B25" s="81">
        <v>4</v>
      </c>
      <c r="C25" s="79" t="s">
        <v>30</v>
      </c>
      <c r="D25" s="82">
        <v>114018</v>
      </c>
      <c r="F25" s="69">
        <f>Table274[[#This Row],[Population]]</f>
        <v>114018</v>
      </c>
    </row>
    <row r="26" spans="2:14">
      <c r="B26" s="83">
        <v>5</v>
      </c>
      <c r="C26" s="80" t="s">
        <v>31</v>
      </c>
      <c r="D26" s="84">
        <v>157733</v>
      </c>
      <c r="F26" s="69">
        <f>Table274[[#This Row],[Population]]</f>
        <v>157733</v>
      </c>
    </row>
    <row r="27" spans="2:14">
      <c r="B27" s="81">
        <v>6</v>
      </c>
      <c r="C27" s="79" t="s">
        <v>32</v>
      </c>
      <c r="D27" s="82">
        <v>51481</v>
      </c>
      <c r="F27" s="69"/>
    </row>
    <row r="28" spans="2:14">
      <c r="B28" s="83">
        <v>7</v>
      </c>
      <c r="C28" s="80" t="s">
        <v>33</v>
      </c>
      <c r="D28" s="84">
        <v>280043</v>
      </c>
      <c r="F28" s="69"/>
    </row>
    <row r="29" spans="2:14">
      <c r="B29" s="81">
        <v>8</v>
      </c>
      <c r="C29" s="79" t="s">
        <v>34</v>
      </c>
      <c r="D29" s="82">
        <v>144097</v>
      </c>
      <c r="F29" s="69"/>
    </row>
    <row r="30" spans="2:14">
      <c r="B30" s="83">
        <v>9</v>
      </c>
      <c r="C30" s="80" t="s">
        <v>35</v>
      </c>
      <c r="D30" s="84">
        <v>97402</v>
      </c>
      <c r="F30" s="69"/>
    </row>
    <row r="31" spans="2:14">
      <c r="B31" s="81">
        <v>10</v>
      </c>
      <c r="C31" s="54" t="s">
        <v>36</v>
      </c>
      <c r="D31" s="71">
        <v>25644</v>
      </c>
      <c r="F31" s="69"/>
    </row>
    <row r="32" spans="2:14">
      <c r="B32" s="81">
        <v>11</v>
      </c>
      <c r="C32" s="79" t="s">
        <v>37</v>
      </c>
      <c r="D32" s="105">
        <v>276674</v>
      </c>
      <c r="F32" s="69">
        <f>Table274[[#This Row],[Population]]</f>
        <v>276674</v>
      </c>
    </row>
    <row r="33" spans="2:6">
      <c r="B33" s="83">
        <v>12</v>
      </c>
      <c r="C33" s="104" t="s">
        <v>38</v>
      </c>
      <c r="D33" s="106">
        <v>27758</v>
      </c>
      <c r="F33" s="69"/>
    </row>
    <row r="34" spans="2:6">
      <c r="B34" s="124">
        <v>13</v>
      </c>
      <c r="C34" s="80" t="s">
        <v>39</v>
      </c>
      <c r="D34" s="125">
        <v>209114</v>
      </c>
      <c r="F34" s="69">
        <f>Table274[[#This Row],[Population]]</f>
        <v>209114</v>
      </c>
    </row>
    <row r="35" spans="2:6">
      <c r="B35" s="75"/>
      <c r="C35" s="76" t="s">
        <v>25</v>
      </c>
      <c r="D35" s="77">
        <f>SUM(D22:D34)</f>
        <v>1749347</v>
      </c>
      <c r="F35" s="69">
        <f>SUM(F22:F34)</f>
        <v>1069394</v>
      </c>
    </row>
  </sheetData>
  <pageMargins left="0.7" right="0.7" top="0.75" bottom="0.75" header="0.3" footer="0.3"/>
  <pageSetup paperSize="9" orientation="portrait" verticalDpi="1200"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097D6-CDD7-4C3E-AC49-117927C48DA3}">
  <dimension ref="A1:C15"/>
  <sheetViews>
    <sheetView workbookViewId="0">
      <selection activeCell="C15" sqref="C15"/>
    </sheetView>
  </sheetViews>
  <sheetFormatPr defaultRowHeight="15"/>
  <cols>
    <col min="1" max="1" width="10.7109375" bestFit="1" customWidth="1"/>
    <col min="2" max="2" width="12" bestFit="1" customWidth="1"/>
    <col min="3" max="3" width="12" customWidth="1"/>
  </cols>
  <sheetData>
    <row r="1" spans="1:3">
      <c r="A1" t="s">
        <v>2</v>
      </c>
      <c r="B1" t="s">
        <v>40</v>
      </c>
      <c r="C1" t="s">
        <v>41</v>
      </c>
    </row>
    <row r="2" spans="1:3">
      <c r="A2" t="s">
        <v>12</v>
      </c>
      <c r="B2">
        <v>30.928690962353301</v>
      </c>
      <c r="C2">
        <v>20.253800026624202</v>
      </c>
    </row>
    <row r="3" spans="1:3">
      <c r="A3" t="s">
        <v>13</v>
      </c>
      <c r="B3">
        <v>31.805721526785199</v>
      </c>
      <c r="C3">
        <v>14.053570399437801</v>
      </c>
    </row>
    <row r="4" spans="1:3">
      <c r="A4" t="s">
        <v>42</v>
      </c>
      <c r="B4">
        <v>32.129811547903898</v>
      </c>
      <c r="C4">
        <v>20.087618786945999</v>
      </c>
    </row>
    <row r="5" spans="1:3">
      <c r="A5" t="s">
        <v>43</v>
      </c>
      <c r="B5">
        <v>26.684693479766299</v>
      </c>
      <c r="C5">
        <v>13.662638152367499</v>
      </c>
    </row>
    <row r="6" spans="1:3">
      <c r="A6" t="s">
        <v>15</v>
      </c>
      <c r="B6">
        <v>32.757931053151196</v>
      </c>
      <c r="C6">
        <v>22.6378579576946</v>
      </c>
    </row>
    <row r="7" spans="1:3">
      <c r="A7" t="s">
        <v>16</v>
      </c>
      <c r="B7">
        <v>25.041051576466099</v>
      </c>
      <c r="C7">
        <v>10.160195634487</v>
      </c>
    </row>
    <row r="8" spans="1:3">
      <c r="A8" t="s">
        <v>44</v>
      </c>
      <c r="B8">
        <v>32.061694813033597</v>
      </c>
      <c r="C8">
        <v>12.6963113199419</v>
      </c>
    </row>
    <row r="9" spans="1:3">
      <c r="A9" t="s">
        <v>18</v>
      </c>
      <c r="B9">
        <v>23.662005273084301</v>
      </c>
      <c r="C9">
        <v>21.920200268784001</v>
      </c>
    </row>
    <row r="10" spans="1:3">
      <c r="A10" t="s">
        <v>45</v>
      </c>
      <c r="B10">
        <v>32.334978553741202</v>
      </c>
      <c r="C10">
        <v>15.1013485032334</v>
      </c>
    </row>
    <row r="11" spans="1:3">
      <c r="A11" t="s">
        <v>46</v>
      </c>
      <c r="B11">
        <v>27.045852703489</v>
      </c>
      <c r="C11">
        <v>14.429009577369399</v>
      </c>
    </row>
    <row r="12" spans="1:3">
      <c r="A12" t="s">
        <v>21</v>
      </c>
      <c r="B12">
        <v>31.192165784200299</v>
      </c>
      <c r="C12">
        <v>16.569521775157799</v>
      </c>
    </row>
    <row r="13" spans="1:3">
      <c r="A13" t="s">
        <v>22</v>
      </c>
      <c r="B13">
        <v>32.022570461454002</v>
      </c>
      <c r="C13">
        <v>15.054956989522299</v>
      </c>
    </row>
    <row r="14" spans="1:3">
      <c r="A14" t="s">
        <v>23</v>
      </c>
      <c r="B14">
        <v>32.890070748830702</v>
      </c>
      <c r="C14">
        <v>13.1911680613164</v>
      </c>
    </row>
    <row r="15" spans="1:3">
      <c r="A15" t="s">
        <v>24</v>
      </c>
      <c r="B15">
        <v>26.583583964887598</v>
      </c>
      <c r="C15">
        <v>12.7938702048396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87BC-F590-4908-90E9-F399EEBCC193}">
  <dimension ref="A1:V404"/>
  <sheetViews>
    <sheetView tabSelected="1" workbookViewId="0">
      <pane xSplit="5" ySplit="1" topLeftCell="F366" activePane="bottomRight" state="frozen"/>
      <selection pane="topRight" activeCell="F1" sqref="F1"/>
      <selection pane="bottomLeft" activeCell="A2" sqref="A2"/>
      <selection pane="bottomRight" activeCell="D375" sqref="D375"/>
    </sheetView>
  </sheetViews>
  <sheetFormatPr defaultRowHeight="15"/>
  <cols>
    <col min="1" max="1" width="9.42578125" customWidth="1"/>
    <col min="2" max="2" width="9.42578125" bestFit="1" customWidth="1"/>
    <col min="3" max="3" width="11.140625" customWidth="1"/>
    <col min="4" max="4" width="18" customWidth="1"/>
    <col min="5" max="5" width="45.7109375" customWidth="1"/>
    <col min="6" max="6" width="15.85546875" bestFit="1" customWidth="1"/>
    <col min="7" max="7" width="20.85546875" bestFit="1" customWidth="1"/>
    <col min="8" max="8" width="12" bestFit="1" customWidth="1"/>
    <col min="9" max="9" width="18.5703125" customWidth="1"/>
    <col min="10" max="10" width="14.140625" bestFit="1" customWidth="1"/>
    <col min="11" max="11" width="20.42578125" customWidth="1"/>
    <col min="12" max="12" width="16.85546875" customWidth="1"/>
    <col min="13" max="13" width="17.7109375" bestFit="1" customWidth="1"/>
    <col min="14" max="14" width="12" customWidth="1"/>
    <col min="15" max="15" width="16.85546875" customWidth="1"/>
    <col min="16" max="16" width="14.85546875" bestFit="1" customWidth="1"/>
    <col min="17" max="17" width="24.28515625" bestFit="1" customWidth="1"/>
    <col min="18" max="18" width="17.5703125" bestFit="1" customWidth="1"/>
    <col min="19" max="19" width="25" customWidth="1"/>
    <col min="20" max="20" width="15" customWidth="1"/>
    <col min="21" max="22" width="28" customWidth="1"/>
    <col min="23" max="23" width="17.5703125" bestFit="1" customWidth="1"/>
    <col min="24" max="24" width="25" bestFit="1" customWidth="1"/>
    <col min="25" max="25" width="11" bestFit="1" customWidth="1"/>
    <col min="26" max="26" width="26.28515625" bestFit="1" customWidth="1"/>
    <col min="27" max="27" width="16" bestFit="1" customWidth="1"/>
    <col min="28" max="28" width="12.28515625" bestFit="1" customWidth="1"/>
    <col min="29" max="29" width="16" bestFit="1" customWidth="1"/>
    <col min="30" max="30" width="16.42578125" bestFit="1" customWidth="1"/>
    <col min="31" max="33" width="10.7109375" bestFit="1" customWidth="1"/>
    <col min="34" max="34" width="14.28515625" bestFit="1" customWidth="1"/>
    <col min="35" max="36" width="81.140625" customWidth="1"/>
    <col min="37" max="37" width="81.140625" bestFit="1" customWidth="1"/>
  </cols>
  <sheetData>
    <row r="1" spans="1:22">
      <c r="A1" t="s">
        <v>47</v>
      </c>
      <c r="B1" t="s">
        <v>48</v>
      </c>
      <c r="C1" t="s">
        <v>2</v>
      </c>
      <c r="D1" t="s">
        <v>49</v>
      </c>
      <c r="E1" t="s">
        <v>50</v>
      </c>
      <c r="F1" t="s">
        <v>51</v>
      </c>
      <c r="G1" t="s">
        <v>52</v>
      </c>
      <c r="H1" t="s">
        <v>53</v>
      </c>
      <c r="I1" t="s">
        <v>54</v>
      </c>
      <c r="J1" t="s">
        <v>55</v>
      </c>
      <c r="K1" t="s">
        <v>56</v>
      </c>
      <c r="L1" t="s">
        <v>57</v>
      </c>
      <c r="M1" t="s">
        <v>58</v>
      </c>
      <c r="N1" t="s">
        <v>59</v>
      </c>
      <c r="O1" t="s">
        <v>60</v>
      </c>
      <c r="P1" t="s">
        <v>61</v>
      </c>
      <c r="Q1" t="s">
        <v>62</v>
      </c>
      <c r="R1" t="s">
        <v>63</v>
      </c>
      <c r="S1" t="s">
        <v>40</v>
      </c>
      <c r="T1" t="s">
        <v>41</v>
      </c>
      <c r="U1" t="s">
        <v>64</v>
      </c>
      <c r="V1" t="s">
        <v>65</v>
      </c>
    </row>
    <row r="2" spans="1:22">
      <c r="A2" t="s">
        <v>66</v>
      </c>
      <c r="B2" t="s">
        <v>67</v>
      </c>
      <c r="C2" t="s">
        <v>21</v>
      </c>
      <c r="D2" t="s">
        <v>68</v>
      </c>
      <c r="E2" t="s">
        <v>69</v>
      </c>
      <c r="F2" t="s">
        <v>70</v>
      </c>
      <c r="G2">
        <v>592330.75584795116</v>
      </c>
      <c r="H2">
        <v>592588.3309169648</v>
      </c>
      <c r="I2" t="s">
        <v>71</v>
      </c>
      <c r="J2" t="s">
        <v>72</v>
      </c>
      <c r="K2" s="144">
        <v>43009</v>
      </c>
      <c r="L2" t="s">
        <v>73</v>
      </c>
      <c r="M2" s="146"/>
      <c r="N2" s="146"/>
      <c r="O2" s="144">
        <v>43305</v>
      </c>
      <c r="P2" t="s">
        <v>71</v>
      </c>
      <c r="Q2" t="s">
        <v>74</v>
      </c>
      <c r="R2">
        <v>98720</v>
      </c>
      <c r="S2">
        <v>31.210313888888887</v>
      </c>
      <c r="T2">
        <v>16.492316666666667</v>
      </c>
      <c r="U2" t="s">
        <v>10</v>
      </c>
      <c r="V2">
        <v>296</v>
      </c>
    </row>
    <row r="3" spans="1:22">
      <c r="A3" t="s">
        <v>66</v>
      </c>
      <c r="B3" t="s">
        <v>67</v>
      </c>
      <c r="C3" t="s">
        <v>21</v>
      </c>
      <c r="D3" t="s">
        <v>68</v>
      </c>
      <c r="E3" t="s">
        <v>69</v>
      </c>
      <c r="F3" t="s">
        <v>70</v>
      </c>
      <c r="G3">
        <v>885386.38948647538</v>
      </c>
      <c r="H3">
        <v>0</v>
      </c>
      <c r="I3" t="s">
        <v>75</v>
      </c>
      <c r="K3" s="144"/>
      <c r="M3" s="146"/>
      <c r="N3" s="146"/>
      <c r="O3" s="144"/>
      <c r="P3" t="s">
        <v>76</v>
      </c>
      <c r="Q3" t="s">
        <v>77</v>
      </c>
      <c r="U3" t="s">
        <v>78</v>
      </c>
    </row>
    <row r="4" spans="1:22">
      <c r="A4" t="s">
        <v>66</v>
      </c>
      <c r="B4" t="s">
        <v>67</v>
      </c>
      <c r="C4" t="s">
        <v>21</v>
      </c>
      <c r="D4" t="s">
        <v>68</v>
      </c>
      <c r="E4" t="s">
        <v>69</v>
      </c>
      <c r="F4" t="s">
        <v>70</v>
      </c>
      <c r="G4">
        <v>505202.56740248943</v>
      </c>
      <c r="H4">
        <v>0</v>
      </c>
      <c r="I4" t="s">
        <v>75</v>
      </c>
      <c r="K4" s="144"/>
      <c r="M4" s="146"/>
      <c r="N4" s="146"/>
      <c r="O4" s="144"/>
      <c r="P4" t="s">
        <v>76</v>
      </c>
      <c r="Q4" t="s">
        <v>74</v>
      </c>
      <c r="U4" t="s">
        <v>78</v>
      </c>
    </row>
    <row r="5" spans="1:22">
      <c r="A5" t="s">
        <v>66</v>
      </c>
      <c r="B5" t="s">
        <v>67</v>
      </c>
      <c r="C5" t="s">
        <v>21</v>
      </c>
      <c r="D5" t="s">
        <v>68</v>
      </c>
      <c r="E5" t="s">
        <v>69</v>
      </c>
      <c r="F5" t="s">
        <v>70</v>
      </c>
      <c r="G5">
        <v>794730.15345923114</v>
      </c>
      <c r="H5">
        <v>0</v>
      </c>
      <c r="I5" t="s">
        <v>75</v>
      </c>
      <c r="K5" s="144"/>
      <c r="M5" s="146"/>
      <c r="N5" s="146"/>
      <c r="O5" s="144"/>
      <c r="P5" t="s">
        <v>76</v>
      </c>
      <c r="Q5" t="s">
        <v>77</v>
      </c>
      <c r="U5" t="s">
        <v>78</v>
      </c>
    </row>
    <row r="6" spans="1:22">
      <c r="A6" t="s">
        <v>66</v>
      </c>
      <c r="B6" t="s">
        <v>67</v>
      </c>
      <c r="C6" t="s">
        <v>21</v>
      </c>
      <c r="D6" t="s">
        <v>68</v>
      </c>
      <c r="E6" t="s">
        <v>79</v>
      </c>
      <c r="F6" t="s">
        <v>70</v>
      </c>
      <c r="G6">
        <v>48357.867473610117</v>
      </c>
      <c r="H6">
        <v>48357.867473610117</v>
      </c>
      <c r="I6" t="s">
        <v>71</v>
      </c>
      <c r="J6" t="s">
        <v>72</v>
      </c>
      <c r="K6" s="144">
        <v>43009</v>
      </c>
      <c r="L6" t="s">
        <v>73</v>
      </c>
      <c r="M6" s="146"/>
      <c r="N6" s="146"/>
      <c r="O6" s="144">
        <v>43307</v>
      </c>
      <c r="P6" t="s">
        <v>71</v>
      </c>
      <c r="Q6" t="s">
        <v>80</v>
      </c>
      <c r="R6">
        <v>98720</v>
      </c>
      <c r="S6">
        <v>31.209630555555556</v>
      </c>
      <c r="T6">
        <v>16.492458333333335</v>
      </c>
      <c r="U6" t="s">
        <v>10</v>
      </c>
      <c r="V6">
        <v>298</v>
      </c>
    </row>
    <row r="7" spans="1:22">
      <c r="A7" t="s">
        <v>66</v>
      </c>
      <c r="B7" t="s">
        <v>67</v>
      </c>
      <c r="C7" t="s">
        <v>21</v>
      </c>
      <c r="D7" t="s">
        <v>68</v>
      </c>
      <c r="E7" t="s">
        <v>79</v>
      </c>
      <c r="F7" t="s">
        <v>70</v>
      </c>
      <c r="G7">
        <v>26331.570253090238</v>
      </c>
      <c r="H7">
        <v>0</v>
      </c>
      <c r="I7" t="s">
        <v>75</v>
      </c>
      <c r="K7" s="144"/>
      <c r="M7" s="146"/>
      <c r="N7" s="146"/>
      <c r="O7" s="144"/>
      <c r="P7" t="s">
        <v>76</v>
      </c>
      <c r="Q7" t="s">
        <v>80</v>
      </c>
      <c r="U7" t="s">
        <v>78</v>
      </c>
    </row>
    <row r="8" spans="1:22">
      <c r="A8" t="s">
        <v>66</v>
      </c>
      <c r="B8" t="s">
        <v>67</v>
      </c>
      <c r="C8" t="s">
        <v>21</v>
      </c>
      <c r="D8" t="s">
        <v>81</v>
      </c>
      <c r="E8" t="s">
        <v>82</v>
      </c>
      <c r="F8" t="s">
        <v>70</v>
      </c>
      <c r="G8">
        <v>222241.09191087386</v>
      </c>
      <c r="H8">
        <v>0</v>
      </c>
      <c r="I8" t="s">
        <v>75</v>
      </c>
      <c r="K8" s="144"/>
      <c r="M8" s="146"/>
      <c r="N8" s="146"/>
      <c r="O8" s="144"/>
      <c r="P8" t="s">
        <v>76</v>
      </c>
      <c r="Q8" t="s">
        <v>83</v>
      </c>
      <c r="U8" t="s">
        <v>78</v>
      </c>
    </row>
    <row r="9" spans="1:22">
      <c r="A9" t="s">
        <v>84</v>
      </c>
      <c r="B9" t="s">
        <v>67</v>
      </c>
      <c r="C9" t="s">
        <v>21</v>
      </c>
      <c r="D9" t="s">
        <v>4</v>
      </c>
      <c r="E9" t="s">
        <v>85</v>
      </c>
      <c r="F9" t="s">
        <v>70</v>
      </c>
      <c r="G9">
        <v>83941.108908932816</v>
      </c>
      <c r="H9">
        <v>83941.108908932816</v>
      </c>
      <c r="I9" t="s">
        <v>71</v>
      </c>
      <c r="J9" t="s">
        <v>72</v>
      </c>
      <c r="K9" s="144">
        <v>43188</v>
      </c>
      <c r="L9" t="s">
        <v>73</v>
      </c>
      <c r="M9" s="146">
        <v>43199</v>
      </c>
      <c r="N9" s="146">
        <v>43206</v>
      </c>
      <c r="O9" s="144">
        <v>43340</v>
      </c>
      <c r="P9" t="s">
        <v>71</v>
      </c>
      <c r="Q9" t="s">
        <v>86</v>
      </c>
      <c r="R9">
        <v>98720</v>
      </c>
      <c r="S9">
        <v>31.198044444444445</v>
      </c>
      <c r="T9">
        <v>16.575966666666666</v>
      </c>
      <c r="U9" t="s">
        <v>10</v>
      </c>
      <c r="V9">
        <v>152</v>
      </c>
    </row>
    <row r="10" spans="1:22">
      <c r="A10" t="s">
        <v>66</v>
      </c>
      <c r="B10" t="s">
        <v>67</v>
      </c>
      <c r="C10" t="s">
        <v>21</v>
      </c>
      <c r="D10" t="s">
        <v>4</v>
      </c>
      <c r="E10" t="s">
        <v>87</v>
      </c>
      <c r="F10" t="s">
        <v>70</v>
      </c>
      <c r="G10">
        <v>48281.907203722913</v>
      </c>
      <c r="H10">
        <v>48281.907203722913</v>
      </c>
      <c r="I10" t="s">
        <v>71</v>
      </c>
      <c r="J10" t="s">
        <v>72</v>
      </c>
      <c r="K10" s="144">
        <v>44114</v>
      </c>
      <c r="L10" t="s">
        <v>73</v>
      </c>
      <c r="M10" s="146">
        <v>44126</v>
      </c>
      <c r="N10" s="146">
        <v>44132</v>
      </c>
      <c r="O10" s="144">
        <v>44283</v>
      </c>
      <c r="P10" t="s">
        <v>71</v>
      </c>
      <c r="Q10" t="s">
        <v>88</v>
      </c>
      <c r="R10">
        <v>98720</v>
      </c>
      <c r="S10">
        <v>31.183972222222224</v>
      </c>
      <c r="T10">
        <v>16.581972222222223</v>
      </c>
      <c r="U10" t="s">
        <v>89</v>
      </c>
      <c r="V10">
        <v>169</v>
      </c>
    </row>
    <row r="11" spans="1:22">
      <c r="A11" t="s">
        <v>66</v>
      </c>
      <c r="B11" t="s">
        <v>67</v>
      </c>
      <c r="C11" t="s">
        <v>21</v>
      </c>
      <c r="D11" t="s">
        <v>4</v>
      </c>
      <c r="E11" t="s">
        <v>90</v>
      </c>
      <c r="F11" t="s">
        <v>70</v>
      </c>
      <c r="G11">
        <v>85445.314365966289</v>
      </c>
      <c r="H11">
        <v>93101.984224572123</v>
      </c>
      <c r="I11" t="s">
        <v>71</v>
      </c>
      <c r="J11" t="s">
        <v>72</v>
      </c>
      <c r="K11" s="144">
        <v>42767</v>
      </c>
      <c r="L11" t="s">
        <v>73</v>
      </c>
      <c r="M11" s="146"/>
      <c r="N11" s="146"/>
      <c r="O11" s="144">
        <v>43100</v>
      </c>
      <c r="P11" t="s">
        <v>71</v>
      </c>
      <c r="Q11" t="s">
        <v>91</v>
      </c>
      <c r="R11">
        <v>98720</v>
      </c>
      <c r="S11">
        <v>31.187561111111112</v>
      </c>
      <c r="T11">
        <v>16.589713888888888</v>
      </c>
      <c r="U11" t="s">
        <v>92</v>
      </c>
      <c r="V11">
        <v>333</v>
      </c>
    </row>
    <row r="12" spans="1:22">
      <c r="A12" t="s">
        <v>84</v>
      </c>
      <c r="B12" t="s">
        <v>67</v>
      </c>
      <c r="C12" t="s">
        <v>21</v>
      </c>
      <c r="D12" t="s">
        <v>4</v>
      </c>
      <c r="E12" t="s">
        <v>85</v>
      </c>
      <c r="F12" t="s">
        <v>70</v>
      </c>
      <c r="G12">
        <v>49276.89367615863</v>
      </c>
      <c r="H12">
        <v>0</v>
      </c>
      <c r="I12" t="s">
        <v>93</v>
      </c>
      <c r="K12" s="144"/>
      <c r="M12" s="146"/>
      <c r="N12" s="146"/>
      <c r="O12" s="144"/>
      <c r="P12" t="s">
        <v>76</v>
      </c>
      <c r="Q12" t="s">
        <v>86</v>
      </c>
      <c r="U12" t="s">
        <v>78</v>
      </c>
    </row>
    <row r="13" spans="1:22">
      <c r="A13" t="s">
        <v>84</v>
      </c>
      <c r="B13" t="s">
        <v>67</v>
      </c>
      <c r="C13" t="s">
        <v>21</v>
      </c>
      <c r="D13" t="s">
        <v>4</v>
      </c>
      <c r="E13" t="s">
        <v>85</v>
      </c>
      <c r="F13" t="s">
        <v>70</v>
      </c>
      <c r="G13">
        <v>39032.820406337771</v>
      </c>
      <c r="H13">
        <v>39032.820406337771</v>
      </c>
      <c r="I13" t="s">
        <v>71</v>
      </c>
      <c r="J13" t="s">
        <v>72</v>
      </c>
      <c r="K13" s="144">
        <v>43682</v>
      </c>
      <c r="L13" t="s">
        <v>73</v>
      </c>
      <c r="M13" s="146">
        <v>43711</v>
      </c>
      <c r="N13" s="146"/>
      <c r="O13" s="144">
        <v>43912</v>
      </c>
      <c r="P13" t="s">
        <v>71</v>
      </c>
      <c r="Q13" t="s">
        <v>86</v>
      </c>
      <c r="R13">
        <v>112158</v>
      </c>
      <c r="S13">
        <v>31.208302777777778</v>
      </c>
      <c r="T13">
        <v>16.571119444444445</v>
      </c>
      <c r="U13" t="s">
        <v>92</v>
      </c>
      <c r="V13">
        <v>230</v>
      </c>
    </row>
    <row r="14" spans="1:22">
      <c r="A14" t="s">
        <v>84</v>
      </c>
      <c r="B14" t="s">
        <v>67</v>
      </c>
      <c r="C14" t="s">
        <v>21</v>
      </c>
      <c r="D14" t="s">
        <v>4</v>
      </c>
      <c r="E14" t="s">
        <v>85</v>
      </c>
      <c r="F14" t="s">
        <v>70</v>
      </c>
      <c r="G14">
        <v>18984.60694553953</v>
      </c>
      <c r="H14">
        <v>18984.60694553953</v>
      </c>
      <c r="I14" t="s">
        <v>71</v>
      </c>
      <c r="J14" t="s">
        <v>72</v>
      </c>
      <c r="K14" s="144">
        <v>43441</v>
      </c>
      <c r="L14" t="s">
        <v>73</v>
      </c>
      <c r="M14" s="146">
        <v>43468</v>
      </c>
      <c r="N14" s="146">
        <v>43475</v>
      </c>
      <c r="O14" s="144">
        <v>43555</v>
      </c>
      <c r="P14" t="s">
        <v>71</v>
      </c>
      <c r="Q14" t="s">
        <v>86</v>
      </c>
      <c r="R14">
        <v>98720</v>
      </c>
      <c r="S14">
        <v>31.17541388888889</v>
      </c>
      <c r="T14">
        <v>16.594372222222223</v>
      </c>
      <c r="U14" t="s">
        <v>94</v>
      </c>
      <c r="V14">
        <v>114</v>
      </c>
    </row>
    <row r="15" spans="1:22">
      <c r="A15" t="s">
        <v>84</v>
      </c>
      <c r="B15" t="s">
        <v>67</v>
      </c>
      <c r="C15" t="s">
        <v>21</v>
      </c>
      <c r="D15" t="s">
        <v>4</v>
      </c>
      <c r="E15" t="s">
        <v>85</v>
      </c>
      <c r="F15" t="s">
        <v>70</v>
      </c>
      <c r="G15">
        <v>23862.100552454463</v>
      </c>
      <c r="H15">
        <v>23862.100552454463</v>
      </c>
      <c r="I15" t="s">
        <v>71</v>
      </c>
      <c r="J15" t="s">
        <v>72</v>
      </c>
      <c r="K15" s="144">
        <v>43651</v>
      </c>
      <c r="L15" t="s">
        <v>73</v>
      </c>
      <c r="M15" s="146"/>
      <c r="N15" s="146"/>
      <c r="O15" s="144">
        <v>43766</v>
      </c>
      <c r="P15" t="s">
        <v>71</v>
      </c>
      <c r="Q15" t="s">
        <v>86</v>
      </c>
      <c r="R15">
        <v>112158</v>
      </c>
      <c r="S15">
        <v>31.208941666666664</v>
      </c>
      <c r="T15">
        <v>16.559627777777777</v>
      </c>
      <c r="U15" t="s">
        <v>95</v>
      </c>
      <c r="V15">
        <v>115</v>
      </c>
    </row>
    <row r="16" spans="1:22">
      <c r="A16" t="s">
        <v>84</v>
      </c>
      <c r="B16" t="s">
        <v>67</v>
      </c>
      <c r="C16" t="s">
        <v>21</v>
      </c>
      <c r="D16" t="s">
        <v>4</v>
      </c>
      <c r="E16" t="s">
        <v>85</v>
      </c>
      <c r="F16" t="s">
        <v>70</v>
      </c>
      <c r="G16">
        <v>18463.303234179504</v>
      </c>
      <c r="H16">
        <v>18562.788544791565</v>
      </c>
      <c r="I16" t="s">
        <v>71</v>
      </c>
      <c r="J16" t="s">
        <v>72</v>
      </c>
      <c r="K16" s="144">
        <v>43417</v>
      </c>
      <c r="L16" t="s">
        <v>73</v>
      </c>
      <c r="M16" s="146">
        <v>43434</v>
      </c>
      <c r="N16" s="146">
        <v>43441</v>
      </c>
      <c r="O16" s="144">
        <v>43539</v>
      </c>
      <c r="P16" t="s">
        <v>71</v>
      </c>
      <c r="Q16" t="s">
        <v>86</v>
      </c>
      <c r="R16">
        <v>112158</v>
      </c>
      <c r="S16">
        <v>31.188649999999999</v>
      </c>
      <c r="T16">
        <v>16.41727777777778</v>
      </c>
      <c r="U16" t="s">
        <v>10</v>
      </c>
      <c r="V16">
        <v>122</v>
      </c>
    </row>
    <row r="17" spans="1:22">
      <c r="A17" t="s">
        <v>84</v>
      </c>
      <c r="B17" t="s">
        <v>67</v>
      </c>
      <c r="C17" t="s">
        <v>21</v>
      </c>
      <c r="D17" t="s">
        <v>96</v>
      </c>
      <c r="E17" t="s">
        <v>97</v>
      </c>
      <c r="F17" t="s">
        <v>70</v>
      </c>
      <c r="G17">
        <v>89867.949702722981</v>
      </c>
      <c r="H17">
        <v>88825.012900958798</v>
      </c>
      <c r="I17" t="s">
        <v>71</v>
      </c>
      <c r="J17" t="s">
        <v>72</v>
      </c>
      <c r="K17" s="144">
        <v>43050</v>
      </c>
      <c r="L17" t="s">
        <v>73</v>
      </c>
      <c r="M17" s="146">
        <v>43059</v>
      </c>
      <c r="N17" s="146">
        <v>43066</v>
      </c>
      <c r="O17" s="144">
        <v>43136</v>
      </c>
      <c r="P17" t="s">
        <v>71</v>
      </c>
      <c r="Q17" t="s">
        <v>98</v>
      </c>
      <c r="R17">
        <v>98720</v>
      </c>
      <c r="S17">
        <v>31.207886111111112</v>
      </c>
      <c r="T17">
        <v>16.572791666666667</v>
      </c>
      <c r="U17" t="s">
        <v>95</v>
      </c>
      <c r="V17">
        <v>86</v>
      </c>
    </row>
    <row r="18" spans="1:22">
      <c r="A18" t="s">
        <v>84</v>
      </c>
      <c r="B18" t="s">
        <v>67</v>
      </c>
      <c r="C18" t="s">
        <v>21</v>
      </c>
      <c r="D18" t="s">
        <v>96</v>
      </c>
      <c r="E18" t="s">
        <v>97</v>
      </c>
      <c r="F18" t="s">
        <v>70</v>
      </c>
      <c r="G18">
        <v>39672.13470799497</v>
      </c>
      <c r="H18">
        <v>39672.13470799497</v>
      </c>
      <c r="I18" t="s">
        <v>71</v>
      </c>
      <c r="J18" t="s">
        <v>72</v>
      </c>
      <c r="K18" s="144">
        <v>43306</v>
      </c>
      <c r="L18" t="s">
        <v>73</v>
      </c>
      <c r="M18" s="146">
        <v>42984</v>
      </c>
      <c r="N18" s="146">
        <v>42991</v>
      </c>
      <c r="O18" s="144">
        <v>43459</v>
      </c>
      <c r="P18" t="s">
        <v>71</v>
      </c>
      <c r="Q18" t="s">
        <v>98</v>
      </c>
      <c r="R18">
        <v>98720</v>
      </c>
      <c r="S18">
        <v>31.205205555555555</v>
      </c>
      <c r="T18">
        <v>16.597158333333333</v>
      </c>
      <c r="U18" t="s">
        <v>95</v>
      </c>
      <c r="V18">
        <v>153</v>
      </c>
    </row>
    <row r="19" spans="1:22">
      <c r="A19" t="s">
        <v>84</v>
      </c>
      <c r="B19" t="s">
        <v>67</v>
      </c>
      <c r="C19" t="s">
        <v>21</v>
      </c>
      <c r="D19" t="s">
        <v>96</v>
      </c>
      <c r="E19" t="s">
        <v>97</v>
      </c>
      <c r="F19" t="s">
        <v>70</v>
      </c>
      <c r="G19">
        <v>43275.210758513174</v>
      </c>
      <c r="H19">
        <v>43087.799408974839</v>
      </c>
      <c r="I19" t="s">
        <v>71</v>
      </c>
      <c r="J19" t="s">
        <v>72</v>
      </c>
      <c r="K19" s="144">
        <v>43055</v>
      </c>
      <c r="L19" t="s">
        <v>73</v>
      </c>
      <c r="M19" s="146">
        <v>43071</v>
      </c>
      <c r="N19" s="146">
        <v>43078</v>
      </c>
      <c r="O19" s="144">
        <v>43309</v>
      </c>
      <c r="P19" t="s">
        <v>71</v>
      </c>
      <c r="Q19" t="s">
        <v>98</v>
      </c>
      <c r="R19">
        <v>98720</v>
      </c>
      <c r="S19">
        <v>31.206716666666665</v>
      </c>
      <c r="T19">
        <v>16.587655555555553</v>
      </c>
      <c r="U19" t="s">
        <v>95</v>
      </c>
      <c r="V19">
        <v>254</v>
      </c>
    </row>
    <row r="20" spans="1:22">
      <c r="A20" t="s">
        <v>84</v>
      </c>
      <c r="B20" t="s">
        <v>67</v>
      </c>
      <c r="C20" t="s">
        <v>21</v>
      </c>
      <c r="D20" t="s">
        <v>96</v>
      </c>
      <c r="E20" t="s">
        <v>97</v>
      </c>
      <c r="F20" t="s">
        <v>70</v>
      </c>
      <c r="G20">
        <v>81050.641607123471</v>
      </c>
      <c r="H20">
        <v>81050.641607123471</v>
      </c>
      <c r="I20" t="s">
        <v>71</v>
      </c>
      <c r="J20" t="s">
        <v>72</v>
      </c>
      <c r="K20" s="144">
        <v>43048</v>
      </c>
      <c r="L20" t="s">
        <v>73</v>
      </c>
      <c r="M20" s="146">
        <v>43058</v>
      </c>
      <c r="N20" s="146">
        <v>43065</v>
      </c>
      <c r="O20" s="144">
        <v>43184</v>
      </c>
      <c r="P20" t="s">
        <v>71</v>
      </c>
      <c r="Q20" t="s">
        <v>98</v>
      </c>
      <c r="R20">
        <v>98720</v>
      </c>
      <c r="S20">
        <v>31.210105555555554</v>
      </c>
      <c r="T20">
        <v>16.570319444444443</v>
      </c>
      <c r="U20" t="s">
        <v>95</v>
      </c>
      <c r="V20">
        <v>136</v>
      </c>
    </row>
    <row r="21" spans="1:22">
      <c r="A21" t="s">
        <v>84</v>
      </c>
      <c r="B21" t="s">
        <v>67</v>
      </c>
      <c r="C21" t="s">
        <v>21</v>
      </c>
      <c r="D21" t="s">
        <v>96</v>
      </c>
      <c r="E21" t="s">
        <v>97</v>
      </c>
      <c r="F21" t="s">
        <v>70</v>
      </c>
      <c r="G21">
        <v>58317.764766735876</v>
      </c>
      <c r="H21">
        <v>58317.764766735876</v>
      </c>
      <c r="I21" t="s">
        <v>71</v>
      </c>
      <c r="J21" t="s">
        <v>72</v>
      </c>
      <c r="K21" s="144">
        <v>43086</v>
      </c>
      <c r="L21" t="s">
        <v>73</v>
      </c>
      <c r="M21" s="146">
        <v>43094</v>
      </c>
      <c r="N21" s="146">
        <v>43101</v>
      </c>
      <c r="O21" s="144">
        <v>43214</v>
      </c>
      <c r="P21" t="s">
        <v>71</v>
      </c>
      <c r="Q21" t="s">
        <v>98</v>
      </c>
      <c r="R21">
        <v>98720</v>
      </c>
      <c r="S21">
        <v>31.209947222222223</v>
      </c>
      <c r="T21">
        <v>16.586222222222222</v>
      </c>
      <c r="U21" t="s">
        <v>10</v>
      </c>
      <c r="V21">
        <v>128</v>
      </c>
    </row>
    <row r="22" spans="1:22">
      <c r="A22" t="s">
        <v>84</v>
      </c>
      <c r="B22" t="s">
        <v>67</v>
      </c>
      <c r="C22" t="s">
        <v>21</v>
      </c>
      <c r="D22" t="s">
        <v>96</v>
      </c>
      <c r="E22" t="s">
        <v>97</v>
      </c>
      <c r="F22" t="s">
        <v>70</v>
      </c>
      <c r="G22">
        <v>198566.2847348947</v>
      </c>
      <c r="H22">
        <v>198496.88966402336</v>
      </c>
      <c r="I22" t="s">
        <v>71</v>
      </c>
      <c r="J22" t="s">
        <v>72</v>
      </c>
      <c r="K22" s="144">
        <v>43412</v>
      </c>
      <c r="L22" t="s">
        <v>73</v>
      </c>
      <c r="M22" s="146">
        <v>43434</v>
      </c>
      <c r="N22" s="146">
        <v>43438</v>
      </c>
      <c r="O22" s="144">
        <v>43559</v>
      </c>
      <c r="P22" t="s">
        <v>71</v>
      </c>
      <c r="Q22" t="s">
        <v>98</v>
      </c>
      <c r="R22">
        <v>98720</v>
      </c>
      <c r="S22">
        <v>31.177844444444446</v>
      </c>
      <c r="T22">
        <v>16.596652777777777</v>
      </c>
      <c r="U22" t="s">
        <v>99</v>
      </c>
      <c r="V22">
        <v>147</v>
      </c>
    </row>
    <row r="23" spans="1:22">
      <c r="A23" t="s">
        <v>84</v>
      </c>
      <c r="B23" t="s">
        <v>67</v>
      </c>
      <c r="C23" t="s">
        <v>21</v>
      </c>
      <c r="D23" t="s">
        <v>96</v>
      </c>
      <c r="E23" t="s">
        <v>97</v>
      </c>
      <c r="F23" t="s">
        <v>70</v>
      </c>
      <c r="G23">
        <v>30779.845408520545</v>
      </c>
      <c r="H23">
        <v>30692.635846529734</v>
      </c>
      <c r="I23" t="s">
        <v>71</v>
      </c>
      <c r="J23" t="s">
        <v>72</v>
      </c>
      <c r="K23" s="144">
        <v>43417</v>
      </c>
      <c r="L23" t="s">
        <v>73</v>
      </c>
      <c r="M23" s="146">
        <v>43434</v>
      </c>
      <c r="N23" s="146">
        <v>43441</v>
      </c>
      <c r="O23" s="144">
        <v>43539</v>
      </c>
      <c r="P23" t="s">
        <v>71</v>
      </c>
      <c r="Q23" t="s">
        <v>98</v>
      </c>
      <c r="R23">
        <v>112158</v>
      </c>
      <c r="S23">
        <v>31.187402777777777</v>
      </c>
      <c r="T23">
        <v>16.417525000000001</v>
      </c>
      <c r="U23" t="s">
        <v>10</v>
      </c>
      <c r="V23">
        <v>122</v>
      </c>
    </row>
    <row r="24" spans="1:22">
      <c r="A24" t="s">
        <v>84</v>
      </c>
      <c r="B24" t="s">
        <v>67</v>
      </c>
      <c r="C24" t="s">
        <v>21</v>
      </c>
      <c r="D24" t="s">
        <v>96</v>
      </c>
      <c r="E24" t="s">
        <v>97</v>
      </c>
      <c r="F24" t="s">
        <v>70</v>
      </c>
      <c r="G24">
        <v>177684.7519031142</v>
      </c>
      <c r="H24">
        <v>177684.7519031142</v>
      </c>
      <c r="I24" t="s">
        <v>71</v>
      </c>
      <c r="J24" t="s">
        <v>72</v>
      </c>
      <c r="K24" s="144">
        <v>43612</v>
      </c>
      <c r="L24" t="s">
        <v>73</v>
      </c>
      <c r="M24" s="146">
        <v>43627</v>
      </c>
      <c r="N24" s="146"/>
      <c r="O24" s="144">
        <v>43758</v>
      </c>
      <c r="P24" t="s">
        <v>71</v>
      </c>
      <c r="Q24" t="s">
        <v>98</v>
      </c>
      <c r="R24">
        <v>112158</v>
      </c>
      <c r="S24">
        <v>31.207341666666665</v>
      </c>
      <c r="T24">
        <v>16.579072222222223</v>
      </c>
      <c r="U24" t="s">
        <v>10</v>
      </c>
      <c r="V24">
        <v>146</v>
      </c>
    </row>
    <row r="25" spans="1:22">
      <c r="A25" t="s">
        <v>84</v>
      </c>
      <c r="B25" t="s">
        <v>67</v>
      </c>
      <c r="C25" t="s">
        <v>21</v>
      </c>
      <c r="D25" t="s">
        <v>96</v>
      </c>
      <c r="E25" t="s">
        <v>97</v>
      </c>
      <c r="F25" t="s">
        <v>70</v>
      </c>
      <c r="G25">
        <v>190090.89396008736</v>
      </c>
      <c r="H25">
        <v>190090.89396008736</v>
      </c>
      <c r="I25" t="s">
        <v>71</v>
      </c>
      <c r="J25" t="s">
        <v>72</v>
      </c>
      <c r="K25" s="144">
        <v>43417</v>
      </c>
      <c r="L25" t="s">
        <v>73</v>
      </c>
      <c r="M25" s="146">
        <v>43432</v>
      </c>
      <c r="N25" s="146">
        <v>43440</v>
      </c>
      <c r="O25" s="144">
        <v>43569</v>
      </c>
      <c r="P25" t="s">
        <v>71</v>
      </c>
      <c r="Q25" t="s">
        <v>98</v>
      </c>
      <c r="R25">
        <v>98720</v>
      </c>
      <c r="S25">
        <v>31.206655555555553</v>
      </c>
      <c r="T25">
        <v>16.560427777777779</v>
      </c>
      <c r="U25" t="s">
        <v>100</v>
      </c>
      <c r="V25">
        <v>152</v>
      </c>
    </row>
    <row r="26" spans="1:22">
      <c r="A26" t="s">
        <v>84</v>
      </c>
      <c r="B26" t="s">
        <v>67</v>
      </c>
      <c r="C26" t="s">
        <v>21</v>
      </c>
      <c r="D26" t="s">
        <v>96</v>
      </c>
      <c r="E26" t="s">
        <v>97</v>
      </c>
      <c r="F26" t="s">
        <v>70</v>
      </c>
      <c r="G26">
        <v>36440.280950798922</v>
      </c>
      <c r="H26">
        <v>36440.280950798922</v>
      </c>
      <c r="I26" t="s">
        <v>71</v>
      </c>
      <c r="J26" t="s">
        <v>72</v>
      </c>
      <c r="K26" s="144">
        <v>43445</v>
      </c>
      <c r="L26" t="s">
        <v>73</v>
      </c>
      <c r="M26" s="146">
        <v>43465</v>
      </c>
      <c r="N26" s="146">
        <v>43472</v>
      </c>
      <c r="O26" s="144">
        <v>43551</v>
      </c>
      <c r="P26" t="s">
        <v>71</v>
      </c>
      <c r="Q26" t="s">
        <v>101</v>
      </c>
      <c r="R26">
        <v>98720</v>
      </c>
      <c r="S26">
        <v>31.199230555555555</v>
      </c>
      <c r="T26">
        <v>16.593963888888887</v>
      </c>
      <c r="U26" t="s">
        <v>102</v>
      </c>
      <c r="V26">
        <v>106</v>
      </c>
    </row>
    <row r="27" spans="1:22">
      <c r="A27" t="s">
        <v>84</v>
      </c>
      <c r="B27" t="s">
        <v>67</v>
      </c>
      <c r="C27" t="s">
        <v>21</v>
      </c>
      <c r="D27" t="s">
        <v>96</v>
      </c>
      <c r="E27" t="s">
        <v>97</v>
      </c>
      <c r="F27" t="s">
        <v>70</v>
      </c>
      <c r="G27">
        <v>190689.52271555961</v>
      </c>
      <c r="H27">
        <v>190689.52271555961</v>
      </c>
      <c r="I27" t="s">
        <v>71</v>
      </c>
      <c r="J27" t="s">
        <v>72</v>
      </c>
      <c r="K27" s="144">
        <v>43612</v>
      </c>
      <c r="L27" t="s">
        <v>73</v>
      </c>
      <c r="M27" s="146">
        <v>43710</v>
      </c>
      <c r="N27" s="146">
        <v>43717</v>
      </c>
      <c r="O27" s="144">
        <v>43824</v>
      </c>
      <c r="P27" t="s">
        <v>71</v>
      </c>
      <c r="Q27" t="s">
        <v>101</v>
      </c>
      <c r="R27">
        <v>112158</v>
      </c>
      <c r="S27">
        <v>31.209280555555555</v>
      </c>
      <c r="T27">
        <v>16.586908333333334</v>
      </c>
      <c r="U27" t="s">
        <v>10</v>
      </c>
      <c r="V27">
        <v>212</v>
      </c>
    </row>
    <row r="28" spans="1:22">
      <c r="A28" t="s">
        <v>84</v>
      </c>
      <c r="B28" t="s">
        <v>67</v>
      </c>
      <c r="C28" t="s">
        <v>21</v>
      </c>
      <c r="D28" t="s">
        <v>96</v>
      </c>
      <c r="E28" t="s">
        <v>97</v>
      </c>
      <c r="F28" t="s">
        <v>70</v>
      </c>
      <c r="G28">
        <v>224318.40198390902</v>
      </c>
      <c r="H28">
        <v>224318.40198390902</v>
      </c>
      <c r="I28" t="s">
        <v>71</v>
      </c>
      <c r="J28" t="s">
        <v>72</v>
      </c>
      <c r="K28" s="144">
        <v>43606</v>
      </c>
      <c r="L28" t="s">
        <v>73</v>
      </c>
      <c r="M28" s="146"/>
      <c r="N28" s="146">
        <v>43619</v>
      </c>
      <c r="O28" s="144">
        <v>43807</v>
      </c>
      <c r="P28" t="s">
        <v>71</v>
      </c>
      <c r="Q28" t="s">
        <v>101</v>
      </c>
      <c r="R28">
        <v>112158</v>
      </c>
      <c r="S28">
        <v>31.208836111111111</v>
      </c>
      <c r="T28">
        <v>16.570911111111112</v>
      </c>
      <c r="U28" t="s">
        <v>103</v>
      </c>
      <c r="V28">
        <v>201</v>
      </c>
    </row>
    <row r="29" spans="1:22">
      <c r="A29" t="s">
        <v>66</v>
      </c>
      <c r="B29" t="s">
        <v>67</v>
      </c>
      <c r="C29" t="s">
        <v>21</v>
      </c>
      <c r="D29" t="s">
        <v>4</v>
      </c>
      <c r="E29" t="s">
        <v>90</v>
      </c>
      <c r="F29" t="s">
        <v>70</v>
      </c>
      <c r="G29">
        <v>65089.034818916953</v>
      </c>
      <c r="H29">
        <v>82620.938542456628</v>
      </c>
      <c r="I29" t="s">
        <v>71</v>
      </c>
      <c r="J29" t="s">
        <v>72</v>
      </c>
      <c r="K29" s="144">
        <v>42767</v>
      </c>
      <c r="L29" t="s">
        <v>73</v>
      </c>
      <c r="M29" s="146"/>
      <c r="N29" s="146"/>
      <c r="O29" s="144">
        <v>43100</v>
      </c>
      <c r="P29" t="s">
        <v>71</v>
      </c>
      <c r="Q29" t="s">
        <v>91</v>
      </c>
      <c r="R29">
        <v>98720</v>
      </c>
      <c r="S29">
        <v>31.183761111111099</v>
      </c>
      <c r="T29">
        <v>16.584347222222199</v>
      </c>
      <c r="U29" t="s">
        <v>78</v>
      </c>
      <c r="V29">
        <v>333</v>
      </c>
    </row>
    <row r="30" spans="1:22">
      <c r="A30" t="s">
        <v>66</v>
      </c>
      <c r="B30" t="s">
        <v>67</v>
      </c>
      <c r="C30" t="s">
        <v>21</v>
      </c>
      <c r="D30" t="s">
        <v>4</v>
      </c>
      <c r="E30" t="s">
        <v>104</v>
      </c>
      <c r="F30" t="s">
        <v>70</v>
      </c>
      <c r="G30">
        <v>44166.11260031323</v>
      </c>
      <c r="H30">
        <v>46403.566179792528</v>
      </c>
      <c r="I30" t="s">
        <v>71</v>
      </c>
      <c r="J30" t="s">
        <v>72</v>
      </c>
      <c r="K30" s="144">
        <v>43042</v>
      </c>
      <c r="L30" t="s">
        <v>73</v>
      </c>
      <c r="M30" s="146"/>
      <c r="N30" s="146"/>
      <c r="O30" s="144">
        <v>43100</v>
      </c>
      <c r="P30" t="s">
        <v>71</v>
      </c>
      <c r="Q30" t="s">
        <v>105</v>
      </c>
      <c r="R30">
        <v>98720</v>
      </c>
      <c r="S30">
        <v>31.183761111111099</v>
      </c>
      <c r="T30">
        <v>16.584347222222199</v>
      </c>
      <c r="U30" t="s">
        <v>102</v>
      </c>
      <c r="V30">
        <v>58</v>
      </c>
    </row>
    <row r="31" spans="1:22">
      <c r="A31" t="s">
        <v>84</v>
      </c>
      <c r="B31" t="s">
        <v>67</v>
      </c>
      <c r="C31" t="s">
        <v>13</v>
      </c>
      <c r="D31" t="s">
        <v>96</v>
      </c>
      <c r="E31" t="s">
        <v>97</v>
      </c>
      <c r="F31" t="s">
        <v>70</v>
      </c>
      <c r="G31">
        <v>22486.07661591479</v>
      </c>
      <c r="H31">
        <v>100282.43100678679</v>
      </c>
      <c r="I31" t="s">
        <v>71</v>
      </c>
      <c r="J31" t="s">
        <v>72</v>
      </c>
      <c r="K31" s="144">
        <v>43605</v>
      </c>
      <c r="L31" t="s">
        <v>73</v>
      </c>
      <c r="M31" s="146"/>
      <c r="N31" s="146"/>
      <c r="O31" s="144">
        <v>43755</v>
      </c>
      <c r="P31" t="s">
        <v>71</v>
      </c>
      <c r="Q31" t="s">
        <v>98</v>
      </c>
      <c r="R31">
        <v>112158</v>
      </c>
      <c r="S31">
        <v>31.38858611111111</v>
      </c>
      <c r="T31">
        <v>13.756736111111111</v>
      </c>
      <c r="U31" t="s">
        <v>10</v>
      </c>
      <c r="V31">
        <v>150</v>
      </c>
    </row>
    <row r="32" spans="1:22">
      <c r="A32" t="s">
        <v>84</v>
      </c>
      <c r="B32" t="s">
        <v>67</v>
      </c>
      <c r="C32" t="s">
        <v>13</v>
      </c>
      <c r="D32" t="s">
        <v>96</v>
      </c>
      <c r="E32" t="s">
        <v>97</v>
      </c>
      <c r="F32" t="s">
        <v>70</v>
      </c>
      <c r="G32">
        <v>24729.743263698056</v>
      </c>
      <c r="H32">
        <v>0</v>
      </c>
      <c r="I32" t="s">
        <v>71</v>
      </c>
      <c r="J32" t="s">
        <v>72</v>
      </c>
      <c r="K32" s="144">
        <v>43605</v>
      </c>
      <c r="L32" t="s">
        <v>73</v>
      </c>
      <c r="M32" s="146"/>
      <c r="N32" s="146"/>
      <c r="O32" s="144">
        <v>43755</v>
      </c>
      <c r="P32" t="s">
        <v>71</v>
      </c>
      <c r="Q32" t="s">
        <v>98</v>
      </c>
      <c r="R32">
        <v>112158</v>
      </c>
      <c r="S32">
        <v>31.751944444444444</v>
      </c>
      <c r="T32">
        <v>14.018527777777779</v>
      </c>
      <c r="U32" t="s">
        <v>10</v>
      </c>
      <c r="V32">
        <v>150</v>
      </c>
    </row>
    <row r="33" spans="1:22">
      <c r="A33" t="s">
        <v>84</v>
      </c>
      <c r="B33" t="s">
        <v>67</v>
      </c>
      <c r="C33" t="s">
        <v>13</v>
      </c>
      <c r="D33" t="s">
        <v>96</v>
      </c>
      <c r="E33" t="s">
        <v>97</v>
      </c>
      <c r="F33" t="s">
        <v>70</v>
      </c>
      <c r="G33">
        <v>32171.569581766929</v>
      </c>
      <c r="H33">
        <v>0</v>
      </c>
      <c r="I33" t="s">
        <v>71</v>
      </c>
      <c r="J33" t="s">
        <v>72</v>
      </c>
      <c r="K33" s="144">
        <v>43605</v>
      </c>
      <c r="L33" t="s">
        <v>73</v>
      </c>
      <c r="M33" s="146"/>
      <c r="N33" s="146"/>
      <c r="O33" s="144">
        <v>43755</v>
      </c>
      <c r="P33" t="s">
        <v>71</v>
      </c>
      <c r="Q33" t="s">
        <v>98</v>
      </c>
      <c r="R33">
        <v>112158</v>
      </c>
      <c r="S33">
        <v>31.750061111111112</v>
      </c>
      <c r="T33">
        <v>14.015183333333333</v>
      </c>
      <c r="U33" t="s">
        <v>10</v>
      </c>
      <c r="V33">
        <v>150</v>
      </c>
    </row>
    <row r="34" spans="1:22">
      <c r="A34" t="s">
        <v>84</v>
      </c>
      <c r="B34" t="s">
        <v>67</v>
      </c>
      <c r="C34" t="s">
        <v>13</v>
      </c>
      <c r="D34" t="s">
        <v>96</v>
      </c>
      <c r="E34" t="s">
        <v>97</v>
      </c>
      <c r="F34" t="s">
        <v>70</v>
      </c>
      <c r="G34">
        <v>33698.015465370692</v>
      </c>
      <c r="H34">
        <v>30328.213918833622</v>
      </c>
      <c r="I34" t="s">
        <v>71</v>
      </c>
      <c r="J34" t="s">
        <v>72</v>
      </c>
      <c r="K34" s="144">
        <v>43589</v>
      </c>
      <c r="L34" t="s">
        <v>73</v>
      </c>
      <c r="M34" s="146">
        <v>43667</v>
      </c>
      <c r="N34" s="146"/>
      <c r="O34" s="144">
        <v>43795</v>
      </c>
      <c r="P34" t="s">
        <v>71</v>
      </c>
      <c r="Q34" t="s">
        <v>98</v>
      </c>
      <c r="R34">
        <v>112158</v>
      </c>
      <c r="S34">
        <v>31.745619444444447</v>
      </c>
      <c r="T34">
        <v>14.009702777777777</v>
      </c>
      <c r="U34" t="s">
        <v>10</v>
      </c>
      <c r="V34">
        <v>206</v>
      </c>
    </row>
    <row r="35" spans="1:22">
      <c r="A35" t="s">
        <v>84</v>
      </c>
      <c r="B35" t="s">
        <v>67</v>
      </c>
      <c r="C35" t="s">
        <v>13</v>
      </c>
      <c r="D35" t="s">
        <v>96</v>
      </c>
      <c r="E35" t="s">
        <v>97</v>
      </c>
      <c r="F35" t="s">
        <v>70</v>
      </c>
      <c r="G35">
        <v>26253.034417710776</v>
      </c>
      <c r="H35">
        <v>23627.730975939703</v>
      </c>
      <c r="I35" t="s">
        <v>71</v>
      </c>
      <c r="J35" t="s">
        <v>72</v>
      </c>
      <c r="K35" s="144">
        <v>43589</v>
      </c>
      <c r="L35" t="s">
        <v>73</v>
      </c>
      <c r="M35" s="146">
        <v>43667</v>
      </c>
      <c r="N35" s="146"/>
      <c r="O35" s="144">
        <v>43795</v>
      </c>
      <c r="P35" t="s">
        <v>71</v>
      </c>
      <c r="Q35" t="s">
        <v>98</v>
      </c>
      <c r="R35">
        <v>112158</v>
      </c>
      <c r="S35">
        <v>31.830625000000001</v>
      </c>
      <c r="T35">
        <v>14.087541666666667</v>
      </c>
      <c r="U35" t="s">
        <v>10</v>
      </c>
      <c r="V35">
        <v>206</v>
      </c>
    </row>
    <row r="36" spans="1:22">
      <c r="A36" t="s">
        <v>84</v>
      </c>
      <c r="B36" t="s">
        <v>67</v>
      </c>
      <c r="C36" t="s">
        <v>13</v>
      </c>
      <c r="D36" t="s">
        <v>96</v>
      </c>
      <c r="E36" t="s">
        <v>97</v>
      </c>
      <c r="F36" t="s">
        <v>70</v>
      </c>
      <c r="G36">
        <v>36574.422553567681</v>
      </c>
      <c r="H36">
        <v>32916.98029821091</v>
      </c>
      <c r="I36" t="s">
        <v>71</v>
      </c>
      <c r="J36" t="s">
        <v>72</v>
      </c>
      <c r="K36" s="144">
        <v>43589</v>
      </c>
      <c r="L36" t="s">
        <v>73</v>
      </c>
      <c r="M36" s="146">
        <v>43667</v>
      </c>
      <c r="N36" s="146"/>
      <c r="O36" s="144">
        <v>43795</v>
      </c>
      <c r="P36" t="s">
        <v>71</v>
      </c>
      <c r="Q36" t="s">
        <v>98</v>
      </c>
      <c r="R36">
        <v>112158</v>
      </c>
      <c r="S36">
        <v>31.732716666666665</v>
      </c>
      <c r="T36">
        <v>14.485058333333333</v>
      </c>
      <c r="U36" t="s">
        <v>10</v>
      </c>
      <c r="V36">
        <v>206</v>
      </c>
    </row>
    <row r="37" spans="1:22">
      <c r="A37" t="s">
        <v>84</v>
      </c>
      <c r="B37" t="s">
        <v>67</v>
      </c>
      <c r="C37" t="s">
        <v>13</v>
      </c>
      <c r="D37" t="s">
        <v>4</v>
      </c>
      <c r="E37" t="s">
        <v>85</v>
      </c>
      <c r="F37" t="s">
        <v>70</v>
      </c>
      <c r="G37">
        <v>54801.142484615331</v>
      </c>
      <c r="H37">
        <v>54801.142484615331</v>
      </c>
      <c r="I37" t="s">
        <v>71</v>
      </c>
      <c r="J37" t="s">
        <v>72</v>
      </c>
      <c r="K37" s="144">
        <v>43385</v>
      </c>
      <c r="L37" t="s">
        <v>73</v>
      </c>
      <c r="M37" s="146">
        <v>43389</v>
      </c>
      <c r="N37" s="146">
        <v>43396</v>
      </c>
      <c r="O37" s="144">
        <v>43467</v>
      </c>
      <c r="P37" t="s">
        <v>71</v>
      </c>
      <c r="Q37" t="s">
        <v>88</v>
      </c>
      <c r="R37">
        <v>98720</v>
      </c>
      <c r="S37">
        <v>31.758602777777778</v>
      </c>
      <c r="T37">
        <v>14.028461111111111</v>
      </c>
      <c r="U37" t="s">
        <v>106</v>
      </c>
      <c r="V37">
        <v>82</v>
      </c>
    </row>
    <row r="38" spans="1:22">
      <c r="A38" t="s">
        <v>84</v>
      </c>
      <c r="B38" t="s">
        <v>67</v>
      </c>
      <c r="C38" t="s">
        <v>13</v>
      </c>
      <c r="D38" t="s">
        <v>96</v>
      </c>
      <c r="E38" t="s">
        <v>97</v>
      </c>
      <c r="F38" t="s">
        <v>70</v>
      </c>
      <c r="G38">
        <v>46925.90172083379</v>
      </c>
      <c r="H38">
        <v>46925.90172083379</v>
      </c>
      <c r="I38" t="s">
        <v>71</v>
      </c>
      <c r="J38" t="s">
        <v>72</v>
      </c>
      <c r="K38" s="144">
        <v>43420</v>
      </c>
      <c r="L38" t="s">
        <v>73</v>
      </c>
      <c r="M38" s="146">
        <v>43439</v>
      </c>
      <c r="N38" s="146">
        <v>43446</v>
      </c>
      <c r="O38" s="144">
        <v>43501</v>
      </c>
      <c r="P38" t="s">
        <v>71</v>
      </c>
      <c r="Q38" t="s">
        <v>98</v>
      </c>
      <c r="R38">
        <v>112158</v>
      </c>
      <c r="S38">
        <v>31.774972222222221</v>
      </c>
      <c r="T38">
        <v>13.995888888888889</v>
      </c>
      <c r="U38" t="s">
        <v>106</v>
      </c>
      <c r="V38">
        <v>81</v>
      </c>
    </row>
    <row r="39" spans="1:22">
      <c r="A39" t="s">
        <v>66</v>
      </c>
      <c r="B39" t="s">
        <v>67</v>
      </c>
      <c r="C39" t="s">
        <v>13</v>
      </c>
      <c r="D39" t="s">
        <v>4</v>
      </c>
      <c r="E39" t="s">
        <v>90</v>
      </c>
      <c r="F39" t="s">
        <v>70</v>
      </c>
      <c r="G39">
        <v>72330.508845703866</v>
      </c>
      <c r="H39">
        <v>80254.178600697574</v>
      </c>
      <c r="I39" t="s">
        <v>71</v>
      </c>
      <c r="J39" t="s">
        <v>72</v>
      </c>
      <c r="K39" s="144">
        <v>43132</v>
      </c>
      <c r="L39" t="s">
        <v>73</v>
      </c>
      <c r="M39" s="146"/>
      <c r="N39" s="146"/>
      <c r="O39" s="144">
        <v>43465</v>
      </c>
      <c r="P39" t="s">
        <v>71</v>
      </c>
      <c r="Q39" t="s">
        <v>91</v>
      </c>
      <c r="R39">
        <v>98720</v>
      </c>
      <c r="S39">
        <v>31.756350000000001</v>
      </c>
      <c r="T39">
        <v>14.02678</v>
      </c>
      <c r="U39" t="s">
        <v>92</v>
      </c>
      <c r="V39">
        <v>333</v>
      </c>
    </row>
    <row r="40" spans="1:22">
      <c r="A40" t="s">
        <v>66</v>
      </c>
      <c r="B40" t="s">
        <v>67</v>
      </c>
      <c r="C40" t="s">
        <v>13</v>
      </c>
      <c r="D40" t="s">
        <v>4</v>
      </c>
      <c r="E40" t="s">
        <v>107</v>
      </c>
      <c r="F40" t="s">
        <v>70</v>
      </c>
      <c r="G40">
        <v>127786.29711878403</v>
      </c>
      <c r="H40">
        <v>138652.45470221477</v>
      </c>
      <c r="I40" t="s">
        <v>71</v>
      </c>
      <c r="J40" t="s">
        <v>72</v>
      </c>
      <c r="K40" s="144">
        <v>42826</v>
      </c>
      <c r="L40" t="s">
        <v>73</v>
      </c>
      <c r="M40" s="146"/>
      <c r="N40" s="146"/>
      <c r="O40" s="144">
        <v>43146</v>
      </c>
      <c r="P40" t="s">
        <v>71</v>
      </c>
      <c r="Q40" t="s">
        <v>108</v>
      </c>
      <c r="R40">
        <v>98720</v>
      </c>
      <c r="S40">
        <v>31.756972222222224</v>
      </c>
      <c r="T40">
        <v>14.026861111111112</v>
      </c>
      <c r="U40" t="s">
        <v>95</v>
      </c>
      <c r="V40">
        <v>320</v>
      </c>
    </row>
    <row r="41" spans="1:22">
      <c r="A41" t="s">
        <v>66</v>
      </c>
      <c r="B41" t="s">
        <v>67</v>
      </c>
      <c r="C41" t="s">
        <v>13</v>
      </c>
      <c r="D41" t="s">
        <v>4</v>
      </c>
      <c r="E41" t="s">
        <v>107</v>
      </c>
      <c r="F41" t="s">
        <v>70</v>
      </c>
      <c r="G41">
        <v>36197.98209851711</v>
      </c>
      <c r="H41">
        <v>36197.98209851711</v>
      </c>
      <c r="I41" t="s">
        <v>71</v>
      </c>
      <c r="J41" t="s">
        <v>72</v>
      </c>
      <c r="K41" s="144">
        <v>42917</v>
      </c>
      <c r="L41" t="s">
        <v>73</v>
      </c>
      <c r="M41" s="146"/>
      <c r="N41" s="146"/>
      <c r="O41" s="144">
        <v>43244</v>
      </c>
      <c r="P41" t="s">
        <v>71</v>
      </c>
      <c r="Q41" t="s">
        <v>108</v>
      </c>
      <c r="R41">
        <v>98720</v>
      </c>
      <c r="S41">
        <v>31.756525</v>
      </c>
      <c r="T41">
        <v>14.027691666666668</v>
      </c>
      <c r="U41" t="s">
        <v>95</v>
      </c>
      <c r="V41">
        <v>327</v>
      </c>
    </row>
    <row r="42" spans="1:22">
      <c r="A42" t="s">
        <v>84</v>
      </c>
      <c r="B42" t="s">
        <v>67</v>
      </c>
      <c r="C42" t="s">
        <v>13</v>
      </c>
      <c r="D42" t="s">
        <v>4</v>
      </c>
      <c r="E42" t="s">
        <v>109</v>
      </c>
      <c r="F42" t="s">
        <v>70</v>
      </c>
      <c r="G42">
        <v>372308.84095362423</v>
      </c>
      <c r="H42">
        <v>332563.04765578167</v>
      </c>
      <c r="I42" t="s">
        <v>71</v>
      </c>
      <c r="J42" t="s">
        <v>72</v>
      </c>
      <c r="K42" s="144">
        <v>43777</v>
      </c>
      <c r="L42" t="s">
        <v>73</v>
      </c>
      <c r="M42" s="146">
        <v>44052</v>
      </c>
      <c r="N42" s="146">
        <v>44062</v>
      </c>
      <c r="O42" s="144">
        <v>44270</v>
      </c>
      <c r="P42" t="s">
        <v>71</v>
      </c>
      <c r="Q42" t="s">
        <v>110</v>
      </c>
      <c r="R42">
        <v>112158</v>
      </c>
      <c r="S42">
        <v>31.756833333333333</v>
      </c>
      <c r="T42">
        <v>14.027638888888889</v>
      </c>
      <c r="U42" t="s">
        <v>95</v>
      </c>
      <c r="V42">
        <v>493</v>
      </c>
    </row>
    <row r="43" spans="1:22">
      <c r="A43" t="s">
        <v>66</v>
      </c>
      <c r="B43" t="s">
        <v>67</v>
      </c>
      <c r="C43" t="s">
        <v>13</v>
      </c>
      <c r="D43" t="s">
        <v>4</v>
      </c>
      <c r="E43" t="s">
        <v>90</v>
      </c>
      <c r="F43" t="s">
        <v>70</v>
      </c>
      <c r="G43">
        <v>25069.389194721407</v>
      </c>
      <c r="H43">
        <v>32222.654872481457</v>
      </c>
      <c r="I43" t="s">
        <v>71</v>
      </c>
      <c r="J43" t="s">
        <v>72</v>
      </c>
      <c r="K43" s="144">
        <v>43132</v>
      </c>
      <c r="L43" t="s">
        <v>73</v>
      </c>
      <c r="M43" s="146"/>
      <c r="N43" s="146"/>
      <c r="O43" s="144">
        <v>43465</v>
      </c>
      <c r="P43" t="s">
        <v>71</v>
      </c>
      <c r="Q43" t="s">
        <v>91</v>
      </c>
      <c r="R43">
        <v>98720</v>
      </c>
      <c r="S43">
        <v>31.756350000000001</v>
      </c>
      <c r="T43">
        <v>14.02678</v>
      </c>
      <c r="U43" t="s">
        <v>92</v>
      </c>
      <c r="V43">
        <v>333</v>
      </c>
    </row>
    <row r="44" spans="1:22">
      <c r="A44" t="s">
        <v>66</v>
      </c>
      <c r="B44" t="s">
        <v>67</v>
      </c>
      <c r="C44" t="s">
        <v>13</v>
      </c>
      <c r="D44" t="s">
        <v>4</v>
      </c>
      <c r="E44" t="s">
        <v>107</v>
      </c>
      <c r="F44" t="s">
        <v>70</v>
      </c>
      <c r="G44">
        <v>103892.80300964892</v>
      </c>
      <c r="H44">
        <v>52865.60495746848</v>
      </c>
      <c r="I44" t="s">
        <v>71</v>
      </c>
      <c r="J44" t="s">
        <v>72</v>
      </c>
      <c r="K44" s="144">
        <v>43513</v>
      </c>
      <c r="L44" t="s">
        <v>73</v>
      </c>
      <c r="M44" s="146"/>
      <c r="N44" s="146"/>
      <c r="O44" s="144">
        <v>43741</v>
      </c>
      <c r="P44" t="s">
        <v>71</v>
      </c>
      <c r="Q44" t="s">
        <v>111</v>
      </c>
      <c r="R44">
        <v>98720</v>
      </c>
      <c r="S44">
        <v>31.756525</v>
      </c>
      <c r="T44">
        <v>14.027691666666668</v>
      </c>
      <c r="U44" t="s">
        <v>106</v>
      </c>
      <c r="V44">
        <v>228</v>
      </c>
    </row>
    <row r="45" spans="1:22">
      <c r="A45" t="s">
        <v>66</v>
      </c>
      <c r="B45" t="s">
        <v>67</v>
      </c>
      <c r="C45" t="s">
        <v>13</v>
      </c>
      <c r="D45" t="s">
        <v>68</v>
      </c>
      <c r="E45" t="s">
        <v>69</v>
      </c>
      <c r="F45" t="s">
        <v>70</v>
      </c>
      <c r="G45">
        <v>163907.01468607588</v>
      </c>
      <c r="H45">
        <v>209406.73847549301</v>
      </c>
      <c r="I45" t="s">
        <v>71</v>
      </c>
      <c r="J45" t="s">
        <v>72</v>
      </c>
      <c r="K45" s="144">
        <v>42826</v>
      </c>
      <c r="L45" t="s">
        <v>73</v>
      </c>
      <c r="M45" s="146"/>
      <c r="N45" s="146"/>
      <c r="O45" s="144">
        <v>43139</v>
      </c>
      <c r="P45" t="s">
        <v>71</v>
      </c>
      <c r="Q45" t="s">
        <v>74</v>
      </c>
      <c r="R45">
        <v>98720</v>
      </c>
      <c r="S45">
        <v>31.730720000000002</v>
      </c>
      <c r="T45">
        <v>14.04922</v>
      </c>
      <c r="U45" t="s">
        <v>95</v>
      </c>
      <c r="V45">
        <v>313</v>
      </c>
    </row>
    <row r="46" spans="1:22">
      <c r="A46" t="s">
        <v>66</v>
      </c>
      <c r="B46" t="s">
        <v>67</v>
      </c>
      <c r="C46" t="s">
        <v>13</v>
      </c>
      <c r="D46" t="s">
        <v>112</v>
      </c>
      <c r="E46" t="s">
        <v>107</v>
      </c>
      <c r="F46" t="s">
        <v>70</v>
      </c>
      <c r="G46">
        <v>34328.484996046252</v>
      </c>
      <c r="H46">
        <v>34328.484996046252</v>
      </c>
      <c r="I46" t="s">
        <v>71</v>
      </c>
      <c r="J46" t="s">
        <v>72</v>
      </c>
      <c r="K46" s="144">
        <v>42917</v>
      </c>
      <c r="L46" t="s">
        <v>73</v>
      </c>
      <c r="M46" s="146"/>
      <c r="N46" s="146"/>
      <c r="O46" s="144">
        <v>43244</v>
      </c>
      <c r="P46" t="s">
        <v>71</v>
      </c>
      <c r="Q46" t="s">
        <v>108</v>
      </c>
      <c r="R46">
        <v>98720</v>
      </c>
      <c r="S46">
        <v>31.756152777777778</v>
      </c>
      <c r="T46">
        <v>14.022152777777778</v>
      </c>
      <c r="U46" t="s">
        <v>95</v>
      </c>
      <c r="V46">
        <v>327</v>
      </c>
    </row>
    <row r="47" spans="1:22">
      <c r="A47" t="s">
        <v>66</v>
      </c>
      <c r="B47" t="s">
        <v>67</v>
      </c>
      <c r="C47" t="s">
        <v>13</v>
      </c>
      <c r="D47" t="s">
        <v>81</v>
      </c>
      <c r="E47" t="s">
        <v>113</v>
      </c>
      <c r="F47" t="s">
        <v>70</v>
      </c>
      <c r="G47">
        <v>40108.227580288614</v>
      </c>
      <c r="H47">
        <v>36679.851812019413</v>
      </c>
      <c r="I47" t="s">
        <v>71</v>
      </c>
      <c r="J47" t="s">
        <v>72</v>
      </c>
      <c r="K47" s="144">
        <v>43187</v>
      </c>
      <c r="L47" t="s">
        <v>73</v>
      </c>
      <c r="M47" s="146"/>
      <c r="N47" s="146"/>
      <c r="O47" s="144">
        <v>43465</v>
      </c>
      <c r="P47" t="s">
        <v>71</v>
      </c>
      <c r="Q47" t="s">
        <v>114</v>
      </c>
      <c r="R47">
        <v>98720</v>
      </c>
      <c r="S47">
        <v>31.751290000000001</v>
      </c>
      <c r="T47">
        <v>13.9893</v>
      </c>
      <c r="U47" t="s">
        <v>10</v>
      </c>
      <c r="V47">
        <v>278</v>
      </c>
    </row>
    <row r="48" spans="1:22">
      <c r="A48" t="s">
        <v>66</v>
      </c>
      <c r="B48" t="s">
        <v>67</v>
      </c>
      <c r="C48" t="s">
        <v>13</v>
      </c>
      <c r="D48" t="s">
        <v>81</v>
      </c>
      <c r="E48" t="s">
        <v>115</v>
      </c>
      <c r="F48" t="s">
        <v>70</v>
      </c>
      <c r="G48">
        <v>188132.6661084462</v>
      </c>
      <c r="H48">
        <v>171833.69599508814</v>
      </c>
      <c r="I48" t="s">
        <v>71</v>
      </c>
      <c r="J48" t="s">
        <v>72</v>
      </c>
      <c r="K48" s="144">
        <v>43275</v>
      </c>
      <c r="L48" t="s">
        <v>73</v>
      </c>
      <c r="M48" s="146"/>
      <c r="N48" s="146"/>
      <c r="O48" s="144">
        <v>43556</v>
      </c>
      <c r="P48" t="s">
        <v>71</v>
      </c>
      <c r="Q48" t="s">
        <v>111</v>
      </c>
      <c r="R48">
        <v>98720</v>
      </c>
      <c r="S48">
        <v>31.752227777777779</v>
      </c>
      <c r="T48">
        <v>14.019961111111112</v>
      </c>
      <c r="U48" t="s">
        <v>116</v>
      </c>
      <c r="V48">
        <v>281</v>
      </c>
    </row>
    <row r="49" spans="1:22">
      <c r="A49" t="s">
        <v>66</v>
      </c>
      <c r="B49" t="s">
        <v>67</v>
      </c>
      <c r="C49" t="s">
        <v>13</v>
      </c>
      <c r="D49" t="s">
        <v>81</v>
      </c>
      <c r="E49" t="s">
        <v>115</v>
      </c>
      <c r="F49" t="s">
        <v>70</v>
      </c>
      <c r="G49">
        <v>4014.602070739375</v>
      </c>
      <c r="H49">
        <v>3864.6102103206786</v>
      </c>
      <c r="I49" t="s">
        <v>71</v>
      </c>
      <c r="J49" t="s">
        <v>72</v>
      </c>
      <c r="K49" s="144">
        <v>43275</v>
      </c>
      <c r="L49" t="s">
        <v>73</v>
      </c>
      <c r="M49" s="146"/>
      <c r="N49" s="146"/>
      <c r="O49" s="144">
        <v>43597</v>
      </c>
      <c r="P49" t="s">
        <v>71</v>
      </c>
      <c r="Q49" t="s">
        <v>111</v>
      </c>
      <c r="R49">
        <v>98720</v>
      </c>
      <c r="S49">
        <v>31.752227777777779</v>
      </c>
      <c r="T49">
        <v>14.019961111111112</v>
      </c>
      <c r="U49" t="s">
        <v>116</v>
      </c>
      <c r="V49">
        <v>322</v>
      </c>
    </row>
    <row r="50" spans="1:22">
      <c r="A50" t="s">
        <v>66</v>
      </c>
      <c r="B50" t="s">
        <v>67</v>
      </c>
      <c r="C50" t="s">
        <v>13</v>
      </c>
      <c r="D50" t="s">
        <v>81</v>
      </c>
      <c r="E50" t="s">
        <v>107</v>
      </c>
      <c r="F50" t="s">
        <v>70</v>
      </c>
      <c r="G50">
        <v>116435.0760497469</v>
      </c>
      <c r="H50">
        <v>0</v>
      </c>
      <c r="I50" t="s">
        <v>71</v>
      </c>
      <c r="J50" t="s">
        <v>72</v>
      </c>
      <c r="K50" s="144">
        <v>43374</v>
      </c>
      <c r="L50" t="s">
        <v>73</v>
      </c>
      <c r="M50" s="146"/>
      <c r="N50" s="146"/>
      <c r="O50" s="144">
        <v>43643</v>
      </c>
      <c r="P50" t="s">
        <v>71</v>
      </c>
      <c r="Q50" t="s">
        <v>108</v>
      </c>
      <c r="S50">
        <v>31.752227777777779</v>
      </c>
      <c r="T50">
        <v>14.019961111111112</v>
      </c>
      <c r="U50" t="s">
        <v>78</v>
      </c>
      <c r="V50">
        <v>269</v>
      </c>
    </row>
    <row r="51" spans="1:22">
      <c r="A51" t="s">
        <v>66</v>
      </c>
      <c r="B51" t="s">
        <v>67</v>
      </c>
      <c r="C51" t="s">
        <v>13</v>
      </c>
      <c r="D51" t="s">
        <v>81</v>
      </c>
      <c r="E51" t="s">
        <v>107</v>
      </c>
      <c r="F51" t="s">
        <v>70</v>
      </c>
      <c r="G51">
        <v>20771.569258415147</v>
      </c>
      <c r="H51">
        <v>20771.569258415147</v>
      </c>
      <c r="I51" t="s">
        <v>71</v>
      </c>
      <c r="J51" t="s">
        <v>72</v>
      </c>
      <c r="K51" s="144">
        <v>43275</v>
      </c>
      <c r="L51" t="s">
        <v>73</v>
      </c>
      <c r="M51" s="146"/>
      <c r="N51" s="146"/>
      <c r="O51" s="144">
        <v>43506</v>
      </c>
      <c r="P51" t="s">
        <v>71</v>
      </c>
      <c r="Q51" t="s">
        <v>108</v>
      </c>
      <c r="R51">
        <v>98720</v>
      </c>
      <c r="S51">
        <v>31.752227777777779</v>
      </c>
      <c r="T51">
        <v>14.019961111111112</v>
      </c>
      <c r="U51" t="s">
        <v>10</v>
      </c>
      <c r="V51">
        <v>231</v>
      </c>
    </row>
    <row r="52" spans="1:22">
      <c r="A52" t="s">
        <v>66</v>
      </c>
      <c r="B52" t="s">
        <v>67</v>
      </c>
      <c r="C52" t="s">
        <v>13</v>
      </c>
      <c r="D52" t="s">
        <v>81</v>
      </c>
      <c r="E52" t="s">
        <v>82</v>
      </c>
      <c r="F52" t="s">
        <v>70</v>
      </c>
      <c r="G52">
        <v>128746.78678960374</v>
      </c>
      <c r="H52">
        <v>118954.02798838475</v>
      </c>
      <c r="I52" t="s">
        <v>71</v>
      </c>
      <c r="J52" t="s">
        <v>72</v>
      </c>
      <c r="K52" s="144">
        <v>43256</v>
      </c>
      <c r="L52" t="s">
        <v>73</v>
      </c>
      <c r="M52" s="146"/>
      <c r="N52" s="146"/>
      <c r="O52" s="144">
        <v>43558</v>
      </c>
      <c r="P52" t="s">
        <v>71</v>
      </c>
      <c r="Q52" t="s">
        <v>83</v>
      </c>
      <c r="R52">
        <v>98720</v>
      </c>
      <c r="S52">
        <v>31.752227777777779</v>
      </c>
      <c r="T52">
        <v>14.019961111111112</v>
      </c>
      <c r="U52" t="s">
        <v>10</v>
      </c>
      <c r="V52">
        <v>302</v>
      </c>
    </row>
    <row r="53" spans="1:22">
      <c r="A53" t="s">
        <v>66</v>
      </c>
      <c r="B53" t="s">
        <v>67</v>
      </c>
      <c r="C53" t="s">
        <v>13</v>
      </c>
      <c r="D53" t="s">
        <v>96</v>
      </c>
      <c r="E53" t="s">
        <v>117</v>
      </c>
      <c r="F53" t="s">
        <v>70</v>
      </c>
      <c r="G53">
        <v>36395.888940380079</v>
      </c>
      <c r="H53">
        <v>39490.770578961339</v>
      </c>
      <c r="I53" t="s">
        <v>71</v>
      </c>
      <c r="J53" t="s">
        <v>72</v>
      </c>
      <c r="K53" s="144">
        <v>43132</v>
      </c>
      <c r="L53" t="s">
        <v>73</v>
      </c>
      <c r="M53" s="146"/>
      <c r="N53" s="146"/>
      <c r="O53" s="144">
        <v>43465</v>
      </c>
      <c r="P53" t="s">
        <v>71</v>
      </c>
      <c r="Q53" t="s">
        <v>108</v>
      </c>
      <c r="R53">
        <v>98720</v>
      </c>
      <c r="S53">
        <v>31.754497222222223</v>
      </c>
      <c r="T53">
        <v>14.025502777777779</v>
      </c>
      <c r="U53" t="s">
        <v>95</v>
      </c>
      <c r="V53">
        <v>333</v>
      </c>
    </row>
    <row r="54" spans="1:22">
      <c r="A54" t="s">
        <v>84</v>
      </c>
      <c r="B54" t="s">
        <v>118</v>
      </c>
      <c r="C54" t="s">
        <v>14</v>
      </c>
      <c r="D54" t="s">
        <v>4</v>
      </c>
      <c r="E54" t="s">
        <v>109</v>
      </c>
      <c r="F54" t="s">
        <v>70</v>
      </c>
      <c r="G54">
        <v>63702.143741151493</v>
      </c>
      <c r="H54">
        <v>63702.143741151493</v>
      </c>
      <c r="I54" t="s">
        <v>71</v>
      </c>
      <c r="J54" t="s">
        <v>72</v>
      </c>
      <c r="K54" s="144">
        <v>42867</v>
      </c>
      <c r="L54" t="s">
        <v>73</v>
      </c>
      <c r="M54" s="146">
        <v>42878</v>
      </c>
      <c r="N54" s="146"/>
      <c r="O54" s="144">
        <v>43005</v>
      </c>
      <c r="P54" t="s">
        <v>71</v>
      </c>
      <c r="Q54" t="s">
        <v>110</v>
      </c>
      <c r="R54">
        <v>98720</v>
      </c>
      <c r="S54">
        <v>32.202981999999999</v>
      </c>
      <c r="T54">
        <v>20.180902</v>
      </c>
      <c r="U54" t="s">
        <v>10</v>
      </c>
      <c r="V54">
        <v>138</v>
      </c>
    </row>
    <row r="55" spans="1:22">
      <c r="A55" t="s">
        <v>84</v>
      </c>
      <c r="B55" t="s">
        <v>118</v>
      </c>
      <c r="C55" t="s">
        <v>14</v>
      </c>
      <c r="D55" t="s">
        <v>4</v>
      </c>
      <c r="E55" t="s">
        <v>85</v>
      </c>
      <c r="F55" t="s">
        <v>70</v>
      </c>
      <c r="G55">
        <v>21610.985713914772</v>
      </c>
      <c r="H55">
        <v>21610.985713914772</v>
      </c>
      <c r="I55" t="s">
        <v>71</v>
      </c>
      <c r="J55" t="s">
        <v>72</v>
      </c>
      <c r="K55" s="144">
        <v>42764</v>
      </c>
      <c r="L55" t="s">
        <v>73</v>
      </c>
      <c r="M55" s="146">
        <v>42779</v>
      </c>
      <c r="N55" s="146"/>
      <c r="O55" s="144">
        <v>42906</v>
      </c>
      <c r="P55" t="s">
        <v>71</v>
      </c>
      <c r="Q55" t="s">
        <v>86</v>
      </c>
      <c r="R55">
        <v>98720</v>
      </c>
      <c r="S55">
        <v>32.050626999999999</v>
      </c>
      <c r="T55">
        <v>20.110337999999999</v>
      </c>
      <c r="U55" t="s">
        <v>116</v>
      </c>
      <c r="V55">
        <v>142</v>
      </c>
    </row>
    <row r="56" spans="1:22">
      <c r="A56" t="s">
        <v>84</v>
      </c>
      <c r="B56" t="s">
        <v>118</v>
      </c>
      <c r="C56" t="s">
        <v>14</v>
      </c>
      <c r="D56" t="s">
        <v>4</v>
      </c>
      <c r="E56" t="s">
        <v>85</v>
      </c>
      <c r="F56" t="s">
        <v>70</v>
      </c>
      <c r="G56">
        <v>24889.018639116541</v>
      </c>
      <c r="H56">
        <v>24889.018639116541</v>
      </c>
      <c r="I56" t="s">
        <v>71</v>
      </c>
      <c r="J56" t="s">
        <v>72</v>
      </c>
      <c r="K56" s="144">
        <v>42886</v>
      </c>
      <c r="L56" t="s">
        <v>73</v>
      </c>
      <c r="M56" s="146"/>
      <c r="N56" s="146"/>
      <c r="O56" s="144">
        <v>42991</v>
      </c>
      <c r="P56" t="s">
        <v>71</v>
      </c>
      <c r="Q56" t="s">
        <v>86</v>
      </c>
      <c r="R56">
        <v>98720</v>
      </c>
      <c r="S56">
        <v>32.029108999999998</v>
      </c>
      <c r="T56">
        <v>20.069583000000002</v>
      </c>
      <c r="U56" t="s">
        <v>89</v>
      </c>
      <c r="V56">
        <v>105</v>
      </c>
    </row>
    <row r="57" spans="1:22">
      <c r="A57" t="s">
        <v>84</v>
      </c>
      <c r="B57" t="s">
        <v>118</v>
      </c>
      <c r="C57" t="s">
        <v>14</v>
      </c>
      <c r="D57" t="s">
        <v>4</v>
      </c>
      <c r="E57" t="s">
        <v>85</v>
      </c>
      <c r="F57" t="s">
        <v>70</v>
      </c>
      <c r="G57">
        <v>64109.370958349326</v>
      </c>
      <c r="H57">
        <v>64109.370958349326</v>
      </c>
      <c r="I57" t="s">
        <v>71</v>
      </c>
      <c r="J57" t="s">
        <v>72</v>
      </c>
      <c r="K57" s="144">
        <v>42696</v>
      </c>
      <c r="L57" t="s">
        <v>73</v>
      </c>
      <c r="M57" s="146">
        <v>42705</v>
      </c>
      <c r="N57" s="146"/>
      <c r="O57" s="144">
        <v>42786</v>
      </c>
      <c r="P57" t="s">
        <v>71</v>
      </c>
      <c r="Q57" t="s">
        <v>86</v>
      </c>
      <c r="R57">
        <v>98720</v>
      </c>
      <c r="S57">
        <v>32.053460000000001</v>
      </c>
      <c r="T57">
        <v>20.109337</v>
      </c>
      <c r="U57" t="s">
        <v>116</v>
      </c>
      <c r="V57">
        <v>90</v>
      </c>
    </row>
    <row r="58" spans="1:22">
      <c r="A58" t="s">
        <v>84</v>
      </c>
      <c r="B58" t="s">
        <v>118</v>
      </c>
      <c r="C58" t="s">
        <v>14</v>
      </c>
      <c r="D58" t="s">
        <v>112</v>
      </c>
      <c r="E58" t="s">
        <v>119</v>
      </c>
      <c r="F58" t="s">
        <v>70</v>
      </c>
      <c r="G58">
        <v>59611.649908245156</v>
      </c>
      <c r="H58">
        <v>59346.885536351059</v>
      </c>
      <c r="I58" t="s">
        <v>71</v>
      </c>
      <c r="J58" t="s">
        <v>72</v>
      </c>
      <c r="K58" s="144">
        <v>42696</v>
      </c>
      <c r="L58" t="s">
        <v>73</v>
      </c>
      <c r="M58" s="146">
        <v>42704</v>
      </c>
      <c r="N58" s="146"/>
      <c r="O58" s="144">
        <v>42792</v>
      </c>
      <c r="P58" t="s">
        <v>71</v>
      </c>
      <c r="Q58" t="s">
        <v>120</v>
      </c>
      <c r="R58">
        <v>98720</v>
      </c>
      <c r="S58">
        <v>32.098011999999997</v>
      </c>
      <c r="T58">
        <v>20.183907999999999</v>
      </c>
      <c r="U58" t="s">
        <v>116</v>
      </c>
      <c r="V58">
        <v>96</v>
      </c>
    </row>
    <row r="59" spans="1:22">
      <c r="A59" t="s">
        <v>84</v>
      </c>
      <c r="B59" t="s">
        <v>118</v>
      </c>
      <c r="C59" t="s">
        <v>14</v>
      </c>
      <c r="D59" t="s">
        <v>112</v>
      </c>
      <c r="E59" t="s">
        <v>119</v>
      </c>
      <c r="F59" t="s">
        <v>70</v>
      </c>
      <c r="G59">
        <v>21498.212979368192</v>
      </c>
      <c r="H59">
        <v>21498.212979368192</v>
      </c>
      <c r="I59" t="s">
        <v>71</v>
      </c>
      <c r="J59" t="s">
        <v>72</v>
      </c>
      <c r="K59" s="144">
        <v>42735</v>
      </c>
      <c r="L59" t="s">
        <v>73</v>
      </c>
      <c r="M59" s="146">
        <v>42743</v>
      </c>
      <c r="N59" s="146"/>
      <c r="O59" s="144">
        <v>42856</v>
      </c>
      <c r="P59" t="s">
        <v>71</v>
      </c>
      <c r="Q59" t="s">
        <v>120</v>
      </c>
      <c r="R59">
        <v>98720</v>
      </c>
      <c r="S59">
        <v>32.113956000000002</v>
      </c>
      <c r="T59">
        <v>20.075614000000002</v>
      </c>
      <c r="U59" t="s">
        <v>116</v>
      </c>
      <c r="V59">
        <v>121</v>
      </c>
    </row>
    <row r="60" spans="1:22">
      <c r="A60" t="s">
        <v>84</v>
      </c>
      <c r="B60" t="s">
        <v>118</v>
      </c>
      <c r="C60" t="s">
        <v>14</v>
      </c>
      <c r="D60" t="s">
        <v>112</v>
      </c>
      <c r="E60" t="s">
        <v>121</v>
      </c>
      <c r="F60" t="s">
        <v>70</v>
      </c>
      <c r="G60">
        <v>81854.018838305754</v>
      </c>
      <c r="H60">
        <v>81854.018838305754</v>
      </c>
      <c r="I60" t="s">
        <v>71</v>
      </c>
      <c r="J60" t="s">
        <v>72</v>
      </c>
      <c r="K60" s="144">
        <v>42948</v>
      </c>
      <c r="L60" t="s">
        <v>73</v>
      </c>
      <c r="M60" s="146"/>
      <c r="N60" s="146"/>
      <c r="O60" s="144">
        <v>43042</v>
      </c>
      <c r="P60" t="s">
        <v>71</v>
      </c>
      <c r="Q60" t="s">
        <v>120</v>
      </c>
      <c r="R60">
        <v>98720</v>
      </c>
      <c r="S60">
        <v>32.106456999999999</v>
      </c>
      <c r="T60">
        <v>20.079190000000001</v>
      </c>
      <c r="U60" t="s">
        <v>95</v>
      </c>
      <c r="V60">
        <v>94</v>
      </c>
    </row>
    <row r="61" spans="1:22">
      <c r="A61" t="s">
        <v>84</v>
      </c>
      <c r="B61" t="s">
        <v>118</v>
      </c>
      <c r="C61" t="s">
        <v>14</v>
      </c>
      <c r="D61" t="s">
        <v>96</v>
      </c>
      <c r="E61" t="s">
        <v>97</v>
      </c>
      <c r="F61" t="s">
        <v>70</v>
      </c>
      <c r="G61">
        <v>82857.147805574816</v>
      </c>
      <c r="H61">
        <v>82857.147805574816</v>
      </c>
      <c r="I61" t="s">
        <v>71</v>
      </c>
      <c r="J61" t="s">
        <v>72</v>
      </c>
      <c r="K61" s="144">
        <v>42900</v>
      </c>
      <c r="L61" t="s">
        <v>73</v>
      </c>
      <c r="M61" s="146"/>
      <c r="N61" s="146"/>
      <c r="O61" s="144">
        <v>43018</v>
      </c>
      <c r="P61" t="s">
        <v>71</v>
      </c>
      <c r="Q61" t="s">
        <v>98</v>
      </c>
      <c r="R61">
        <v>98720</v>
      </c>
      <c r="S61">
        <v>32.054319999999997</v>
      </c>
      <c r="T61">
        <v>20.036657999999999</v>
      </c>
      <c r="U61" t="s">
        <v>100</v>
      </c>
      <c r="V61">
        <v>118</v>
      </c>
    </row>
    <row r="62" spans="1:22">
      <c r="A62" t="s">
        <v>84</v>
      </c>
      <c r="B62" t="s">
        <v>118</v>
      </c>
      <c r="C62" t="s">
        <v>14</v>
      </c>
      <c r="D62" t="s">
        <v>122</v>
      </c>
      <c r="E62" t="s">
        <v>123</v>
      </c>
      <c r="F62" t="s">
        <v>70</v>
      </c>
      <c r="G62">
        <v>57047.102546369541</v>
      </c>
      <c r="H62">
        <v>57047.102546369541</v>
      </c>
      <c r="I62" t="s">
        <v>71</v>
      </c>
      <c r="J62" t="s">
        <v>72</v>
      </c>
      <c r="K62" s="144">
        <v>42845</v>
      </c>
      <c r="L62" t="s">
        <v>73</v>
      </c>
      <c r="M62" s="146"/>
      <c r="N62" s="146"/>
      <c r="O62" s="144">
        <v>42976</v>
      </c>
      <c r="P62" t="s">
        <v>71</v>
      </c>
      <c r="Q62" t="s">
        <v>124</v>
      </c>
      <c r="R62">
        <v>98720</v>
      </c>
      <c r="S62">
        <v>32.099004999999998</v>
      </c>
      <c r="T62">
        <v>20.131820000000001</v>
      </c>
      <c r="U62" t="s">
        <v>10</v>
      </c>
      <c r="V62">
        <v>131</v>
      </c>
    </row>
    <row r="63" spans="1:22">
      <c r="A63" t="s">
        <v>84</v>
      </c>
      <c r="B63" t="s">
        <v>118</v>
      </c>
      <c r="C63" t="s">
        <v>14</v>
      </c>
      <c r="D63" t="s">
        <v>122</v>
      </c>
      <c r="E63" t="s">
        <v>123</v>
      </c>
      <c r="F63" t="s">
        <v>70</v>
      </c>
      <c r="G63">
        <v>135536.47617033651</v>
      </c>
      <c r="H63">
        <v>135536.47617033651</v>
      </c>
      <c r="I63" t="s">
        <v>71</v>
      </c>
      <c r="J63" t="s">
        <v>72</v>
      </c>
      <c r="K63" s="144">
        <v>42875</v>
      </c>
      <c r="L63" t="s">
        <v>73</v>
      </c>
      <c r="M63" s="146"/>
      <c r="N63" s="146"/>
      <c r="O63" s="144">
        <v>42977</v>
      </c>
      <c r="P63" t="s">
        <v>71</v>
      </c>
      <c r="Q63" t="s">
        <v>124</v>
      </c>
      <c r="R63">
        <v>98720</v>
      </c>
      <c r="S63">
        <v>32.103881000000001</v>
      </c>
      <c r="T63">
        <v>20.154771</v>
      </c>
      <c r="U63" t="s">
        <v>94</v>
      </c>
      <c r="V63">
        <v>102</v>
      </c>
    </row>
    <row r="64" spans="1:22">
      <c r="A64" t="s">
        <v>66</v>
      </c>
      <c r="B64" t="s">
        <v>118</v>
      </c>
      <c r="C64" t="s">
        <v>14</v>
      </c>
      <c r="D64" t="s">
        <v>68</v>
      </c>
      <c r="E64" t="s">
        <v>69</v>
      </c>
      <c r="F64" t="s">
        <v>70</v>
      </c>
      <c r="G64">
        <v>412574.37010599312</v>
      </c>
      <c r="H64">
        <v>426068.07394126157</v>
      </c>
      <c r="I64" t="s">
        <v>71</v>
      </c>
      <c r="J64" t="s">
        <v>72</v>
      </c>
      <c r="K64" s="144">
        <v>42401</v>
      </c>
      <c r="L64" t="s">
        <v>73</v>
      </c>
      <c r="M64" s="146"/>
      <c r="N64" s="146"/>
      <c r="O64" s="144">
        <v>42714</v>
      </c>
      <c r="P64" t="s">
        <v>71</v>
      </c>
      <c r="Q64" t="s">
        <v>74</v>
      </c>
      <c r="R64">
        <v>98720</v>
      </c>
      <c r="U64" t="s">
        <v>95</v>
      </c>
      <c r="V64">
        <v>313</v>
      </c>
    </row>
    <row r="65" spans="1:22">
      <c r="A65" t="s">
        <v>66</v>
      </c>
      <c r="B65" t="s">
        <v>118</v>
      </c>
      <c r="C65" t="s">
        <v>14</v>
      </c>
      <c r="D65" t="s">
        <v>68</v>
      </c>
      <c r="E65" t="s">
        <v>79</v>
      </c>
      <c r="F65" t="s">
        <v>70</v>
      </c>
      <c r="G65">
        <v>24457.449392722727</v>
      </c>
      <c r="H65">
        <v>24457.449392722727</v>
      </c>
      <c r="I65" t="s">
        <v>71</v>
      </c>
      <c r="J65" t="s">
        <v>72</v>
      </c>
      <c r="K65" s="144">
        <v>43009</v>
      </c>
      <c r="L65" t="s">
        <v>73</v>
      </c>
      <c r="M65" s="146"/>
      <c r="N65" s="146"/>
      <c r="O65" s="144">
        <v>43307</v>
      </c>
      <c r="P65" t="s">
        <v>71</v>
      </c>
      <c r="Q65" t="s">
        <v>80</v>
      </c>
      <c r="R65">
        <v>98720</v>
      </c>
      <c r="U65" t="s">
        <v>95</v>
      </c>
      <c r="V65">
        <v>298</v>
      </c>
    </row>
    <row r="66" spans="1:22">
      <c r="A66" t="s">
        <v>66</v>
      </c>
      <c r="B66" t="s">
        <v>118</v>
      </c>
      <c r="C66" t="s">
        <v>14</v>
      </c>
      <c r="D66" t="s">
        <v>4</v>
      </c>
      <c r="E66" t="s">
        <v>90</v>
      </c>
      <c r="F66" t="s">
        <v>70</v>
      </c>
      <c r="G66">
        <v>70167.383474101502</v>
      </c>
      <c r="H66">
        <v>252871.52607636779</v>
      </c>
      <c r="I66" t="s">
        <v>71</v>
      </c>
      <c r="J66" t="s">
        <v>72</v>
      </c>
      <c r="K66" s="144">
        <v>42401</v>
      </c>
      <c r="L66" t="s">
        <v>73</v>
      </c>
      <c r="M66" s="146"/>
      <c r="N66" s="146"/>
      <c r="O66" s="144">
        <v>42709</v>
      </c>
      <c r="P66" t="s">
        <v>71</v>
      </c>
      <c r="Q66" t="s">
        <v>91</v>
      </c>
      <c r="R66">
        <v>98720</v>
      </c>
      <c r="S66">
        <v>32.077311111111115</v>
      </c>
      <c r="T66">
        <v>20.097869444444445</v>
      </c>
      <c r="U66" t="s">
        <v>95</v>
      </c>
      <c r="V66">
        <v>308</v>
      </c>
    </row>
    <row r="67" spans="1:22">
      <c r="A67" t="s">
        <v>66</v>
      </c>
      <c r="B67" t="s">
        <v>118</v>
      </c>
      <c r="C67" t="s">
        <v>14</v>
      </c>
      <c r="D67" t="s">
        <v>4</v>
      </c>
      <c r="E67" t="s">
        <v>90</v>
      </c>
      <c r="F67" t="s">
        <v>70</v>
      </c>
      <c r="G67">
        <v>42893.427942787057</v>
      </c>
      <c r="I67" t="s">
        <v>71</v>
      </c>
      <c r="J67" t="s">
        <v>72</v>
      </c>
      <c r="K67" s="144">
        <v>42401</v>
      </c>
      <c r="L67" t="s">
        <v>73</v>
      </c>
      <c r="M67" s="146"/>
      <c r="N67" s="146"/>
      <c r="O67" s="144">
        <v>42709</v>
      </c>
      <c r="P67" t="s">
        <v>71</v>
      </c>
      <c r="Q67" t="s">
        <v>91</v>
      </c>
      <c r="R67">
        <v>98720</v>
      </c>
      <c r="S67">
        <v>32.050983333333328</v>
      </c>
      <c r="T67">
        <v>20.110733333333336</v>
      </c>
      <c r="U67" t="s">
        <v>95</v>
      </c>
      <c r="V67">
        <v>308</v>
      </c>
    </row>
    <row r="68" spans="1:22">
      <c r="A68" t="s">
        <v>66</v>
      </c>
      <c r="B68" t="s">
        <v>118</v>
      </c>
      <c r="C68" t="s">
        <v>14</v>
      </c>
      <c r="D68" t="s">
        <v>4</v>
      </c>
      <c r="E68" t="s">
        <v>90</v>
      </c>
      <c r="F68" t="s">
        <v>70</v>
      </c>
      <c r="G68">
        <v>67281.75887532116</v>
      </c>
      <c r="I68" t="s">
        <v>71</v>
      </c>
      <c r="J68" t="s">
        <v>72</v>
      </c>
      <c r="K68" s="144">
        <v>42401</v>
      </c>
      <c r="L68" t="s">
        <v>73</v>
      </c>
      <c r="M68" s="146"/>
      <c r="N68" s="146"/>
      <c r="O68" s="144">
        <v>42709</v>
      </c>
      <c r="P68" t="s">
        <v>71</v>
      </c>
      <c r="Q68" t="s">
        <v>91</v>
      </c>
      <c r="R68">
        <v>98720</v>
      </c>
      <c r="S68">
        <v>32.110086111111116</v>
      </c>
      <c r="T68">
        <v>20.089680555555553</v>
      </c>
      <c r="U68" t="s">
        <v>95</v>
      </c>
      <c r="V68">
        <v>308</v>
      </c>
    </row>
    <row r="69" spans="1:22">
      <c r="A69" t="s">
        <v>66</v>
      </c>
      <c r="B69" t="s">
        <v>118</v>
      </c>
      <c r="C69" t="s">
        <v>14</v>
      </c>
      <c r="D69" t="s">
        <v>4</v>
      </c>
      <c r="E69" t="s">
        <v>90</v>
      </c>
      <c r="F69" t="s">
        <v>70</v>
      </c>
      <c r="G69">
        <v>81043.465812094495</v>
      </c>
      <c r="I69" t="s">
        <v>71</v>
      </c>
      <c r="J69" t="s">
        <v>72</v>
      </c>
      <c r="K69" s="144">
        <v>42401</v>
      </c>
      <c r="L69" t="s">
        <v>73</v>
      </c>
      <c r="M69" s="146"/>
      <c r="N69" s="146"/>
      <c r="O69" s="144">
        <v>42709</v>
      </c>
      <c r="P69" t="s">
        <v>71</v>
      </c>
      <c r="Q69" t="s">
        <v>91</v>
      </c>
      <c r="R69">
        <v>98720</v>
      </c>
      <c r="S69">
        <v>32.113983333333337</v>
      </c>
      <c r="T69">
        <v>20.075530555555556</v>
      </c>
      <c r="U69" t="s">
        <v>95</v>
      </c>
      <c r="V69">
        <v>308</v>
      </c>
    </row>
    <row r="70" spans="1:22">
      <c r="A70" t="s">
        <v>66</v>
      </c>
      <c r="B70" t="s">
        <v>118</v>
      </c>
      <c r="C70" t="s">
        <v>14</v>
      </c>
      <c r="D70" t="s">
        <v>4</v>
      </c>
      <c r="E70" t="s">
        <v>90</v>
      </c>
      <c r="F70" t="s">
        <v>70</v>
      </c>
      <c r="G70">
        <v>36325.809452065427</v>
      </c>
      <c r="I70" t="s">
        <v>71</v>
      </c>
      <c r="J70" t="s">
        <v>72</v>
      </c>
      <c r="K70" s="144">
        <v>42401</v>
      </c>
      <c r="L70" t="s">
        <v>73</v>
      </c>
      <c r="M70" s="146"/>
      <c r="N70" s="146"/>
      <c r="O70" s="144">
        <v>42709</v>
      </c>
      <c r="P70" t="s">
        <v>71</v>
      </c>
      <c r="Q70" t="s">
        <v>91</v>
      </c>
      <c r="R70">
        <v>98720</v>
      </c>
      <c r="S70">
        <v>32.019911111111114</v>
      </c>
      <c r="T70">
        <v>20.123897222222222</v>
      </c>
      <c r="U70" t="s">
        <v>95</v>
      </c>
      <c r="V70">
        <v>308</v>
      </c>
    </row>
    <row r="71" spans="1:22">
      <c r="A71" t="s">
        <v>66</v>
      </c>
      <c r="B71" t="s">
        <v>118</v>
      </c>
      <c r="C71" t="s">
        <v>14</v>
      </c>
      <c r="D71" t="s">
        <v>4</v>
      </c>
      <c r="E71" t="s">
        <v>107</v>
      </c>
      <c r="F71" t="s">
        <v>70</v>
      </c>
      <c r="G71">
        <v>35565.927217974313</v>
      </c>
      <c r="H71">
        <v>35565.927217974313</v>
      </c>
      <c r="I71" t="s">
        <v>71</v>
      </c>
      <c r="J71" t="s">
        <v>72</v>
      </c>
      <c r="K71" s="144">
        <v>42461</v>
      </c>
      <c r="L71" t="s">
        <v>73</v>
      </c>
      <c r="M71" s="146"/>
      <c r="N71" s="146"/>
      <c r="O71" s="144">
        <v>42770</v>
      </c>
      <c r="P71" t="s">
        <v>71</v>
      </c>
      <c r="Q71" t="s">
        <v>108</v>
      </c>
      <c r="R71">
        <v>98720</v>
      </c>
      <c r="S71">
        <v>32.203122222222227</v>
      </c>
      <c r="T71">
        <v>20.180583333333335</v>
      </c>
      <c r="U71" t="s">
        <v>95</v>
      </c>
      <c r="V71">
        <v>309</v>
      </c>
    </row>
    <row r="72" spans="1:22">
      <c r="A72" t="s">
        <v>66</v>
      </c>
      <c r="B72" t="s">
        <v>118</v>
      </c>
      <c r="C72" t="s">
        <v>14</v>
      </c>
      <c r="D72" t="s">
        <v>112</v>
      </c>
      <c r="E72" t="s">
        <v>107</v>
      </c>
      <c r="F72" t="s">
        <v>70</v>
      </c>
      <c r="G72">
        <v>31202.061227225091</v>
      </c>
      <c r="H72">
        <v>31202.061227225091</v>
      </c>
      <c r="I72" t="s">
        <v>71</v>
      </c>
      <c r="J72" t="s">
        <v>72</v>
      </c>
      <c r="K72" s="144">
        <v>42461</v>
      </c>
      <c r="L72" t="s">
        <v>73</v>
      </c>
      <c r="M72" s="146"/>
      <c r="N72" s="146"/>
      <c r="O72" s="144">
        <v>42767</v>
      </c>
      <c r="P72" t="s">
        <v>71</v>
      </c>
      <c r="Q72" t="s">
        <v>108</v>
      </c>
      <c r="R72">
        <v>98720</v>
      </c>
      <c r="S72">
        <v>32.113956000000002</v>
      </c>
      <c r="T72">
        <v>20.075614000000002</v>
      </c>
      <c r="U72" t="s">
        <v>95</v>
      </c>
      <c r="V72">
        <v>306</v>
      </c>
    </row>
    <row r="73" spans="1:22">
      <c r="A73" t="s">
        <v>66</v>
      </c>
      <c r="B73" t="s">
        <v>118</v>
      </c>
      <c r="C73" t="s">
        <v>14</v>
      </c>
      <c r="D73" t="s">
        <v>4</v>
      </c>
      <c r="E73" t="s">
        <v>125</v>
      </c>
      <c r="F73" t="s">
        <v>70</v>
      </c>
      <c r="G73">
        <v>137656.04539987899</v>
      </c>
      <c r="H73">
        <v>153218.84055719897</v>
      </c>
      <c r="I73" t="s">
        <v>71</v>
      </c>
      <c r="J73" t="s">
        <v>72</v>
      </c>
      <c r="K73" s="144">
        <v>42916</v>
      </c>
      <c r="L73" t="s">
        <v>73</v>
      </c>
      <c r="M73" s="146"/>
      <c r="N73" s="146"/>
      <c r="O73" s="144">
        <v>43465</v>
      </c>
      <c r="P73" t="s">
        <v>71</v>
      </c>
      <c r="Q73" t="s">
        <v>126</v>
      </c>
      <c r="R73">
        <v>98720</v>
      </c>
      <c r="S73">
        <v>32.053472222222219</v>
      </c>
      <c r="T73">
        <v>20.109313888888892</v>
      </c>
      <c r="U73" t="s">
        <v>94</v>
      </c>
      <c r="V73">
        <v>549</v>
      </c>
    </row>
    <row r="74" spans="1:22">
      <c r="A74" t="s">
        <v>66</v>
      </c>
      <c r="B74" t="s">
        <v>118</v>
      </c>
      <c r="C74" t="s">
        <v>14</v>
      </c>
      <c r="D74" t="s">
        <v>4</v>
      </c>
      <c r="E74" t="s">
        <v>127</v>
      </c>
      <c r="F74" t="s">
        <v>70</v>
      </c>
      <c r="G74">
        <v>132320.19478103064</v>
      </c>
      <c r="H74">
        <v>132320.19478103064</v>
      </c>
      <c r="I74" t="s">
        <v>71</v>
      </c>
      <c r="J74" t="s">
        <v>72</v>
      </c>
      <c r="K74" s="144">
        <v>42606</v>
      </c>
      <c r="L74" t="s">
        <v>73</v>
      </c>
      <c r="M74" s="146"/>
      <c r="N74" s="146"/>
      <c r="O74" s="144">
        <v>42735</v>
      </c>
      <c r="P74" t="s">
        <v>71</v>
      </c>
      <c r="Q74" t="s">
        <v>128</v>
      </c>
      <c r="R74">
        <v>98720</v>
      </c>
      <c r="S74">
        <v>32.077311111111115</v>
      </c>
      <c r="T74">
        <v>20.097869444444445</v>
      </c>
      <c r="U74" t="s">
        <v>95</v>
      </c>
      <c r="V74">
        <v>129</v>
      </c>
    </row>
    <row r="75" spans="1:22">
      <c r="A75" t="s">
        <v>66</v>
      </c>
      <c r="B75" t="s">
        <v>118</v>
      </c>
      <c r="C75" t="s">
        <v>14</v>
      </c>
      <c r="D75" t="s">
        <v>4</v>
      </c>
      <c r="E75" t="s">
        <v>127</v>
      </c>
      <c r="F75" t="s">
        <v>70</v>
      </c>
      <c r="G75">
        <v>104547.64555491094</v>
      </c>
      <c r="H75">
        <v>104547.64555491094</v>
      </c>
      <c r="I75" t="s">
        <v>71</v>
      </c>
      <c r="J75" t="s">
        <v>72</v>
      </c>
      <c r="K75" s="144">
        <v>42606</v>
      </c>
      <c r="L75" t="s">
        <v>73</v>
      </c>
      <c r="M75" s="146"/>
      <c r="N75" s="146"/>
      <c r="O75" s="144">
        <v>42735</v>
      </c>
      <c r="P75" t="s">
        <v>71</v>
      </c>
      <c r="Q75" t="s">
        <v>128</v>
      </c>
      <c r="R75">
        <v>98720</v>
      </c>
      <c r="S75">
        <v>32.076950000000004</v>
      </c>
      <c r="T75">
        <v>20.092655555555556</v>
      </c>
      <c r="U75" t="s">
        <v>95</v>
      </c>
      <c r="V75">
        <v>129</v>
      </c>
    </row>
    <row r="76" spans="1:22">
      <c r="A76" t="s">
        <v>66</v>
      </c>
      <c r="B76" t="s">
        <v>118</v>
      </c>
      <c r="C76" t="s">
        <v>14</v>
      </c>
      <c r="D76" t="s">
        <v>4</v>
      </c>
      <c r="E76" t="s">
        <v>127</v>
      </c>
      <c r="F76" t="s">
        <v>70</v>
      </c>
      <c r="G76">
        <v>103709.52895584996</v>
      </c>
      <c r="H76">
        <v>103709.52895584996</v>
      </c>
      <c r="I76" t="s">
        <v>71</v>
      </c>
      <c r="J76" t="s">
        <v>72</v>
      </c>
      <c r="K76" s="144">
        <v>42606</v>
      </c>
      <c r="L76" t="s">
        <v>73</v>
      </c>
      <c r="M76" s="146"/>
      <c r="N76" s="146"/>
      <c r="O76" s="144">
        <v>42735</v>
      </c>
      <c r="P76" t="s">
        <v>71</v>
      </c>
      <c r="Q76" t="s">
        <v>128</v>
      </c>
      <c r="R76">
        <v>98720</v>
      </c>
      <c r="S76">
        <v>32.110086111111116</v>
      </c>
      <c r="T76">
        <v>20.089680555555553</v>
      </c>
      <c r="U76" t="s">
        <v>95</v>
      </c>
      <c r="V76">
        <v>129</v>
      </c>
    </row>
    <row r="77" spans="1:22">
      <c r="A77" t="s">
        <v>66</v>
      </c>
      <c r="B77" t="s">
        <v>118</v>
      </c>
      <c r="C77" t="s">
        <v>14</v>
      </c>
      <c r="D77" t="s">
        <v>4</v>
      </c>
      <c r="E77" t="s">
        <v>127</v>
      </c>
      <c r="F77" t="s">
        <v>70</v>
      </c>
      <c r="G77">
        <v>101892.11839518533</v>
      </c>
      <c r="H77">
        <v>101892.11839518533</v>
      </c>
      <c r="I77" t="s">
        <v>71</v>
      </c>
      <c r="J77" t="s">
        <v>72</v>
      </c>
      <c r="K77" s="144">
        <v>42606</v>
      </c>
      <c r="L77" t="s">
        <v>73</v>
      </c>
      <c r="M77" s="146"/>
      <c r="N77" s="146"/>
      <c r="O77" s="144">
        <v>42735</v>
      </c>
      <c r="P77" t="s">
        <v>71</v>
      </c>
      <c r="Q77" t="s">
        <v>128</v>
      </c>
      <c r="R77">
        <v>98720</v>
      </c>
      <c r="S77">
        <v>32.203122222222227</v>
      </c>
      <c r="T77">
        <v>20.180583333333335</v>
      </c>
      <c r="U77" t="s">
        <v>95</v>
      </c>
      <c r="V77">
        <v>129</v>
      </c>
    </row>
    <row r="78" spans="1:22">
      <c r="A78" t="s">
        <v>66</v>
      </c>
      <c r="B78" t="s">
        <v>118</v>
      </c>
      <c r="C78" t="s">
        <v>14</v>
      </c>
      <c r="D78" t="s">
        <v>112</v>
      </c>
      <c r="E78" t="s">
        <v>129</v>
      </c>
      <c r="F78" t="s">
        <v>70</v>
      </c>
      <c r="G78">
        <v>72661.663250131227</v>
      </c>
      <c r="H78">
        <v>72661.663250131227</v>
      </c>
      <c r="I78" t="s">
        <v>71</v>
      </c>
      <c r="J78" t="s">
        <v>72</v>
      </c>
      <c r="K78" s="144">
        <v>42892</v>
      </c>
      <c r="L78" t="s">
        <v>73</v>
      </c>
      <c r="M78" s="146"/>
      <c r="N78" s="146"/>
      <c r="O78" s="144">
        <v>43100</v>
      </c>
      <c r="P78" t="s">
        <v>71</v>
      </c>
      <c r="Q78" t="s">
        <v>130</v>
      </c>
      <c r="R78">
        <v>98720</v>
      </c>
      <c r="S78">
        <v>32.113983333333337</v>
      </c>
      <c r="T78">
        <v>20.075530555555556</v>
      </c>
      <c r="U78" t="s">
        <v>94</v>
      </c>
      <c r="V78">
        <v>208</v>
      </c>
    </row>
    <row r="79" spans="1:22">
      <c r="A79" t="s">
        <v>66</v>
      </c>
      <c r="B79" t="s">
        <v>118</v>
      </c>
      <c r="C79" t="s">
        <v>14</v>
      </c>
      <c r="D79" t="s">
        <v>112</v>
      </c>
      <c r="E79" t="s">
        <v>129</v>
      </c>
      <c r="F79" t="s">
        <v>70</v>
      </c>
      <c r="G79">
        <v>27753.216591817891</v>
      </c>
      <c r="H79">
        <v>27753.216591817891</v>
      </c>
      <c r="I79" t="s">
        <v>71</v>
      </c>
      <c r="J79" t="s">
        <v>72</v>
      </c>
      <c r="K79" s="144">
        <v>42986</v>
      </c>
      <c r="L79" t="s">
        <v>73</v>
      </c>
      <c r="M79" s="146"/>
      <c r="N79" s="146"/>
      <c r="O79" s="144">
        <v>43100</v>
      </c>
      <c r="P79" t="s">
        <v>71</v>
      </c>
      <c r="Q79" t="s">
        <v>131</v>
      </c>
      <c r="R79">
        <v>98720</v>
      </c>
      <c r="S79">
        <v>32.113983333333337</v>
      </c>
      <c r="T79">
        <v>20.075530555555556</v>
      </c>
      <c r="U79" t="s">
        <v>95</v>
      </c>
      <c r="V79">
        <v>114</v>
      </c>
    </row>
    <row r="80" spans="1:22">
      <c r="A80" t="s">
        <v>84</v>
      </c>
      <c r="B80" t="s">
        <v>118</v>
      </c>
      <c r="C80" t="s">
        <v>14</v>
      </c>
      <c r="D80" t="s">
        <v>122</v>
      </c>
      <c r="E80" t="s">
        <v>132</v>
      </c>
      <c r="F80" t="s">
        <v>70</v>
      </c>
      <c r="G80">
        <v>644011.00501874089</v>
      </c>
      <c r="H80">
        <v>596021.01933668705</v>
      </c>
      <c r="I80" t="s">
        <v>71</v>
      </c>
      <c r="J80" t="s">
        <v>72</v>
      </c>
      <c r="K80" s="144">
        <v>42845</v>
      </c>
      <c r="L80" t="s">
        <v>73</v>
      </c>
      <c r="M80" s="146"/>
      <c r="N80" s="146"/>
      <c r="O80" s="144">
        <v>43709</v>
      </c>
      <c r="P80" t="s">
        <v>71</v>
      </c>
      <c r="Q80" t="s">
        <v>133</v>
      </c>
      <c r="R80">
        <v>98720</v>
      </c>
      <c r="S80">
        <v>32.006777</v>
      </c>
      <c r="T80">
        <v>20.129686</v>
      </c>
      <c r="U80" t="s">
        <v>10</v>
      </c>
      <c r="V80">
        <v>864</v>
      </c>
    </row>
    <row r="81" spans="1:22">
      <c r="A81" t="s">
        <v>66</v>
      </c>
      <c r="B81" t="s">
        <v>118</v>
      </c>
      <c r="C81" t="s">
        <v>14</v>
      </c>
      <c r="D81" t="s">
        <v>81</v>
      </c>
      <c r="E81" t="s">
        <v>134</v>
      </c>
      <c r="F81" t="s">
        <v>70</v>
      </c>
      <c r="G81">
        <v>209917.91520658578</v>
      </c>
      <c r="H81">
        <v>206666.47758404547</v>
      </c>
      <c r="I81" t="s">
        <v>71</v>
      </c>
      <c r="J81" t="s">
        <v>72</v>
      </c>
      <c r="K81" s="144">
        <v>42957</v>
      </c>
      <c r="L81" t="s">
        <v>73</v>
      </c>
      <c r="M81" s="146"/>
      <c r="N81" s="146"/>
      <c r="O81" s="144">
        <v>43465</v>
      </c>
      <c r="P81" t="s">
        <v>71</v>
      </c>
      <c r="Q81" t="s">
        <v>135</v>
      </c>
      <c r="R81">
        <v>98720</v>
      </c>
      <c r="U81" t="s">
        <v>106</v>
      </c>
      <c r="V81">
        <v>508</v>
      </c>
    </row>
    <row r="82" spans="1:22">
      <c r="A82" t="s">
        <v>66</v>
      </c>
      <c r="B82" t="s">
        <v>118</v>
      </c>
      <c r="C82" t="s">
        <v>14</v>
      </c>
      <c r="D82" t="s">
        <v>81</v>
      </c>
      <c r="E82" t="s">
        <v>115</v>
      </c>
      <c r="F82" t="s">
        <v>70</v>
      </c>
      <c r="G82">
        <v>175389.69542358952</v>
      </c>
      <c r="H82">
        <v>175389.69542358952</v>
      </c>
      <c r="I82" t="s">
        <v>71</v>
      </c>
      <c r="J82" t="s">
        <v>72</v>
      </c>
      <c r="K82" s="144">
        <v>42961</v>
      </c>
      <c r="L82" t="s">
        <v>73</v>
      </c>
      <c r="M82" s="146"/>
      <c r="N82" s="146"/>
      <c r="O82" s="144">
        <v>43465</v>
      </c>
      <c r="P82" t="s">
        <v>71</v>
      </c>
      <c r="Q82" t="s">
        <v>111</v>
      </c>
      <c r="R82">
        <v>112158</v>
      </c>
      <c r="S82">
        <v>32.07490277777778</v>
      </c>
      <c r="T82">
        <v>20.230697222222222</v>
      </c>
      <c r="U82" t="s">
        <v>106</v>
      </c>
      <c r="V82">
        <v>504</v>
      </c>
    </row>
    <row r="83" spans="1:22">
      <c r="A83" t="s">
        <v>66</v>
      </c>
      <c r="B83" t="s">
        <v>118</v>
      </c>
      <c r="C83" t="s">
        <v>14</v>
      </c>
      <c r="D83" t="s">
        <v>4</v>
      </c>
      <c r="E83" t="s">
        <v>107</v>
      </c>
      <c r="F83" t="s">
        <v>70</v>
      </c>
      <c r="G83">
        <v>46846.737739255506</v>
      </c>
      <c r="H83">
        <v>46846.737739255506</v>
      </c>
      <c r="I83" t="s">
        <v>71</v>
      </c>
      <c r="J83" t="s">
        <v>72</v>
      </c>
      <c r="K83" s="144">
        <v>42461</v>
      </c>
      <c r="L83" t="s">
        <v>73</v>
      </c>
      <c r="M83" s="146"/>
      <c r="N83" s="146"/>
      <c r="O83" s="144">
        <v>42767</v>
      </c>
      <c r="P83" t="s">
        <v>71</v>
      </c>
      <c r="Q83" t="s">
        <v>108</v>
      </c>
      <c r="R83">
        <v>98720</v>
      </c>
      <c r="S83">
        <v>32.050199999999997</v>
      </c>
      <c r="T83">
        <v>20.110058333333335</v>
      </c>
      <c r="U83" t="s">
        <v>95</v>
      </c>
      <c r="V83">
        <v>306</v>
      </c>
    </row>
    <row r="84" spans="1:22">
      <c r="A84" t="s">
        <v>66</v>
      </c>
      <c r="B84" t="s">
        <v>118</v>
      </c>
      <c r="C84" t="s">
        <v>14</v>
      </c>
      <c r="D84" t="s">
        <v>4</v>
      </c>
      <c r="E84" t="s">
        <v>107</v>
      </c>
      <c r="F84" t="s">
        <v>70</v>
      </c>
      <c r="G84">
        <v>38443.648180707743</v>
      </c>
      <c r="H84">
        <v>38443.648180707743</v>
      </c>
      <c r="I84" t="s">
        <v>71</v>
      </c>
      <c r="J84" t="s">
        <v>72</v>
      </c>
      <c r="K84" s="144">
        <v>42461</v>
      </c>
      <c r="L84" t="s">
        <v>73</v>
      </c>
      <c r="M84" s="146"/>
      <c r="N84" s="146"/>
      <c r="O84" s="144">
        <v>42767</v>
      </c>
      <c r="P84" t="s">
        <v>71</v>
      </c>
      <c r="Q84" t="s">
        <v>108</v>
      </c>
      <c r="R84">
        <v>98720</v>
      </c>
      <c r="S84">
        <v>32.019911111111114</v>
      </c>
      <c r="T84">
        <v>20.123897222222222</v>
      </c>
      <c r="U84" t="s">
        <v>95</v>
      </c>
      <c r="V84">
        <v>306</v>
      </c>
    </row>
    <row r="85" spans="1:22">
      <c r="A85" t="s">
        <v>66</v>
      </c>
      <c r="B85" t="s">
        <v>67</v>
      </c>
      <c r="C85" t="s">
        <v>17</v>
      </c>
      <c r="D85" t="s">
        <v>4</v>
      </c>
      <c r="E85" t="s">
        <v>90</v>
      </c>
      <c r="F85" t="s">
        <v>70</v>
      </c>
      <c r="G85">
        <v>91831.444140569176</v>
      </c>
      <c r="H85">
        <v>73772.876228468842</v>
      </c>
      <c r="I85" t="s">
        <v>71</v>
      </c>
      <c r="J85" t="s">
        <v>72</v>
      </c>
      <c r="K85" s="144">
        <v>42461</v>
      </c>
      <c r="L85" t="s">
        <v>73</v>
      </c>
      <c r="M85" s="146"/>
      <c r="N85" s="146"/>
      <c r="O85" s="144">
        <v>42767</v>
      </c>
      <c r="P85" t="s">
        <v>71</v>
      </c>
      <c r="Q85" t="s">
        <v>91</v>
      </c>
      <c r="R85">
        <v>98720</v>
      </c>
      <c r="S85">
        <v>32.065398000000002</v>
      </c>
      <c r="T85">
        <v>12.695327000000001</v>
      </c>
      <c r="U85" t="s">
        <v>95</v>
      </c>
      <c r="V85">
        <v>306</v>
      </c>
    </row>
    <row r="86" spans="1:22">
      <c r="A86" t="s">
        <v>66</v>
      </c>
      <c r="B86" t="s">
        <v>67</v>
      </c>
      <c r="C86" t="s">
        <v>17</v>
      </c>
      <c r="D86" t="s">
        <v>4</v>
      </c>
      <c r="E86" t="s">
        <v>125</v>
      </c>
      <c r="F86" t="s">
        <v>70</v>
      </c>
      <c r="G86">
        <v>229796.36548649048</v>
      </c>
      <c r="H86">
        <v>229137.32144289766</v>
      </c>
      <c r="I86" t="s">
        <v>71</v>
      </c>
      <c r="J86" t="s">
        <v>72</v>
      </c>
      <c r="K86" s="144">
        <v>43425</v>
      </c>
      <c r="L86" t="s">
        <v>73</v>
      </c>
      <c r="M86" s="146"/>
      <c r="N86" s="146"/>
      <c r="O86" s="144">
        <v>43815</v>
      </c>
      <c r="P86" t="s">
        <v>71</v>
      </c>
      <c r="Q86" t="s">
        <v>126</v>
      </c>
      <c r="R86">
        <v>98720</v>
      </c>
      <c r="S86">
        <v>32.064526000000001</v>
      </c>
      <c r="T86">
        <v>12.690493</v>
      </c>
      <c r="U86" t="s">
        <v>100</v>
      </c>
      <c r="V86">
        <v>390</v>
      </c>
    </row>
    <row r="87" spans="1:22">
      <c r="A87" t="s">
        <v>84</v>
      </c>
      <c r="B87" t="s">
        <v>67</v>
      </c>
      <c r="C87" t="s">
        <v>17</v>
      </c>
      <c r="D87" t="s">
        <v>4</v>
      </c>
      <c r="E87" t="s">
        <v>109</v>
      </c>
      <c r="F87" t="s">
        <v>70</v>
      </c>
      <c r="G87">
        <v>242458.93715826562</v>
      </c>
      <c r="H87">
        <v>242458.93715826562</v>
      </c>
      <c r="I87" t="s">
        <v>71</v>
      </c>
      <c r="J87" t="s">
        <v>72</v>
      </c>
      <c r="K87" s="144">
        <v>42919</v>
      </c>
      <c r="L87" t="s">
        <v>73</v>
      </c>
      <c r="M87" s="146">
        <v>42900</v>
      </c>
      <c r="N87" s="146">
        <v>42907</v>
      </c>
      <c r="O87" s="144">
        <v>43148</v>
      </c>
      <c r="P87" t="s">
        <v>71</v>
      </c>
      <c r="Q87" t="s">
        <v>110</v>
      </c>
      <c r="R87">
        <v>98720</v>
      </c>
      <c r="S87">
        <v>32.064526000000001</v>
      </c>
      <c r="T87">
        <v>12.690493</v>
      </c>
      <c r="U87" t="s">
        <v>95</v>
      </c>
      <c r="V87">
        <v>229</v>
      </c>
    </row>
    <row r="88" spans="1:22">
      <c r="A88" t="s">
        <v>84</v>
      </c>
      <c r="B88" t="s">
        <v>67</v>
      </c>
      <c r="C88" t="s">
        <v>17</v>
      </c>
      <c r="D88" t="s">
        <v>4</v>
      </c>
      <c r="E88" t="s">
        <v>109</v>
      </c>
      <c r="F88" t="s">
        <v>70</v>
      </c>
      <c r="G88">
        <v>11350.915776797812</v>
      </c>
      <c r="H88">
        <v>11350.915776797812</v>
      </c>
      <c r="I88" t="s">
        <v>71</v>
      </c>
      <c r="J88" t="s">
        <v>72</v>
      </c>
      <c r="K88" s="144">
        <v>43166</v>
      </c>
      <c r="L88" t="s">
        <v>73</v>
      </c>
      <c r="M88" s="146">
        <v>43189</v>
      </c>
      <c r="N88" s="146">
        <v>43196</v>
      </c>
      <c r="O88" s="144">
        <v>43228</v>
      </c>
      <c r="P88" t="s">
        <v>71</v>
      </c>
      <c r="Q88" t="s">
        <v>88</v>
      </c>
      <c r="R88">
        <v>98720</v>
      </c>
      <c r="S88">
        <v>32.065092</v>
      </c>
      <c r="T88">
        <v>12.690769</v>
      </c>
      <c r="U88" t="s">
        <v>102</v>
      </c>
      <c r="V88">
        <v>62</v>
      </c>
    </row>
    <row r="89" spans="1:22">
      <c r="A89" t="s">
        <v>84</v>
      </c>
      <c r="B89" t="s">
        <v>67</v>
      </c>
      <c r="C89" t="s">
        <v>17</v>
      </c>
      <c r="D89" t="s">
        <v>4</v>
      </c>
      <c r="E89" t="s">
        <v>109</v>
      </c>
      <c r="F89" t="s">
        <v>70</v>
      </c>
      <c r="G89">
        <v>67748.888408951359</v>
      </c>
      <c r="H89">
        <v>67748.888408951359</v>
      </c>
      <c r="I89" t="s">
        <v>71</v>
      </c>
      <c r="J89" t="s">
        <v>72</v>
      </c>
      <c r="K89" s="144">
        <v>42877</v>
      </c>
      <c r="L89" t="s">
        <v>73</v>
      </c>
      <c r="M89" s="146">
        <v>42890</v>
      </c>
      <c r="N89" s="146">
        <v>42897</v>
      </c>
      <c r="O89" s="144">
        <v>43019</v>
      </c>
      <c r="P89" t="s">
        <v>71</v>
      </c>
      <c r="Q89" t="s">
        <v>110</v>
      </c>
      <c r="R89">
        <v>98720</v>
      </c>
      <c r="S89">
        <v>32.065043000000003</v>
      </c>
      <c r="T89">
        <v>12.689734</v>
      </c>
      <c r="U89" t="s">
        <v>94</v>
      </c>
      <c r="V89">
        <v>142</v>
      </c>
    </row>
    <row r="90" spans="1:22">
      <c r="A90" t="s">
        <v>66</v>
      </c>
      <c r="B90" t="s">
        <v>67</v>
      </c>
      <c r="C90" t="s">
        <v>17</v>
      </c>
      <c r="D90" t="s">
        <v>112</v>
      </c>
      <c r="E90" t="s">
        <v>136</v>
      </c>
      <c r="F90" t="s">
        <v>70</v>
      </c>
      <c r="G90">
        <v>122240.98846262561</v>
      </c>
      <c r="H90">
        <v>127201.34733773385</v>
      </c>
      <c r="I90" t="s">
        <v>71</v>
      </c>
      <c r="J90" t="s">
        <v>72</v>
      </c>
      <c r="K90" s="144">
        <v>42401</v>
      </c>
      <c r="L90" t="s">
        <v>73</v>
      </c>
      <c r="M90" s="146"/>
      <c r="N90" s="146"/>
      <c r="O90" s="144">
        <v>42691</v>
      </c>
      <c r="P90" t="s">
        <v>71</v>
      </c>
      <c r="Q90" t="s">
        <v>137</v>
      </c>
      <c r="R90">
        <v>98720</v>
      </c>
      <c r="S90">
        <v>32.065398000000002</v>
      </c>
      <c r="T90">
        <v>12.695327000000001</v>
      </c>
      <c r="U90" t="s">
        <v>95</v>
      </c>
      <c r="V90">
        <v>290</v>
      </c>
    </row>
    <row r="91" spans="1:22">
      <c r="A91" t="s">
        <v>66</v>
      </c>
      <c r="B91" t="s">
        <v>67</v>
      </c>
      <c r="C91" t="s">
        <v>17</v>
      </c>
      <c r="D91" t="s">
        <v>112</v>
      </c>
      <c r="E91" t="s">
        <v>138</v>
      </c>
      <c r="F91" t="s">
        <v>70</v>
      </c>
      <c r="G91">
        <v>10397.603795563071</v>
      </c>
      <c r="H91">
        <v>10288.155334557145</v>
      </c>
      <c r="I91" t="s">
        <v>71</v>
      </c>
      <c r="J91" t="s">
        <v>72</v>
      </c>
      <c r="K91" s="144">
        <v>42769</v>
      </c>
      <c r="L91" t="s">
        <v>73</v>
      </c>
      <c r="M91" s="146"/>
      <c r="N91" s="146"/>
      <c r="O91" s="144">
        <v>42789</v>
      </c>
      <c r="P91" t="s">
        <v>71</v>
      </c>
      <c r="Q91" t="s">
        <v>139</v>
      </c>
      <c r="R91">
        <v>98720</v>
      </c>
      <c r="S91">
        <v>32.065398000000002</v>
      </c>
      <c r="T91">
        <v>12.695327000000001</v>
      </c>
      <c r="U91" t="s">
        <v>116</v>
      </c>
      <c r="V91">
        <v>20</v>
      </c>
    </row>
    <row r="92" spans="1:22">
      <c r="A92" t="s">
        <v>66</v>
      </c>
      <c r="B92" t="s">
        <v>67</v>
      </c>
      <c r="C92" t="s">
        <v>17</v>
      </c>
      <c r="D92" t="s">
        <v>112</v>
      </c>
      <c r="E92" t="s">
        <v>140</v>
      </c>
      <c r="F92" t="s">
        <v>70</v>
      </c>
      <c r="G92">
        <v>9555.4974782013251</v>
      </c>
      <c r="H92">
        <v>9555.4974782013251</v>
      </c>
      <c r="I92" t="s">
        <v>71</v>
      </c>
      <c r="J92" t="s">
        <v>72</v>
      </c>
      <c r="K92" s="144">
        <v>42733</v>
      </c>
      <c r="L92" t="s">
        <v>73</v>
      </c>
      <c r="M92" s="146"/>
      <c r="N92" s="146"/>
      <c r="O92" s="144">
        <v>43100</v>
      </c>
      <c r="P92" t="s">
        <v>71</v>
      </c>
      <c r="Q92" t="s">
        <v>141</v>
      </c>
      <c r="R92">
        <v>98720</v>
      </c>
      <c r="S92">
        <v>32.065398000000002</v>
      </c>
      <c r="T92">
        <v>12.695327000000001</v>
      </c>
      <c r="U92" t="s">
        <v>116</v>
      </c>
      <c r="V92">
        <v>367</v>
      </c>
    </row>
    <row r="93" spans="1:22">
      <c r="A93" t="s">
        <v>66</v>
      </c>
      <c r="B93" t="s">
        <v>67</v>
      </c>
      <c r="C93" t="s">
        <v>17</v>
      </c>
      <c r="D93" t="s">
        <v>112</v>
      </c>
      <c r="E93" t="s">
        <v>142</v>
      </c>
      <c r="F93" t="s">
        <v>70</v>
      </c>
      <c r="G93">
        <v>46842.070275097605</v>
      </c>
      <c r="H93">
        <v>46842.070275097605</v>
      </c>
      <c r="I93" t="s">
        <v>71</v>
      </c>
      <c r="J93" t="s">
        <v>72</v>
      </c>
      <c r="K93" s="144">
        <v>42856</v>
      </c>
      <c r="L93" t="s">
        <v>73</v>
      </c>
      <c r="M93" s="146"/>
      <c r="N93" s="146"/>
      <c r="O93" s="144">
        <v>43140</v>
      </c>
      <c r="P93" t="s">
        <v>71</v>
      </c>
      <c r="Q93" t="s">
        <v>143</v>
      </c>
      <c r="R93">
        <v>98720</v>
      </c>
      <c r="S93">
        <v>32.065398000000002</v>
      </c>
      <c r="T93">
        <v>12.695327000000001</v>
      </c>
      <c r="U93" t="s">
        <v>95</v>
      </c>
      <c r="V93">
        <v>284</v>
      </c>
    </row>
    <row r="94" spans="1:22">
      <c r="A94" t="s">
        <v>84</v>
      </c>
      <c r="B94" t="s">
        <v>67</v>
      </c>
      <c r="C94" t="s">
        <v>17</v>
      </c>
      <c r="D94" t="s">
        <v>112</v>
      </c>
      <c r="E94" t="s">
        <v>119</v>
      </c>
      <c r="F94" t="s">
        <v>70</v>
      </c>
      <c r="G94">
        <v>44231.468714032439</v>
      </c>
      <c r="H94">
        <v>44231.468714032439</v>
      </c>
      <c r="I94" t="s">
        <v>71</v>
      </c>
      <c r="J94" t="s">
        <v>72</v>
      </c>
      <c r="K94" s="144">
        <v>42796</v>
      </c>
      <c r="L94" t="s">
        <v>73</v>
      </c>
      <c r="M94" s="146">
        <v>42807</v>
      </c>
      <c r="N94" s="146">
        <v>42814</v>
      </c>
      <c r="O94" s="144">
        <v>42869</v>
      </c>
      <c r="P94" t="s">
        <v>71</v>
      </c>
      <c r="Q94" t="s">
        <v>120</v>
      </c>
      <c r="R94">
        <v>98720</v>
      </c>
      <c r="S94">
        <v>32.027749999999997</v>
      </c>
      <c r="T94">
        <v>12.707803</v>
      </c>
      <c r="U94" t="s">
        <v>10</v>
      </c>
      <c r="V94">
        <v>73</v>
      </c>
    </row>
    <row r="95" spans="1:22">
      <c r="A95" t="s">
        <v>66</v>
      </c>
      <c r="B95" t="s">
        <v>67</v>
      </c>
      <c r="C95" t="s">
        <v>17</v>
      </c>
      <c r="D95" t="s">
        <v>122</v>
      </c>
      <c r="E95" t="s">
        <v>144</v>
      </c>
      <c r="F95" t="s">
        <v>70</v>
      </c>
      <c r="G95">
        <v>56751.49174498675</v>
      </c>
      <c r="H95">
        <v>56751.49174498675</v>
      </c>
      <c r="I95" t="s">
        <v>71</v>
      </c>
      <c r="J95" t="s">
        <v>72</v>
      </c>
      <c r="K95" s="144">
        <v>42491</v>
      </c>
      <c r="L95" t="s">
        <v>73</v>
      </c>
      <c r="M95" s="146"/>
      <c r="N95" s="146"/>
      <c r="O95" s="144">
        <v>42767</v>
      </c>
      <c r="P95" t="s">
        <v>71</v>
      </c>
      <c r="Q95" t="s">
        <v>108</v>
      </c>
      <c r="R95">
        <v>98720</v>
      </c>
      <c r="S95">
        <v>32.065398000000002</v>
      </c>
      <c r="T95">
        <v>12.695327000000001</v>
      </c>
      <c r="U95" t="s">
        <v>95</v>
      </c>
      <c r="V95">
        <v>276</v>
      </c>
    </row>
    <row r="96" spans="1:22">
      <c r="A96" t="s">
        <v>66</v>
      </c>
      <c r="B96" t="s">
        <v>67</v>
      </c>
      <c r="C96" t="s">
        <v>17</v>
      </c>
      <c r="D96" t="s">
        <v>96</v>
      </c>
      <c r="E96" t="s">
        <v>117</v>
      </c>
      <c r="F96" t="s">
        <v>70</v>
      </c>
      <c r="G96">
        <v>50964.935711725855</v>
      </c>
      <c r="H96">
        <v>50964.935711725855</v>
      </c>
      <c r="I96" t="s">
        <v>71</v>
      </c>
      <c r="J96" t="s">
        <v>72</v>
      </c>
      <c r="K96" s="144">
        <v>43026</v>
      </c>
      <c r="L96" t="s">
        <v>73</v>
      </c>
      <c r="M96" s="146"/>
      <c r="N96" s="146"/>
      <c r="O96" s="144">
        <v>43100</v>
      </c>
      <c r="P96" t="s">
        <v>71</v>
      </c>
      <c r="Q96" t="s">
        <v>145</v>
      </c>
      <c r="R96">
        <v>98720</v>
      </c>
      <c r="S96">
        <v>32.065398000000002</v>
      </c>
      <c r="T96">
        <v>12.695327000000001</v>
      </c>
      <c r="U96" t="s">
        <v>95</v>
      </c>
      <c r="V96">
        <v>74</v>
      </c>
    </row>
    <row r="97" spans="1:22">
      <c r="A97" t="s">
        <v>66</v>
      </c>
      <c r="B97" t="s">
        <v>67</v>
      </c>
      <c r="C97" t="s">
        <v>17</v>
      </c>
      <c r="D97" t="s">
        <v>96</v>
      </c>
      <c r="E97" t="s">
        <v>117</v>
      </c>
      <c r="F97" t="s">
        <v>70</v>
      </c>
      <c r="I97" t="s">
        <v>71</v>
      </c>
      <c r="J97" t="s">
        <v>72</v>
      </c>
      <c r="K97" s="144">
        <v>43026</v>
      </c>
      <c r="L97" t="s">
        <v>73</v>
      </c>
      <c r="M97" s="146"/>
      <c r="N97" s="146"/>
      <c r="O97" s="144">
        <v>43100</v>
      </c>
      <c r="P97" t="s">
        <v>71</v>
      </c>
      <c r="Q97" t="s">
        <v>145</v>
      </c>
      <c r="R97">
        <v>98720</v>
      </c>
      <c r="S97">
        <v>32.065398000000002</v>
      </c>
      <c r="T97">
        <v>12.695327000000001</v>
      </c>
      <c r="U97" t="s">
        <v>95</v>
      </c>
      <c r="V97">
        <v>74</v>
      </c>
    </row>
    <row r="98" spans="1:22">
      <c r="A98" t="s">
        <v>66</v>
      </c>
      <c r="B98" t="s">
        <v>67</v>
      </c>
      <c r="C98" t="s">
        <v>17</v>
      </c>
      <c r="D98" t="s">
        <v>96</v>
      </c>
      <c r="E98" t="s">
        <v>117</v>
      </c>
      <c r="F98" t="s">
        <v>70</v>
      </c>
      <c r="G98">
        <v>19649.288814355627</v>
      </c>
      <c r="H98">
        <v>19649.288814355627</v>
      </c>
      <c r="I98" t="s">
        <v>71</v>
      </c>
      <c r="J98" t="s">
        <v>72</v>
      </c>
      <c r="K98" s="144">
        <v>42768</v>
      </c>
      <c r="L98" t="s">
        <v>73</v>
      </c>
      <c r="M98" s="146"/>
      <c r="N98" s="146"/>
      <c r="O98" s="144">
        <v>43100</v>
      </c>
      <c r="P98" t="s">
        <v>71</v>
      </c>
      <c r="Q98" t="s">
        <v>145</v>
      </c>
      <c r="R98">
        <v>98720</v>
      </c>
      <c r="S98">
        <v>32.065398000000002</v>
      </c>
      <c r="T98">
        <v>12.695327000000001</v>
      </c>
      <c r="U98" t="s">
        <v>116</v>
      </c>
      <c r="V98">
        <v>332</v>
      </c>
    </row>
    <row r="99" spans="1:22">
      <c r="A99" t="s">
        <v>66</v>
      </c>
      <c r="B99" t="s">
        <v>67</v>
      </c>
      <c r="C99" t="s">
        <v>17</v>
      </c>
      <c r="D99" t="s">
        <v>96</v>
      </c>
      <c r="E99" t="s">
        <v>117</v>
      </c>
      <c r="F99" t="s">
        <v>70</v>
      </c>
      <c r="G99">
        <v>59775.658742450687</v>
      </c>
      <c r="H99">
        <v>59775.658742450687</v>
      </c>
      <c r="I99" t="s">
        <v>71</v>
      </c>
      <c r="J99" t="s">
        <v>72</v>
      </c>
      <c r="K99" s="144">
        <v>42491</v>
      </c>
      <c r="L99" t="s">
        <v>73</v>
      </c>
      <c r="M99" s="146"/>
      <c r="N99" s="146"/>
      <c r="O99" s="144">
        <v>42767</v>
      </c>
      <c r="P99" t="s">
        <v>71</v>
      </c>
      <c r="Q99" t="s">
        <v>145</v>
      </c>
      <c r="R99">
        <v>98720</v>
      </c>
      <c r="S99">
        <v>32.065398000000002</v>
      </c>
      <c r="T99">
        <v>12.695327000000001</v>
      </c>
      <c r="U99" t="s">
        <v>95</v>
      </c>
      <c r="V99">
        <v>276</v>
      </c>
    </row>
    <row r="100" spans="1:22">
      <c r="A100" t="s">
        <v>66</v>
      </c>
      <c r="B100" t="s">
        <v>67</v>
      </c>
      <c r="C100" t="s">
        <v>17</v>
      </c>
      <c r="D100" t="s">
        <v>96</v>
      </c>
      <c r="E100" t="s">
        <v>117</v>
      </c>
      <c r="F100" t="s">
        <v>70</v>
      </c>
      <c r="G100">
        <v>12380.972105169149</v>
      </c>
      <c r="H100">
        <v>12380.972105169149</v>
      </c>
      <c r="I100" t="s">
        <v>71</v>
      </c>
      <c r="J100" t="s">
        <v>72</v>
      </c>
      <c r="K100" s="144">
        <v>43010</v>
      </c>
      <c r="L100" t="s">
        <v>73</v>
      </c>
      <c r="M100" s="146"/>
      <c r="N100" s="146"/>
      <c r="O100" s="144">
        <v>43312</v>
      </c>
      <c r="P100" t="s">
        <v>71</v>
      </c>
      <c r="Q100" t="s">
        <v>145</v>
      </c>
      <c r="R100">
        <v>98720</v>
      </c>
      <c r="S100">
        <v>32.065398000000002</v>
      </c>
      <c r="T100">
        <v>12.695327000000001</v>
      </c>
      <c r="U100" t="s">
        <v>10</v>
      </c>
      <c r="V100">
        <v>302</v>
      </c>
    </row>
    <row r="101" spans="1:22">
      <c r="A101" t="s">
        <v>84</v>
      </c>
      <c r="B101" t="s">
        <v>67</v>
      </c>
      <c r="C101" t="s">
        <v>17</v>
      </c>
      <c r="D101" t="s">
        <v>96</v>
      </c>
      <c r="E101" t="s">
        <v>146</v>
      </c>
      <c r="F101" t="s">
        <v>70</v>
      </c>
      <c r="G101">
        <v>75085.06745480471</v>
      </c>
      <c r="H101">
        <v>75085.06745480471</v>
      </c>
      <c r="I101" t="s">
        <v>71</v>
      </c>
      <c r="J101" t="s">
        <v>72</v>
      </c>
      <c r="K101" s="144">
        <v>42796</v>
      </c>
      <c r="L101" t="s">
        <v>73</v>
      </c>
      <c r="M101" s="146">
        <v>42807</v>
      </c>
      <c r="N101" s="146">
        <v>42814</v>
      </c>
      <c r="O101" s="144">
        <v>42879</v>
      </c>
      <c r="P101" t="s">
        <v>71</v>
      </c>
      <c r="Q101" t="s">
        <v>147</v>
      </c>
      <c r="R101">
        <v>98720</v>
      </c>
      <c r="S101">
        <v>32.057994999999998</v>
      </c>
      <c r="T101">
        <v>12.697725999999999</v>
      </c>
      <c r="U101" t="s">
        <v>10</v>
      </c>
      <c r="V101">
        <v>83</v>
      </c>
    </row>
    <row r="102" spans="1:22">
      <c r="A102" t="s">
        <v>84</v>
      </c>
      <c r="B102" t="s">
        <v>67</v>
      </c>
      <c r="C102" t="s">
        <v>17</v>
      </c>
      <c r="D102" t="s">
        <v>96</v>
      </c>
      <c r="E102" t="s">
        <v>146</v>
      </c>
      <c r="F102" t="s">
        <v>70</v>
      </c>
      <c r="G102">
        <v>10835.79796166945</v>
      </c>
      <c r="H102">
        <v>10835.79796166945</v>
      </c>
      <c r="I102" t="s">
        <v>71</v>
      </c>
      <c r="J102" t="s">
        <v>72</v>
      </c>
      <c r="K102" s="144">
        <v>43166</v>
      </c>
      <c r="L102" t="s">
        <v>73</v>
      </c>
      <c r="M102" s="146">
        <v>43189</v>
      </c>
      <c r="N102" s="146">
        <v>43196</v>
      </c>
      <c r="O102" s="144">
        <v>43228</v>
      </c>
      <c r="P102" t="s">
        <v>71</v>
      </c>
      <c r="Q102" t="s">
        <v>101</v>
      </c>
      <c r="R102">
        <v>98720</v>
      </c>
      <c r="S102">
        <v>32.059027999999998</v>
      </c>
      <c r="T102">
        <v>12.696137</v>
      </c>
      <c r="U102" t="s">
        <v>102</v>
      </c>
      <c r="V102">
        <v>62</v>
      </c>
    </row>
    <row r="103" spans="1:22">
      <c r="A103" t="s">
        <v>66</v>
      </c>
      <c r="B103" t="s">
        <v>67</v>
      </c>
      <c r="C103" t="s">
        <v>17</v>
      </c>
      <c r="D103" t="s">
        <v>96</v>
      </c>
      <c r="E103" t="s">
        <v>117</v>
      </c>
      <c r="F103" t="s">
        <v>70</v>
      </c>
      <c r="G103">
        <v>2571.5796309736074</v>
      </c>
      <c r="H103">
        <v>2571.5796309736074</v>
      </c>
      <c r="I103" t="s">
        <v>71</v>
      </c>
      <c r="J103" t="s">
        <v>72</v>
      </c>
      <c r="K103" s="144">
        <v>42779</v>
      </c>
      <c r="L103" t="s">
        <v>73</v>
      </c>
      <c r="M103" s="146"/>
      <c r="N103" s="146"/>
      <c r="O103" s="144">
        <v>42789</v>
      </c>
      <c r="P103" t="s">
        <v>71</v>
      </c>
      <c r="Q103" t="s">
        <v>145</v>
      </c>
      <c r="R103">
        <v>98720</v>
      </c>
      <c r="S103">
        <v>32.065398000000002</v>
      </c>
      <c r="T103">
        <v>12.695327000000001</v>
      </c>
      <c r="U103" t="s">
        <v>95</v>
      </c>
      <c r="V103">
        <v>10</v>
      </c>
    </row>
    <row r="104" spans="1:22">
      <c r="A104" t="s">
        <v>84</v>
      </c>
      <c r="B104" t="s">
        <v>148</v>
      </c>
      <c r="C104" t="s">
        <v>20</v>
      </c>
      <c r="D104" t="s">
        <v>96</v>
      </c>
      <c r="E104" t="s">
        <v>146</v>
      </c>
      <c r="F104" t="s">
        <v>70</v>
      </c>
      <c r="G104">
        <v>77277.672413241075</v>
      </c>
      <c r="H104">
        <v>77237.627102482424</v>
      </c>
      <c r="I104" t="s">
        <v>71</v>
      </c>
      <c r="J104" t="s">
        <v>72</v>
      </c>
      <c r="K104" s="144">
        <v>43069</v>
      </c>
      <c r="L104" t="s">
        <v>73</v>
      </c>
      <c r="M104" s="146">
        <v>43084</v>
      </c>
      <c r="N104" s="146">
        <v>43093</v>
      </c>
      <c r="O104" s="144">
        <v>43375</v>
      </c>
      <c r="P104" t="s">
        <v>71</v>
      </c>
      <c r="Q104" t="s">
        <v>101</v>
      </c>
      <c r="R104">
        <v>98720</v>
      </c>
      <c r="S104">
        <v>27.044647222222224</v>
      </c>
      <c r="T104">
        <v>14.438600000000001</v>
      </c>
      <c r="U104" t="s">
        <v>149</v>
      </c>
      <c r="V104">
        <v>306</v>
      </c>
    </row>
    <row r="105" spans="1:22">
      <c r="A105" t="s">
        <v>84</v>
      </c>
      <c r="B105" t="s">
        <v>148</v>
      </c>
      <c r="C105" t="s">
        <v>20</v>
      </c>
      <c r="D105" t="s">
        <v>96</v>
      </c>
      <c r="E105" t="s">
        <v>146</v>
      </c>
      <c r="F105" t="s">
        <v>70</v>
      </c>
      <c r="G105">
        <v>43322.522176334816</v>
      </c>
      <c r="H105">
        <v>47654.774393968299</v>
      </c>
      <c r="I105" t="s">
        <v>71</v>
      </c>
      <c r="J105" t="s">
        <v>72</v>
      </c>
      <c r="K105" s="144">
        <v>42927</v>
      </c>
      <c r="L105" t="s">
        <v>73</v>
      </c>
      <c r="M105" s="146">
        <v>42938</v>
      </c>
      <c r="N105" s="146">
        <v>42945</v>
      </c>
      <c r="O105" s="144">
        <v>43282</v>
      </c>
      <c r="P105" t="s">
        <v>71</v>
      </c>
      <c r="Q105" t="s">
        <v>147</v>
      </c>
      <c r="R105">
        <v>98720</v>
      </c>
      <c r="S105">
        <v>27.039502777777781</v>
      </c>
      <c r="T105">
        <v>14.4434</v>
      </c>
      <c r="U105" t="s">
        <v>95</v>
      </c>
      <c r="V105">
        <v>355</v>
      </c>
    </row>
    <row r="106" spans="1:22">
      <c r="A106" t="s">
        <v>66</v>
      </c>
      <c r="B106" t="s">
        <v>148</v>
      </c>
      <c r="C106" t="s">
        <v>20</v>
      </c>
      <c r="D106" t="s">
        <v>81</v>
      </c>
      <c r="E106" t="s">
        <v>134</v>
      </c>
      <c r="F106" t="s">
        <v>70</v>
      </c>
      <c r="G106">
        <v>315980.98163799971</v>
      </c>
      <c r="H106">
        <v>266328.26422825694</v>
      </c>
      <c r="I106" t="s">
        <v>71</v>
      </c>
      <c r="J106" t="s">
        <v>72</v>
      </c>
      <c r="K106" s="144">
        <v>43272</v>
      </c>
      <c r="L106" t="s">
        <v>73</v>
      </c>
      <c r="M106" s="146"/>
      <c r="N106" s="146"/>
      <c r="O106" s="144">
        <v>43722</v>
      </c>
      <c r="P106" t="s">
        <v>71</v>
      </c>
      <c r="Q106" t="s">
        <v>111</v>
      </c>
      <c r="R106">
        <v>98720</v>
      </c>
      <c r="S106" t="s">
        <v>150</v>
      </c>
      <c r="T106" t="s">
        <v>150</v>
      </c>
      <c r="U106" t="s">
        <v>89</v>
      </c>
      <c r="V106">
        <v>450</v>
      </c>
    </row>
    <row r="107" spans="1:22">
      <c r="A107" t="s">
        <v>66</v>
      </c>
      <c r="B107" t="s">
        <v>148</v>
      </c>
      <c r="C107" t="s">
        <v>20</v>
      </c>
      <c r="D107" t="s">
        <v>81</v>
      </c>
      <c r="E107" t="s">
        <v>107</v>
      </c>
      <c r="F107" t="s">
        <v>70</v>
      </c>
      <c r="G107">
        <v>274942.43978417938</v>
      </c>
      <c r="H107">
        <v>274942.43978417944</v>
      </c>
      <c r="I107" t="s">
        <v>71</v>
      </c>
      <c r="J107" t="s">
        <v>72</v>
      </c>
      <c r="K107" s="144">
        <v>43270</v>
      </c>
      <c r="L107" t="s">
        <v>73</v>
      </c>
      <c r="M107" s="146"/>
      <c r="N107" s="146"/>
      <c r="O107" s="144">
        <v>43710</v>
      </c>
      <c r="P107" t="s">
        <v>71</v>
      </c>
      <c r="Q107" t="s">
        <v>108</v>
      </c>
      <c r="R107">
        <v>98720</v>
      </c>
      <c r="S107" t="s">
        <v>150</v>
      </c>
      <c r="T107" t="s">
        <v>150</v>
      </c>
      <c r="U107" t="s">
        <v>10</v>
      </c>
      <c r="V107">
        <v>440</v>
      </c>
    </row>
    <row r="108" spans="1:22">
      <c r="A108" t="s">
        <v>84</v>
      </c>
      <c r="B108" t="s">
        <v>148</v>
      </c>
      <c r="C108" t="s">
        <v>20</v>
      </c>
      <c r="D108" t="s">
        <v>81</v>
      </c>
      <c r="E108" t="s">
        <v>107</v>
      </c>
      <c r="F108" t="s">
        <v>70</v>
      </c>
      <c r="G108">
        <v>169184.87618884444</v>
      </c>
      <c r="H108">
        <v>169184.9411010406</v>
      </c>
      <c r="I108" t="s">
        <v>71</v>
      </c>
      <c r="J108" t="s">
        <v>72</v>
      </c>
      <c r="K108" s="144">
        <v>43534</v>
      </c>
      <c r="L108" t="s">
        <v>73</v>
      </c>
      <c r="M108" s="146">
        <v>43544</v>
      </c>
      <c r="N108" s="146">
        <v>43554</v>
      </c>
      <c r="O108" s="144">
        <v>43687</v>
      </c>
      <c r="P108" t="s">
        <v>71</v>
      </c>
      <c r="Q108" t="s">
        <v>120</v>
      </c>
      <c r="R108">
        <v>112158</v>
      </c>
      <c r="S108" t="s">
        <v>150</v>
      </c>
      <c r="T108" t="s">
        <v>150</v>
      </c>
      <c r="U108" t="s">
        <v>10</v>
      </c>
      <c r="V108">
        <v>153</v>
      </c>
    </row>
    <row r="109" spans="1:22">
      <c r="A109" t="s">
        <v>66</v>
      </c>
      <c r="B109" t="s">
        <v>148</v>
      </c>
      <c r="C109" t="s">
        <v>20</v>
      </c>
      <c r="D109" t="s">
        <v>81</v>
      </c>
      <c r="E109" t="s">
        <v>134</v>
      </c>
      <c r="F109" t="s">
        <v>70</v>
      </c>
      <c r="G109">
        <v>109439.50686543614</v>
      </c>
      <c r="H109">
        <v>109519.03561310515</v>
      </c>
      <c r="I109" t="s">
        <v>71</v>
      </c>
      <c r="J109" t="s">
        <v>72</v>
      </c>
      <c r="K109" s="144">
        <v>43243</v>
      </c>
      <c r="L109" t="s">
        <v>73</v>
      </c>
      <c r="M109" s="146"/>
      <c r="N109" s="146"/>
      <c r="O109" s="144">
        <v>43704</v>
      </c>
      <c r="P109" t="s">
        <v>71</v>
      </c>
      <c r="Q109" t="s">
        <v>135</v>
      </c>
      <c r="R109">
        <v>98720</v>
      </c>
      <c r="S109">
        <v>27.04043888888889</v>
      </c>
      <c r="T109">
        <v>14.429463888888888</v>
      </c>
      <c r="U109" t="s">
        <v>10</v>
      </c>
      <c r="V109">
        <v>461</v>
      </c>
    </row>
    <row r="110" spans="1:22">
      <c r="A110" t="s">
        <v>66</v>
      </c>
      <c r="B110" t="s">
        <v>148</v>
      </c>
      <c r="C110" t="s">
        <v>20</v>
      </c>
      <c r="D110" t="s">
        <v>81</v>
      </c>
      <c r="E110" t="s">
        <v>134</v>
      </c>
      <c r="F110" t="s">
        <v>70</v>
      </c>
      <c r="G110">
        <v>151431.28875248175</v>
      </c>
      <c r="H110">
        <v>129235.73042690077</v>
      </c>
      <c r="I110" t="s">
        <v>71</v>
      </c>
      <c r="J110" t="s">
        <v>72</v>
      </c>
      <c r="K110" s="144">
        <v>43367</v>
      </c>
      <c r="L110" t="s">
        <v>73</v>
      </c>
      <c r="M110" s="146"/>
      <c r="N110" s="146"/>
      <c r="O110" s="144">
        <v>43705</v>
      </c>
      <c r="P110" t="s">
        <v>71</v>
      </c>
      <c r="Q110" t="s">
        <v>135</v>
      </c>
      <c r="R110">
        <v>98720</v>
      </c>
      <c r="S110">
        <v>27.042286111111114</v>
      </c>
      <c r="T110">
        <v>14.439422222222223</v>
      </c>
      <c r="U110" t="s">
        <v>106</v>
      </c>
      <c r="V110">
        <v>338</v>
      </c>
    </row>
    <row r="111" spans="1:22">
      <c r="A111" t="s">
        <v>84</v>
      </c>
      <c r="B111" t="s">
        <v>148</v>
      </c>
      <c r="C111" t="s">
        <v>20</v>
      </c>
      <c r="D111" t="s">
        <v>96</v>
      </c>
      <c r="E111" t="s">
        <v>97</v>
      </c>
      <c r="F111" t="s">
        <v>70</v>
      </c>
      <c r="G111">
        <v>224243.41559848268</v>
      </c>
      <c r="H111">
        <v>0</v>
      </c>
      <c r="I111" t="s">
        <v>71</v>
      </c>
      <c r="J111" t="s">
        <v>151</v>
      </c>
      <c r="K111" s="144"/>
      <c r="M111" s="146"/>
      <c r="N111" s="146"/>
      <c r="O111" s="144"/>
      <c r="P111" t="s">
        <v>152</v>
      </c>
      <c r="Q111" t="s">
        <v>98</v>
      </c>
      <c r="R111">
        <v>112158</v>
      </c>
      <c r="S111" t="s">
        <v>153</v>
      </c>
      <c r="T111" t="s">
        <v>154</v>
      </c>
      <c r="U111" t="s">
        <v>100</v>
      </c>
    </row>
    <row r="112" spans="1:22">
      <c r="A112" t="s">
        <v>66</v>
      </c>
      <c r="B112" t="s">
        <v>148</v>
      </c>
      <c r="C112" t="s">
        <v>20</v>
      </c>
      <c r="D112" t="s">
        <v>4</v>
      </c>
      <c r="E112" t="s">
        <v>87</v>
      </c>
      <c r="F112" t="s">
        <v>70</v>
      </c>
      <c r="G112">
        <v>37105.761280197941</v>
      </c>
      <c r="H112">
        <v>36847.3646139013</v>
      </c>
      <c r="I112" t="s">
        <v>71</v>
      </c>
      <c r="J112" t="s">
        <v>72</v>
      </c>
      <c r="K112" s="144">
        <v>43153</v>
      </c>
      <c r="L112" t="s">
        <v>73</v>
      </c>
      <c r="M112" s="146"/>
      <c r="N112" s="146"/>
      <c r="O112" s="144">
        <v>43465</v>
      </c>
      <c r="P112" t="s">
        <v>71</v>
      </c>
      <c r="Q112" t="s">
        <v>155</v>
      </c>
      <c r="R112">
        <v>98720</v>
      </c>
      <c r="S112">
        <v>27.026227777777777</v>
      </c>
      <c r="T112">
        <v>14.43825</v>
      </c>
      <c r="U112" t="s">
        <v>10</v>
      </c>
      <c r="V112">
        <v>312</v>
      </c>
    </row>
    <row r="113" spans="1:22">
      <c r="A113" t="s">
        <v>84</v>
      </c>
      <c r="B113" t="s">
        <v>148</v>
      </c>
      <c r="C113" t="s">
        <v>20</v>
      </c>
      <c r="D113" t="s">
        <v>4</v>
      </c>
      <c r="E113" t="s">
        <v>85</v>
      </c>
      <c r="F113" t="s">
        <v>70</v>
      </c>
      <c r="G113">
        <v>23418.249322711916</v>
      </c>
      <c r="H113">
        <v>23362.270023138812</v>
      </c>
      <c r="I113" t="s">
        <v>71</v>
      </c>
      <c r="J113" t="s">
        <v>72</v>
      </c>
      <c r="K113" s="144">
        <v>43072</v>
      </c>
      <c r="L113" t="s">
        <v>73</v>
      </c>
      <c r="M113" s="146">
        <v>43084</v>
      </c>
      <c r="N113" s="146">
        <v>43092</v>
      </c>
      <c r="O113" s="144">
        <v>43132</v>
      </c>
      <c r="P113" t="s">
        <v>71</v>
      </c>
      <c r="Q113" t="s">
        <v>110</v>
      </c>
      <c r="R113">
        <v>98720</v>
      </c>
      <c r="S113">
        <v>27.024941666666667</v>
      </c>
      <c r="T113">
        <v>14.439755555555555</v>
      </c>
      <c r="U113" t="s">
        <v>95</v>
      </c>
      <c r="V113">
        <v>60</v>
      </c>
    </row>
    <row r="114" spans="1:22">
      <c r="A114" t="s">
        <v>84</v>
      </c>
      <c r="B114" t="s">
        <v>148</v>
      </c>
      <c r="C114" t="s">
        <v>24</v>
      </c>
      <c r="D114" t="s">
        <v>96</v>
      </c>
      <c r="E114" t="s">
        <v>97</v>
      </c>
      <c r="F114" t="s">
        <v>70</v>
      </c>
      <c r="G114">
        <v>383091.57834784826</v>
      </c>
      <c r="H114">
        <v>382243.80434978509</v>
      </c>
      <c r="I114" t="s">
        <v>71</v>
      </c>
      <c r="J114" t="s">
        <v>72</v>
      </c>
      <c r="K114" s="144">
        <v>42845</v>
      </c>
      <c r="L114" t="s">
        <v>73</v>
      </c>
      <c r="M114" s="146">
        <v>42858</v>
      </c>
      <c r="N114" s="146">
        <v>42865</v>
      </c>
      <c r="O114" s="144">
        <v>43046</v>
      </c>
      <c r="P114" t="s">
        <v>71</v>
      </c>
      <c r="Q114" t="s">
        <v>98</v>
      </c>
      <c r="R114">
        <v>98720</v>
      </c>
      <c r="S114">
        <v>26.594666666666665</v>
      </c>
      <c r="T114">
        <v>12.78001388888889</v>
      </c>
      <c r="U114" t="s">
        <v>10</v>
      </c>
      <c r="V114">
        <v>201</v>
      </c>
    </row>
    <row r="115" spans="1:22">
      <c r="A115" t="s">
        <v>84</v>
      </c>
      <c r="B115" t="s">
        <v>148</v>
      </c>
      <c r="C115" t="s">
        <v>24</v>
      </c>
      <c r="D115" t="s">
        <v>96</v>
      </c>
      <c r="E115" t="s">
        <v>97</v>
      </c>
      <c r="F115" t="s">
        <v>70</v>
      </c>
      <c r="G115">
        <v>305252.94609984208</v>
      </c>
      <c r="H115">
        <v>304339.05221414851</v>
      </c>
      <c r="I115" t="s">
        <v>71</v>
      </c>
      <c r="J115" t="s">
        <v>72</v>
      </c>
      <c r="K115" s="144">
        <v>42846</v>
      </c>
      <c r="L115" t="s">
        <v>73</v>
      </c>
      <c r="M115" s="146">
        <v>42932</v>
      </c>
      <c r="N115" s="146">
        <v>42939</v>
      </c>
      <c r="O115" s="144">
        <v>43100</v>
      </c>
      <c r="P115" t="s">
        <v>71</v>
      </c>
      <c r="Q115" t="s">
        <v>98</v>
      </c>
      <c r="R115">
        <v>98720</v>
      </c>
      <c r="S115">
        <v>26.59386111111111</v>
      </c>
      <c r="T115">
        <v>12.779658333333334</v>
      </c>
      <c r="U115" t="s">
        <v>95</v>
      </c>
      <c r="V115">
        <v>254</v>
      </c>
    </row>
    <row r="116" spans="1:22">
      <c r="A116" t="s">
        <v>84</v>
      </c>
      <c r="B116" t="s">
        <v>148</v>
      </c>
      <c r="C116" t="s">
        <v>24</v>
      </c>
      <c r="D116" t="s">
        <v>96</v>
      </c>
      <c r="E116" t="s">
        <v>97</v>
      </c>
      <c r="F116" t="s">
        <v>70</v>
      </c>
      <c r="G116">
        <v>111125.51125221179</v>
      </c>
      <c r="H116">
        <v>111059.35983726328</v>
      </c>
      <c r="I116" t="s">
        <v>71</v>
      </c>
      <c r="J116" t="s">
        <v>72</v>
      </c>
      <c r="K116" s="144">
        <v>42807</v>
      </c>
      <c r="L116" t="s">
        <v>73</v>
      </c>
      <c r="M116" s="146">
        <v>42857</v>
      </c>
      <c r="N116" s="146">
        <v>42864</v>
      </c>
      <c r="O116" s="144">
        <v>42984</v>
      </c>
      <c r="P116" t="s">
        <v>71</v>
      </c>
      <c r="Q116" t="s">
        <v>98</v>
      </c>
      <c r="R116">
        <v>98720</v>
      </c>
      <c r="S116">
        <v>26.589630555555555</v>
      </c>
      <c r="T116">
        <v>12.771119444444444</v>
      </c>
      <c r="U116" t="s">
        <v>95</v>
      </c>
      <c r="V116">
        <v>177</v>
      </c>
    </row>
    <row r="117" spans="1:22">
      <c r="A117" t="s">
        <v>84</v>
      </c>
      <c r="B117" t="s">
        <v>148</v>
      </c>
      <c r="C117" t="s">
        <v>24</v>
      </c>
      <c r="D117" t="s">
        <v>96</v>
      </c>
      <c r="E117" t="s">
        <v>97</v>
      </c>
      <c r="F117" t="s">
        <v>70</v>
      </c>
      <c r="G117">
        <v>311395.50680241728</v>
      </c>
      <c r="H117">
        <v>311365.88853796385</v>
      </c>
      <c r="I117" t="s">
        <v>71</v>
      </c>
      <c r="J117" t="s">
        <v>72</v>
      </c>
      <c r="K117" s="144">
        <v>42923</v>
      </c>
      <c r="L117" t="s">
        <v>73</v>
      </c>
      <c r="M117" s="146">
        <v>42943</v>
      </c>
      <c r="N117" s="146">
        <v>42950</v>
      </c>
      <c r="O117" s="144">
        <v>43070</v>
      </c>
      <c r="P117" t="s">
        <v>71</v>
      </c>
      <c r="Q117" t="s">
        <v>98</v>
      </c>
      <c r="R117">
        <v>98720</v>
      </c>
      <c r="S117">
        <v>26.589700000000001</v>
      </c>
      <c r="T117">
        <v>12.769525000000002</v>
      </c>
      <c r="U117" t="s">
        <v>95</v>
      </c>
      <c r="V117">
        <v>147</v>
      </c>
    </row>
    <row r="118" spans="1:22">
      <c r="A118" t="s">
        <v>84</v>
      </c>
      <c r="B118" t="s">
        <v>148</v>
      </c>
      <c r="C118" t="s">
        <v>24</v>
      </c>
      <c r="D118" t="s">
        <v>4</v>
      </c>
      <c r="E118" t="s">
        <v>109</v>
      </c>
      <c r="F118" t="s">
        <v>70</v>
      </c>
      <c r="G118">
        <v>266921.71499208972</v>
      </c>
      <c r="H118">
        <v>266921.71499208972</v>
      </c>
      <c r="I118" t="s">
        <v>71</v>
      </c>
      <c r="J118" t="s">
        <v>72</v>
      </c>
      <c r="K118" s="144">
        <v>42795</v>
      </c>
      <c r="L118" t="s">
        <v>73</v>
      </c>
      <c r="M118" s="146">
        <v>42806</v>
      </c>
      <c r="N118" s="146">
        <v>42813</v>
      </c>
      <c r="O118" s="144">
        <v>42933</v>
      </c>
      <c r="P118" t="s">
        <v>71</v>
      </c>
      <c r="Q118" t="s">
        <v>110</v>
      </c>
      <c r="R118">
        <v>98720</v>
      </c>
      <c r="S118">
        <v>26.592819444444444</v>
      </c>
      <c r="T118">
        <v>12.762944444444445</v>
      </c>
      <c r="U118" t="s">
        <v>94</v>
      </c>
      <c r="V118">
        <v>138</v>
      </c>
    </row>
    <row r="119" spans="1:22">
      <c r="A119" t="s">
        <v>66</v>
      </c>
      <c r="B119" t="s">
        <v>148</v>
      </c>
      <c r="C119" t="s">
        <v>24</v>
      </c>
      <c r="D119" t="s">
        <v>4</v>
      </c>
      <c r="E119" t="s">
        <v>125</v>
      </c>
      <c r="F119" t="s">
        <v>70</v>
      </c>
      <c r="G119">
        <v>55914.055962879836</v>
      </c>
      <c r="H119">
        <v>54898.396602055946</v>
      </c>
      <c r="I119" t="s">
        <v>71</v>
      </c>
      <c r="J119" t="s">
        <v>72</v>
      </c>
      <c r="K119" s="144">
        <v>43411</v>
      </c>
      <c r="L119" t="s">
        <v>73</v>
      </c>
      <c r="M119" s="146"/>
      <c r="N119" s="146"/>
      <c r="O119" s="144">
        <v>43699</v>
      </c>
      <c r="P119" t="s">
        <v>71</v>
      </c>
      <c r="Q119" t="s">
        <v>126</v>
      </c>
      <c r="R119">
        <v>98720</v>
      </c>
      <c r="S119">
        <v>26.592819444444444</v>
      </c>
      <c r="T119">
        <v>12.762944444444445</v>
      </c>
      <c r="U119" t="s">
        <v>94</v>
      </c>
      <c r="V119">
        <v>288</v>
      </c>
    </row>
    <row r="120" spans="1:22">
      <c r="A120" t="s">
        <v>66</v>
      </c>
      <c r="B120" t="s">
        <v>148</v>
      </c>
      <c r="C120" t="s">
        <v>24</v>
      </c>
      <c r="D120" t="s">
        <v>4</v>
      </c>
      <c r="E120" t="s">
        <v>90</v>
      </c>
      <c r="F120" t="s">
        <v>70</v>
      </c>
      <c r="G120">
        <v>62002.57413350018</v>
      </c>
      <c r="H120">
        <v>69106.735654381351</v>
      </c>
      <c r="I120" t="s">
        <v>71</v>
      </c>
      <c r="J120" t="s">
        <v>72</v>
      </c>
      <c r="K120" s="144">
        <v>42401</v>
      </c>
      <c r="L120" t="s">
        <v>73</v>
      </c>
      <c r="M120" s="146"/>
      <c r="N120" s="146"/>
      <c r="O120" s="144">
        <v>43100</v>
      </c>
      <c r="P120" t="s">
        <v>71</v>
      </c>
      <c r="Q120" t="s">
        <v>91</v>
      </c>
      <c r="R120">
        <v>98720</v>
      </c>
      <c r="S120">
        <v>26.592819444444444</v>
      </c>
      <c r="T120">
        <v>12.762944444444445</v>
      </c>
      <c r="U120" t="s">
        <v>92</v>
      </c>
      <c r="V120">
        <v>699</v>
      </c>
    </row>
    <row r="121" spans="1:22">
      <c r="A121" t="s">
        <v>66</v>
      </c>
      <c r="B121" t="s">
        <v>148</v>
      </c>
      <c r="C121" t="s">
        <v>24</v>
      </c>
      <c r="D121" t="s">
        <v>4</v>
      </c>
      <c r="E121" t="s">
        <v>107</v>
      </c>
      <c r="F121" t="s">
        <v>70</v>
      </c>
      <c r="G121">
        <v>78445.162986374678</v>
      </c>
      <c r="H121">
        <v>78644.645445518094</v>
      </c>
      <c r="I121" t="s">
        <v>71</v>
      </c>
      <c r="J121" t="s">
        <v>72</v>
      </c>
      <c r="K121" s="144">
        <v>42401</v>
      </c>
      <c r="L121" t="s">
        <v>73</v>
      </c>
      <c r="M121" s="146"/>
      <c r="N121" s="146"/>
      <c r="O121" s="144">
        <v>43100</v>
      </c>
      <c r="P121" t="s">
        <v>71</v>
      </c>
      <c r="Q121" t="s">
        <v>108</v>
      </c>
      <c r="R121">
        <v>98720</v>
      </c>
      <c r="S121" t="s">
        <v>156</v>
      </c>
      <c r="T121" t="s">
        <v>157</v>
      </c>
      <c r="U121" t="s">
        <v>95</v>
      </c>
      <c r="V121">
        <v>699</v>
      </c>
    </row>
    <row r="122" spans="1:22">
      <c r="A122" t="s">
        <v>66</v>
      </c>
      <c r="B122" t="s">
        <v>148</v>
      </c>
      <c r="C122" t="s">
        <v>24</v>
      </c>
      <c r="D122" t="s">
        <v>68</v>
      </c>
      <c r="E122" t="s">
        <v>69</v>
      </c>
      <c r="F122" t="s">
        <v>70</v>
      </c>
      <c r="G122">
        <v>89838.38834607249</v>
      </c>
      <c r="H122">
        <v>89734.20661497704</v>
      </c>
      <c r="I122" t="s">
        <v>71</v>
      </c>
      <c r="J122" t="s">
        <v>72</v>
      </c>
      <c r="K122" s="144">
        <v>42856</v>
      </c>
      <c r="L122" t="s">
        <v>73</v>
      </c>
      <c r="M122" s="146"/>
      <c r="N122" s="146"/>
      <c r="O122" s="144">
        <v>43524</v>
      </c>
      <c r="P122" t="s">
        <v>71</v>
      </c>
      <c r="Q122" t="s">
        <v>74</v>
      </c>
      <c r="R122">
        <v>98720</v>
      </c>
      <c r="S122">
        <v>26.587822222222222</v>
      </c>
      <c r="T122">
        <v>12.773866666666667</v>
      </c>
      <c r="U122" t="s">
        <v>95</v>
      </c>
      <c r="V122">
        <v>668</v>
      </c>
    </row>
    <row r="123" spans="1:22">
      <c r="A123" t="s">
        <v>84</v>
      </c>
      <c r="B123" t="s">
        <v>148</v>
      </c>
      <c r="C123" t="s">
        <v>24</v>
      </c>
      <c r="D123" t="s">
        <v>112</v>
      </c>
      <c r="E123" t="s">
        <v>119</v>
      </c>
      <c r="F123" t="s">
        <v>70</v>
      </c>
      <c r="G123">
        <v>49698.325333913133</v>
      </c>
      <c r="H123">
        <v>49698.325333913133</v>
      </c>
      <c r="I123" t="s">
        <v>71</v>
      </c>
      <c r="J123" t="s">
        <v>72</v>
      </c>
      <c r="K123" s="144">
        <v>42802</v>
      </c>
      <c r="L123" t="s">
        <v>73</v>
      </c>
      <c r="M123" s="146">
        <v>42807</v>
      </c>
      <c r="N123" s="146">
        <v>42814</v>
      </c>
      <c r="O123" s="144">
        <v>42934</v>
      </c>
      <c r="P123" t="s">
        <v>71</v>
      </c>
      <c r="Q123" t="s">
        <v>120</v>
      </c>
      <c r="R123">
        <v>98720</v>
      </c>
      <c r="S123">
        <v>26.590994444444444</v>
      </c>
      <c r="T123">
        <v>12.766483333333333</v>
      </c>
      <c r="U123" t="s">
        <v>10</v>
      </c>
      <c r="V123">
        <v>132</v>
      </c>
    </row>
    <row r="124" spans="1:22">
      <c r="A124" t="s">
        <v>66</v>
      </c>
      <c r="B124" t="s">
        <v>148</v>
      </c>
      <c r="C124" t="s">
        <v>24</v>
      </c>
      <c r="D124" t="s">
        <v>112</v>
      </c>
      <c r="E124" t="s">
        <v>138</v>
      </c>
      <c r="F124" t="s">
        <v>70</v>
      </c>
      <c r="G124">
        <v>4604.36334880099</v>
      </c>
      <c r="H124">
        <v>4604.36334880099</v>
      </c>
      <c r="I124" t="s">
        <v>71</v>
      </c>
      <c r="J124" t="s">
        <v>72</v>
      </c>
      <c r="K124" s="144">
        <v>43300</v>
      </c>
      <c r="L124" t="s">
        <v>73</v>
      </c>
      <c r="M124" s="146"/>
      <c r="N124" s="146"/>
      <c r="O124" s="144">
        <v>43465</v>
      </c>
      <c r="P124" t="s">
        <v>71</v>
      </c>
      <c r="Q124" t="s">
        <v>139</v>
      </c>
      <c r="R124">
        <v>98720</v>
      </c>
      <c r="S124">
        <v>26.590994444444444</v>
      </c>
      <c r="T124">
        <v>12.766483333333333</v>
      </c>
      <c r="U124" t="s">
        <v>94</v>
      </c>
      <c r="V124">
        <v>165</v>
      </c>
    </row>
    <row r="125" spans="1:22">
      <c r="A125" t="s">
        <v>66</v>
      </c>
      <c r="B125" t="s">
        <v>148</v>
      </c>
      <c r="C125" t="s">
        <v>24</v>
      </c>
      <c r="D125" t="s">
        <v>112</v>
      </c>
      <c r="E125" t="s">
        <v>158</v>
      </c>
      <c r="F125" t="s">
        <v>70</v>
      </c>
      <c r="G125">
        <v>3547.502875722349</v>
      </c>
      <c r="H125">
        <v>3547.502875722349</v>
      </c>
      <c r="I125" t="s">
        <v>71</v>
      </c>
      <c r="J125" t="s">
        <v>72</v>
      </c>
      <c r="K125" s="144">
        <v>43300</v>
      </c>
      <c r="L125" t="s">
        <v>73</v>
      </c>
      <c r="M125" s="146"/>
      <c r="N125" s="146"/>
      <c r="O125" s="144">
        <v>43465</v>
      </c>
      <c r="P125" t="s">
        <v>71</v>
      </c>
      <c r="Q125" t="s">
        <v>159</v>
      </c>
      <c r="R125">
        <v>98720</v>
      </c>
      <c r="S125">
        <v>26.590994444444444</v>
      </c>
      <c r="T125">
        <v>12.766483333333333</v>
      </c>
      <c r="U125" t="s">
        <v>94</v>
      </c>
      <c r="V125">
        <v>165</v>
      </c>
    </row>
    <row r="126" spans="1:22">
      <c r="A126" t="s">
        <v>84</v>
      </c>
      <c r="B126" t="s">
        <v>148</v>
      </c>
      <c r="C126" t="s">
        <v>24</v>
      </c>
      <c r="D126" t="s">
        <v>4</v>
      </c>
      <c r="E126" t="s">
        <v>109</v>
      </c>
      <c r="F126" t="s">
        <v>70</v>
      </c>
      <c r="G126">
        <v>12065.773950654826</v>
      </c>
      <c r="H126">
        <v>12060.911170221314</v>
      </c>
      <c r="I126" t="s">
        <v>71</v>
      </c>
      <c r="J126" t="s">
        <v>72</v>
      </c>
      <c r="K126" s="144">
        <v>43224</v>
      </c>
      <c r="L126" t="s">
        <v>73</v>
      </c>
      <c r="M126" s="146"/>
      <c r="N126" s="146"/>
      <c r="O126" s="144">
        <v>43282</v>
      </c>
      <c r="P126" t="s">
        <v>71</v>
      </c>
      <c r="Q126" t="s">
        <v>88</v>
      </c>
      <c r="R126">
        <v>98720</v>
      </c>
      <c r="S126">
        <v>26.59044722222222</v>
      </c>
      <c r="T126">
        <v>12.819963888888889</v>
      </c>
      <c r="U126" t="s">
        <v>102</v>
      </c>
      <c r="V126">
        <v>58</v>
      </c>
    </row>
    <row r="127" spans="1:22">
      <c r="A127" t="s">
        <v>84</v>
      </c>
      <c r="B127" t="s">
        <v>148</v>
      </c>
      <c r="C127" t="s">
        <v>24</v>
      </c>
      <c r="D127" t="s">
        <v>4</v>
      </c>
      <c r="E127" t="s">
        <v>85</v>
      </c>
      <c r="F127" t="s">
        <v>70</v>
      </c>
      <c r="G127">
        <v>24459.720636997336</v>
      </c>
      <c r="H127">
        <v>24354.680415378556</v>
      </c>
      <c r="I127" t="s">
        <v>71</v>
      </c>
      <c r="J127" t="s">
        <v>72</v>
      </c>
      <c r="K127" s="144">
        <v>43224</v>
      </c>
      <c r="L127" t="s">
        <v>73</v>
      </c>
      <c r="M127" s="146"/>
      <c r="N127" s="146"/>
      <c r="O127" s="144">
        <v>43326</v>
      </c>
      <c r="P127" t="s">
        <v>71</v>
      </c>
      <c r="Q127" t="s">
        <v>88</v>
      </c>
      <c r="R127">
        <v>98720</v>
      </c>
      <c r="S127">
        <v>26.585799999999999</v>
      </c>
      <c r="T127">
        <v>12.799869444444445</v>
      </c>
      <c r="U127" t="s">
        <v>106</v>
      </c>
      <c r="V127">
        <v>102</v>
      </c>
    </row>
    <row r="128" spans="1:22">
      <c r="A128" t="s">
        <v>84</v>
      </c>
      <c r="B128" t="s">
        <v>148</v>
      </c>
      <c r="C128" t="s">
        <v>24</v>
      </c>
      <c r="D128" t="s">
        <v>112</v>
      </c>
      <c r="E128" t="s">
        <v>160</v>
      </c>
      <c r="F128" t="s">
        <v>70</v>
      </c>
      <c r="G128">
        <v>314647.94223115809</v>
      </c>
      <c r="H128">
        <v>314647.94223115809</v>
      </c>
      <c r="I128" t="s">
        <v>71</v>
      </c>
      <c r="J128" t="s">
        <v>72</v>
      </c>
      <c r="K128" s="144">
        <v>42933</v>
      </c>
      <c r="L128" t="s">
        <v>73</v>
      </c>
      <c r="M128" s="146">
        <v>42950</v>
      </c>
      <c r="N128" s="146">
        <v>42957</v>
      </c>
      <c r="O128" s="144">
        <v>43221</v>
      </c>
      <c r="P128" t="s">
        <v>71</v>
      </c>
      <c r="Q128" t="s">
        <v>120</v>
      </c>
      <c r="R128">
        <v>98720</v>
      </c>
      <c r="S128">
        <v>26.588061111111109</v>
      </c>
      <c r="T128">
        <v>12.77771388888889</v>
      </c>
      <c r="U128" t="s">
        <v>95</v>
      </c>
      <c r="V128">
        <v>288</v>
      </c>
    </row>
    <row r="129" spans="1:22">
      <c r="A129" t="s">
        <v>66</v>
      </c>
      <c r="B129" t="s">
        <v>148</v>
      </c>
      <c r="C129" t="s">
        <v>24</v>
      </c>
      <c r="D129" t="s">
        <v>81</v>
      </c>
      <c r="E129" t="s">
        <v>113</v>
      </c>
      <c r="F129" t="s">
        <v>70</v>
      </c>
      <c r="G129">
        <v>30860.800562164444</v>
      </c>
      <c r="H129">
        <v>28668.177225944932</v>
      </c>
      <c r="I129" t="s">
        <v>71</v>
      </c>
      <c r="J129" t="s">
        <v>72</v>
      </c>
      <c r="K129" s="144">
        <v>42859</v>
      </c>
      <c r="L129" t="s">
        <v>73</v>
      </c>
      <c r="M129" s="146"/>
      <c r="N129" s="146"/>
      <c r="O129" s="144">
        <v>43100</v>
      </c>
      <c r="P129" t="s">
        <v>71</v>
      </c>
      <c r="Q129" t="s">
        <v>114</v>
      </c>
      <c r="R129">
        <v>98720</v>
      </c>
      <c r="S129">
        <v>26.587822222222222</v>
      </c>
      <c r="T129">
        <v>12.773866666666667</v>
      </c>
      <c r="U129" t="s">
        <v>10</v>
      </c>
      <c r="V129">
        <v>241</v>
      </c>
    </row>
    <row r="130" spans="1:22">
      <c r="A130" t="s">
        <v>84</v>
      </c>
      <c r="B130" t="s">
        <v>67</v>
      </c>
      <c r="C130" t="s">
        <v>23</v>
      </c>
      <c r="D130" t="s">
        <v>4</v>
      </c>
      <c r="E130" t="s">
        <v>109</v>
      </c>
      <c r="F130" t="s">
        <v>70</v>
      </c>
      <c r="G130">
        <v>324059.8004818898</v>
      </c>
      <c r="H130">
        <v>323832.41960662708</v>
      </c>
      <c r="I130" t="s">
        <v>71</v>
      </c>
      <c r="J130" t="s">
        <v>72</v>
      </c>
      <c r="K130" s="144">
        <v>43165</v>
      </c>
      <c r="L130" t="s">
        <v>73</v>
      </c>
      <c r="M130" s="146">
        <v>43177</v>
      </c>
      <c r="N130" s="146">
        <v>43647</v>
      </c>
      <c r="O130" s="144">
        <v>43881</v>
      </c>
      <c r="P130" t="s">
        <v>71</v>
      </c>
      <c r="Q130" t="s">
        <v>110</v>
      </c>
      <c r="R130">
        <v>98720</v>
      </c>
      <c r="S130">
        <v>32.880434000000001</v>
      </c>
      <c r="T130">
        <v>13.190073</v>
      </c>
      <c r="U130" t="s">
        <v>102</v>
      </c>
      <c r="V130">
        <v>716</v>
      </c>
    </row>
    <row r="131" spans="1:22">
      <c r="A131" t="s">
        <v>84</v>
      </c>
      <c r="B131" t="s">
        <v>67</v>
      </c>
      <c r="C131" t="s">
        <v>23</v>
      </c>
      <c r="D131" t="s">
        <v>4</v>
      </c>
      <c r="E131" t="s">
        <v>109</v>
      </c>
      <c r="F131" t="s">
        <v>70</v>
      </c>
      <c r="G131">
        <v>100109.50806530769</v>
      </c>
      <c r="H131">
        <v>100109.45415575079</v>
      </c>
      <c r="I131" t="s">
        <v>71</v>
      </c>
      <c r="J131" t="s">
        <v>72</v>
      </c>
      <c r="K131" s="144">
        <v>43696</v>
      </c>
      <c r="L131" t="s">
        <v>73</v>
      </c>
      <c r="M131" s="146">
        <v>43999</v>
      </c>
      <c r="N131" s="146"/>
      <c r="O131" s="144">
        <v>44223</v>
      </c>
      <c r="P131" t="s">
        <v>71</v>
      </c>
      <c r="Q131" t="s">
        <v>110</v>
      </c>
      <c r="R131">
        <v>112158</v>
      </c>
      <c r="S131">
        <v>32.558340999999999</v>
      </c>
      <c r="T131">
        <v>13.178202000000001</v>
      </c>
      <c r="U131" t="s">
        <v>95</v>
      </c>
      <c r="V131">
        <v>527</v>
      </c>
    </row>
    <row r="132" spans="1:22">
      <c r="A132" t="s">
        <v>84</v>
      </c>
      <c r="B132" t="s">
        <v>67</v>
      </c>
      <c r="C132" t="s">
        <v>23</v>
      </c>
      <c r="D132" t="s">
        <v>4</v>
      </c>
      <c r="E132" t="s">
        <v>109</v>
      </c>
      <c r="F132" t="s">
        <v>70</v>
      </c>
      <c r="G132">
        <v>78479.379026710099</v>
      </c>
      <c r="H132">
        <v>78475.620744322325</v>
      </c>
      <c r="I132" t="s">
        <v>71</v>
      </c>
      <c r="J132" t="s">
        <v>72</v>
      </c>
      <c r="K132" s="144">
        <v>43634</v>
      </c>
      <c r="L132" t="s">
        <v>73</v>
      </c>
      <c r="M132" s="146">
        <v>43670</v>
      </c>
      <c r="N132" s="146"/>
      <c r="O132" s="144">
        <v>43881</v>
      </c>
      <c r="P132" t="s">
        <v>71</v>
      </c>
      <c r="Q132" t="s">
        <v>110</v>
      </c>
      <c r="R132">
        <v>112158</v>
      </c>
      <c r="S132">
        <v>32.884281999999999</v>
      </c>
      <c r="T132">
        <v>13.162879</v>
      </c>
      <c r="U132" t="s">
        <v>10</v>
      </c>
      <c r="V132">
        <v>247</v>
      </c>
    </row>
    <row r="133" spans="1:22">
      <c r="A133" t="s">
        <v>84</v>
      </c>
      <c r="B133" t="s">
        <v>67</v>
      </c>
      <c r="C133" t="s">
        <v>23</v>
      </c>
      <c r="D133" t="s">
        <v>4</v>
      </c>
      <c r="E133" t="s">
        <v>109</v>
      </c>
      <c r="F133" t="s">
        <v>70</v>
      </c>
      <c r="G133">
        <v>163688.98058866395</v>
      </c>
      <c r="H133">
        <v>147226.79362902205</v>
      </c>
      <c r="I133" t="s">
        <v>71</v>
      </c>
      <c r="J133" t="s">
        <v>72</v>
      </c>
      <c r="K133" s="144">
        <v>44083</v>
      </c>
      <c r="L133" t="s">
        <v>73</v>
      </c>
      <c r="M133" s="146">
        <v>44105</v>
      </c>
      <c r="N133" s="146">
        <v>44133</v>
      </c>
      <c r="O133" s="144">
        <v>44356</v>
      </c>
      <c r="P133" t="s">
        <v>71</v>
      </c>
      <c r="Q133" t="s">
        <v>110</v>
      </c>
      <c r="R133">
        <v>112158</v>
      </c>
      <c r="S133">
        <v>32.877130000000001</v>
      </c>
      <c r="T133">
        <v>13.396316000000001</v>
      </c>
      <c r="U133" t="s">
        <v>95</v>
      </c>
      <c r="V133">
        <v>273</v>
      </c>
    </row>
    <row r="134" spans="1:22">
      <c r="A134" t="s">
        <v>84</v>
      </c>
      <c r="B134" t="s">
        <v>67</v>
      </c>
      <c r="C134" t="s">
        <v>23</v>
      </c>
      <c r="D134" t="s">
        <v>4</v>
      </c>
      <c r="E134" t="s">
        <v>109</v>
      </c>
      <c r="F134" t="s">
        <v>70</v>
      </c>
      <c r="G134">
        <v>65609.03053481922</v>
      </c>
      <c r="H134">
        <v>65597.308025048143</v>
      </c>
      <c r="I134" t="s">
        <v>71</v>
      </c>
      <c r="J134" t="s">
        <v>72</v>
      </c>
      <c r="K134" s="144">
        <v>44040</v>
      </c>
      <c r="L134" t="s">
        <v>73</v>
      </c>
      <c r="M134" s="146">
        <v>44059</v>
      </c>
      <c r="N134" s="146"/>
      <c r="O134" s="144">
        <v>44455</v>
      </c>
      <c r="P134" t="s">
        <v>71</v>
      </c>
      <c r="Q134" t="s">
        <v>110</v>
      </c>
      <c r="R134">
        <v>112158</v>
      </c>
      <c r="S134">
        <v>32.854459499999997</v>
      </c>
      <c r="T134">
        <v>13.1747602</v>
      </c>
      <c r="U134" t="s">
        <v>161</v>
      </c>
      <c r="V134">
        <v>415</v>
      </c>
    </row>
    <row r="135" spans="1:22">
      <c r="A135" t="s">
        <v>66</v>
      </c>
      <c r="B135" t="s">
        <v>67</v>
      </c>
      <c r="C135" t="s">
        <v>23</v>
      </c>
      <c r="D135" t="s">
        <v>81</v>
      </c>
      <c r="E135" t="s">
        <v>82</v>
      </c>
      <c r="F135" t="s">
        <v>70</v>
      </c>
      <c r="G135">
        <v>828929.33742092631</v>
      </c>
      <c r="H135">
        <v>784363.73133357638</v>
      </c>
      <c r="I135" t="s">
        <v>71</v>
      </c>
      <c r="J135" t="s">
        <v>72</v>
      </c>
      <c r="K135" s="144">
        <v>43387</v>
      </c>
      <c r="L135" t="s">
        <v>73</v>
      </c>
      <c r="M135" s="146"/>
      <c r="N135" s="146"/>
      <c r="O135" s="144">
        <v>43658</v>
      </c>
      <c r="P135" t="s">
        <v>71</v>
      </c>
      <c r="Q135" t="s">
        <v>83</v>
      </c>
      <c r="R135">
        <v>98720</v>
      </c>
      <c r="U135" t="s">
        <v>94</v>
      </c>
      <c r="V135">
        <v>271</v>
      </c>
    </row>
    <row r="136" spans="1:22">
      <c r="A136" t="s">
        <v>66</v>
      </c>
      <c r="B136" t="s">
        <v>67</v>
      </c>
      <c r="C136" t="s">
        <v>23</v>
      </c>
      <c r="D136" t="s">
        <v>68</v>
      </c>
      <c r="E136" t="s">
        <v>69</v>
      </c>
      <c r="F136" t="s">
        <v>70</v>
      </c>
      <c r="G136">
        <v>65984.211902542607</v>
      </c>
      <c r="H136">
        <v>66041.685910028595</v>
      </c>
      <c r="I136" t="s">
        <v>71</v>
      </c>
      <c r="J136" t="s">
        <v>72</v>
      </c>
      <c r="K136" s="144">
        <v>43463</v>
      </c>
      <c r="L136" t="s">
        <v>73</v>
      </c>
      <c r="M136" s="146"/>
      <c r="N136" s="146"/>
      <c r="O136" s="144">
        <v>43733</v>
      </c>
      <c r="P136" t="s">
        <v>71</v>
      </c>
      <c r="Q136" t="s">
        <v>74</v>
      </c>
      <c r="R136">
        <v>98720</v>
      </c>
      <c r="U136" t="s">
        <v>10</v>
      </c>
      <c r="V136">
        <v>270</v>
      </c>
    </row>
    <row r="137" spans="1:22">
      <c r="A137" t="s">
        <v>84</v>
      </c>
      <c r="B137" t="s">
        <v>67</v>
      </c>
      <c r="C137" t="s">
        <v>23</v>
      </c>
      <c r="D137" t="s">
        <v>96</v>
      </c>
      <c r="E137" t="s">
        <v>97</v>
      </c>
      <c r="F137" t="s">
        <v>70</v>
      </c>
      <c r="G137">
        <v>19194.852337904544</v>
      </c>
      <c r="H137">
        <v>19194.852337904544</v>
      </c>
      <c r="I137" t="s">
        <v>71</v>
      </c>
      <c r="J137" t="s">
        <v>72</v>
      </c>
      <c r="K137" s="144">
        <v>43311</v>
      </c>
      <c r="L137" t="s">
        <v>73</v>
      </c>
      <c r="M137" s="146">
        <v>43341</v>
      </c>
      <c r="N137" s="146">
        <v>43348</v>
      </c>
      <c r="O137" s="144">
        <v>43436</v>
      </c>
      <c r="P137" t="s">
        <v>71</v>
      </c>
      <c r="Q137" t="s">
        <v>98</v>
      </c>
      <c r="R137">
        <v>98720</v>
      </c>
      <c r="S137">
        <v>32.845291666666697</v>
      </c>
      <c r="T137">
        <v>13.037705555555601</v>
      </c>
      <c r="U137" t="s">
        <v>100</v>
      </c>
      <c r="V137">
        <v>125</v>
      </c>
    </row>
    <row r="138" spans="1:22">
      <c r="A138" t="s">
        <v>84</v>
      </c>
      <c r="B138" t="s">
        <v>67</v>
      </c>
      <c r="C138" t="s">
        <v>23</v>
      </c>
      <c r="D138" t="s">
        <v>96</v>
      </c>
      <c r="E138" t="s">
        <v>97</v>
      </c>
      <c r="F138" t="s">
        <v>70</v>
      </c>
      <c r="G138">
        <v>18259.248575696682</v>
      </c>
      <c r="H138">
        <v>18259.248575696682</v>
      </c>
      <c r="I138" t="s">
        <v>71</v>
      </c>
      <c r="J138" t="s">
        <v>72</v>
      </c>
      <c r="K138" s="144">
        <v>43311</v>
      </c>
      <c r="L138" t="s">
        <v>73</v>
      </c>
      <c r="M138" s="146">
        <v>43341</v>
      </c>
      <c r="N138" s="146">
        <v>43348</v>
      </c>
      <c r="O138" s="144">
        <v>43436</v>
      </c>
      <c r="P138" t="s">
        <v>71</v>
      </c>
      <c r="Q138" t="s">
        <v>98</v>
      </c>
      <c r="R138">
        <v>98720</v>
      </c>
      <c r="S138">
        <v>32.774833333333298</v>
      </c>
      <c r="T138">
        <v>13.004225</v>
      </c>
      <c r="U138" t="s">
        <v>100</v>
      </c>
      <c r="V138">
        <v>125</v>
      </c>
    </row>
    <row r="139" spans="1:22">
      <c r="A139" t="s">
        <v>84</v>
      </c>
      <c r="B139" t="s">
        <v>67</v>
      </c>
      <c r="C139" t="s">
        <v>23</v>
      </c>
      <c r="D139" t="s">
        <v>96</v>
      </c>
      <c r="E139" t="s">
        <v>97</v>
      </c>
      <c r="F139" t="s">
        <v>70</v>
      </c>
      <c r="G139">
        <v>19605.384594473184</v>
      </c>
      <c r="H139">
        <v>19605.384594473184</v>
      </c>
      <c r="I139" t="s">
        <v>71</v>
      </c>
      <c r="J139" t="s">
        <v>72</v>
      </c>
      <c r="K139" s="144">
        <v>43311</v>
      </c>
      <c r="L139" t="s">
        <v>73</v>
      </c>
      <c r="M139" s="146">
        <v>43341</v>
      </c>
      <c r="N139" s="146">
        <v>43348</v>
      </c>
      <c r="O139" s="144">
        <v>43436</v>
      </c>
      <c r="P139" t="s">
        <v>71</v>
      </c>
      <c r="Q139" t="s">
        <v>98</v>
      </c>
      <c r="R139">
        <v>98720</v>
      </c>
      <c r="S139">
        <v>32.838838888888901</v>
      </c>
      <c r="T139">
        <v>13.0627388888889</v>
      </c>
      <c r="U139" t="s">
        <v>100</v>
      </c>
      <c r="V139">
        <v>125</v>
      </c>
    </row>
    <row r="140" spans="1:22">
      <c r="A140" t="s">
        <v>84</v>
      </c>
      <c r="B140" t="s">
        <v>67</v>
      </c>
      <c r="C140" t="s">
        <v>23</v>
      </c>
      <c r="D140" t="s">
        <v>96</v>
      </c>
      <c r="E140" t="s">
        <v>97</v>
      </c>
      <c r="F140" t="s">
        <v>70</v>
      </c>
      <c r="G140">
        <v>19929.634075135855</v>
      </c>
      <c r="H140">
        <v>19929.618364838723</v>
      </c>
      <c r="I140" t="s">
        <v>71</v>
      </c>
      <c r="J140" t="s">
        <v>72</v>
      </c>
      <c r="K140" s="144">
        <v>43230</v>
      </c>
      <c r="L140" t="s">
        <v>73</v>
      </c>
      <c r="M140" s="146">
        <v>43245</v>
      </c>
      <c r="N140" s="146">
        <v>43252</v>
      </c>
      <c r="O140" s="144">
        <v>43398</v>
      </c>
      <c r="P140" t="s">
        <v>71</v>
      </c>
      <c r="Q140" t="s">
        <v>98</v>
      </c>
      <c r="R140">
        <v>98720</v>
      </c>
      <c r="S140">
        <v>32.826427777777802</v>
      </c>
      <c r="T140">
        <v>13.0168472222222</v>
      </c>
      <c r="U140" t="s">
        <v>94</v>
      </c>
      <c r="V140">
        <v>168</v>
      </c>
    </row>
    <row r="141" spans="1:22">
      <c r="A141" t="s">
        <v>84</v>
      </c>
      <c r="B141" t="s">
        <v>67</v>
      </c>
      <c r="C141" t="s">
        <v>23</v>
      </c>
      <c r="D141" t="s">
        <v>96</v>
      </c>
      <c r="E141" t="s">
        <v>97</v>
      </c>
      <c r="F141" t="s">
        <v>70</v>
      </c>
      <c r="G141">
        <v>18698.715920309853</v>
      </c>
      <c r="H141">
        <v>18698.701180331089</v>
      </c>
      <c r="I141" t="s">
        <v>71</v>
      </c>
      <c r="J141" t="s">
        <v>72</v>
      </c>
      <c r="K141" s="144">
        <v>43230</v>
      </c>
      <c r="L141" t="s">
        <v>73</v>
      </c>
      <c r="M141" s="146">
        <v>43245</v>
      </c>
      <c r="N141" s="146">
        <v>43252</v>
      </c>
      <c r="O141" s="144">
        <v>43398</v>
      </c>
      <c r="P141" t="s">
        <v>71</v>
      </c>
      <c r="Q141" t="s">
        <v>98</v>
      </c>
      <c r="R141">
        <v>98720</v>
      </c>
      <c r="S141">
        <v>32.791844444444401</v>
      </c>
      <c r="T141">
        <v>12.998208333333301</v>
      </c>
      <c r="U141" t="s">
        <v>94</v>
      </c>
      <c r="V141">
        <v>168</v>
      </c>
    </row>
    <row r="142" spans="1:22">
      <c r="A142" t="s">
        <v>84</v>
      </c>
      <c r="B142" t="s">
        <v>67</v>
      </c>
      <c r="C142" t="s">
        <v>23</v>
      </c>
      <c r="D142" t="s">
        <v>96</v>
      </c>
      <c r="E142" t="s">
        <v>97</v>
      </c>
      <c r="F142" t="s">
        <v>70</v>
      </c>
      <c r="G142">
        <v>20789.069346128097</v>
      </c>
      <c r="H142">
        <v>20789.052958348206</v>
      </c>
      <c r="I142" t="s">
        <v>71</v>
      </c>
      <c r="J142" t="s">
        <v>72</v>
      </c>
      <c r="K142" s="144">
        <v>43230</v>
      </c>
      <c r="L142" t="s">
        <v>73</v>
      </c>
      <c r="M142" s="146">
        <v>43245</v>
      </c>
      <c r="N142" s="146">
        <v>43252</v>
      </c>
      <c r="O142" s="144">
        <v>43398</v>
      </c>
      <c r="P142" t="s">
        <v>71</v>
      </c>
      <c r="Q142" t="s">
        <v>98</v>
      </c>
      <c r="R142">
        <v>98720</v>
      </c>
      <c r="S142">
        <v>32.826780555555601</v>
      </c>
      <c r="T142">
        <v>12.9845555555556</v>
      </c>
      <c r="U142" t="s">
        <v>94</v>
      </c>
      <c r="V142">
        <v>168</v>
      </c>
    </row>
    <row r="143" spans="1:22">
      <c r="A143" t="s">
        <v>66</v>
      </c>
      <c r="B143" t="s">
        <v>67</v>
      </c>
      <c r="C143" t="s">
        <v>23</v>
      </c>
      <c r="D143" t="s">
        <v>4</v>
      </c>
      <c r="E143" t="s">
        <v>125</v>
      </c>
      <c r="F143" t="s">
        <v>70</v>
      </c>
      <c r="G143">
        <v>17209.156055538901</v>
      </c>
      <c r="H143">
        <v>14293.733496103812</v>
      </c>
      <c r="I143" t="s">
        <v>71</v>
      </c>
      <c r="J143" t="s">
        <v>72</v>
      </c>
      <c r="K143" s="144">
        <v>43494</v>
      </c>
      <c r="L143" t="s">
        <v>73</v>
      </c>
      <c r="M143" s="146"/>
      <c r="N143" s="146"/>
      <c r="O143" s="144">
        <v>44140</v>
      </c>
      <c r="P143" t="s">
        <v>71</v>
      </c>
      <c r="Q143" t="s">
        <v>126</v>
      </c>
      <c r="R143">
        <v>98720</v>
      </c>
      <c r="S143">
        <v>32.810652777777797</v>
      </c>
      <c r="T143">
        <v>13.001616666666701</v>
      </c>
      <c r="U143" t="s">
        <v>100</v>
      </c>
      <c r="V143">
        <v>646</v>
      </c>
    </row>
    <row r="144" spans="1:22">
      <c r="A144" t="s">
        <v>66</v>
      </c>
      <c r="B144" t="s">
        <v>67</v>
      </c>
      <c r="C144" t="s">
        <v>23</v>
      </c>
      <c r="D144" t="s">
        <v>4</v>
      </c>
      <c r="E144" t="s">
        <v>125</v>
      </c>
      <c r="F144" t="s">
        <v>70</v>
      </c>
      <c r="G144">
        <v>19313.31358477331</v>
      </c>
      <c r="H144">
        <v>16041.423322358636</v>
      </c>
      <c r="I144" t="s">
        <v>71</v>
      </c>
      <c r="J144" t="s">
        <v>72</v>
      </c>
      <c r="K144" s="144">
        <v>43494</v>
      </c>
      <c r="L144" t="s">
        <v>73</v>
      </c>
      <c r="M144" s="146"/>
      <c r="N144" s="146"/>
      <c r="O144" s="144">
        <v>44140</v>
      </c>
      <c r="P144" t="s">
        <v>71</v>
      </c>
      <c r="Q144" t="s">
        <v>126</v>
      </c>
      <c r="R144">
        <v>98720</v>
      </c>
      <c r="U144" t="s">
        <v>100</v>
      </c>
      <c r="V144">
        <v>646</v>
      </c>
    </row>
    <row r="145" spans="1:22">
      <c r="A145" t="s">
        <v>66</v>
      </c>
      <c r="B145" t="s">
        <v>67</v>
      </c>
      <c r="C145" t="s">
        <v>23</v>
      </c>
      <c r="D145" t="s">
        <v>4</v>
      </c>
      <c r="E145" t="s">
        <v>125</v>
      </c>
      <c r="F145" t="s">
        <v>70</v>
      </c>
      <c r="G145">
        <v>16276.348162659428</v>
      </c>
      <c r="H145">
        <v>13518.953641655929</v>
      </c>
      <c r="I145" t="s">
        <v>71</v>
      </c>
      <c r="J145" t="s">
        <v>72</v>
      </c>
      <c r="K145" s="144">
        <v>43494</v>
      </c>
      <c r="L145" t="s">
        <v>73</v>
      </c>
      <c r="M145" s="146"/>
      <c r="N145" s="146"/>
      <c r="O145" s="144">
        <v>44140</v>
      </c>
      <c r="P145" t="s">
        <v>71</v>
      </c>
      <c r="Q145" t="s">
        <v>126</v>
      </c>
      <c r="R145">
        <v>98720</v>
      </c>
      <c r="S145">
        <v>32.842374999999997</v>
      </c>
      <c r="T145">
        <v>13.0413916666667</v>
      </c>
      <c r="U145" t="s">
        <v>100</v>
      </c>
      <c r="V145">
        <v>646</v>
      </c>
    </row>
    <row r="146" spans="1:22">
      <c r="A146" t="s">
        <v>66</v>
      </c>
      <c r="B146" t="s">
        <v>67</v>
      </c>
      <c r="C146" t="s">
        <v>23</v>
      </c>
      <c r="D146" t="s">
        <v>4</v>
      </c>
      <c r="E146" t="s">
        <v>125</v>
      </c>
      <c r="F146" t="s">
        <v>70</v>
      </c>
      <c r="G146">
        <v>18454.512337550204</v>
      </c>
      <c r="H146">
        <v>15328.112564160378</v>
      </c>
      <c r="I146" t="s">
        <v>71</v>
      </c>
      <c r="J146" t="s">
        <v>72</v>
      </c>
      <c r="K146" s="144">
        <v>43494</v>
      </c>
      <c r="L146" t="s">
        <v>73</v>
      </c>
      <c r="M146" s="146"/>
      <c r="N146" s="146"/>
      <c r="O146" s="144">
        <v>44140</v>
      </c>
      <c r="P146" t="s">
        <v>71</v>
      </c>
      <c r="Q146" t="s">
        <v>126</v>
      </c>
      <c r="R146">
        <v>98720</v>
      </c>
      <c r="S146">
        <v>32.810608333333299</v>
      </c>
      <c r="T146">
        <v>12.9632055555556</v>
      </c>
      <c r="U146" t="s">
        <v>100</v>
      </c>
      <c r="V146">
        <v>646</v>
      </c>
    </row>
    <row r="147" spans="1:22">
      <c r="A147" t="s">
        <v>66</v>
      </c>
      <c r="B147" t="s">
        <v>67</v>
      </c>
      <c r="C147" t="s">
        <v>23</v>
      </c>
      <c r="D147" t="s">
        <v>4</v>
      </c>
      <c r="E147" t="s">
        <v>125</v>
      </c>
      <c r="F147" t="s">
        <v>70</v>
      </c>
      <c r="G147">
        <v>15021.916090099343</v>
      </c>
      <c r="H147">
        <v>12477.036322975568</v>
      </c>
      <c r="I147" t="s">
        <v>71</v>
      </c>
      <c r="J147" t="s">
        <v>72</v>
      </c>
      <c r="K147" s="144">
        <v>43494</v>
      </c>
      <c r="L147" t="s">
        <v>73</v>
      </c>
      <c r="M147" s="146"/>
      <c r="N147" s="146"/>
      <c r="O147" s="144">
        <v>44140</v>
      </c>
      <c r="P147" t="s">
        <v>71</v>
      </c>
      <c r="Q147" t="s">
        <v>126</v>
      </c>
      <c r="R147">
        <v>98720</v>
      </c>
      <c r="S147">
        <v>32.833505555555597</v>
      </c>
      <c r="T147">
        <v>13.0726333333333</v>
      </c>
      <c r="U147" t="s">
        <v>100</v>
      </c>
      <c r="V147">
        <v>646</v>
      </c>
    </row>
    <row r="148" spans="1:22">
      <c r="A148" t="s">
        <v>84</v>
      </c>
      <c r="B148" t="s">
        <v>67</v>
      </c>
      <c r="C148" t="s">
        <v>23</v>
      </c>
      <c r="D148" t="s">
        <v>96</v>
      </c>
      <c r="E148" t="s">
        <v>97</v>
      </c>
      <c r="F148" t="s">
        <v>70</v>
      </c>
      <c r="G148">
        <v>13321.544887290993</v>
      </c>
      <c r="H148">
        <v>12029.240931271137</v>
      </c>
      <c r="I148" t="s">
        <v>71</v>
      </c>
      <c r="J148" t="s">
        <v>72</v>
      </c>
      <c r="K148" s="144">
        <v>43429</v>
      </c>
      <c r="L148" t="s">
        <v>73</v>
      </c>
      <c r="M148" s="146">
        <v>43456</v>
      </c>
      <c r="N148" s="146">
        <v>43463</v>
      </c>
      <c r="O148" s="144">
        <v>44074</v>
      </c>
      <c r="P148" t="s">
        <v>71</v>
      </c>
      <c r="Q148" t="s">
        <v>98</v>
      </c>
      <c r="R148">
        <v>98720</v>
      </c>
      <c r="S148">
        <v>32.854790000000001</v>
      </c>
      <c r="T148">
        <v>13.160259999999999</v>
      </c>
      <c r="U148" t="s">
        <v>100</v>
      </c>
      <c r="V148">
        <v>645</v>
      </c>
    </row>
    <row r="149" spans="1:22">
      <c r="A149" t="s">
        <v>84</v>
      </c>
      <c r="B149" t="s">
        <v>67</v>
      </c>
      <c r="C149" t="s">
        <v>23</v>
      </c>
      <c r="D149" t="s">
        <v>96</v>
      </c>
      <c r="E149" t="s">
        <v>97</v>
      </c>
      <c r="F149" t="s">
        <v>70</v>
      </c>
      <c r="G149">
        <v>21726.741791012246</v>
      </c>
      <c r="H149">
        <v>21930.090728929696</v>
      </c>
      <c r="I149" t="s">
        <v>71</v>
      </c>
      <c r="J149" t="s">
        <v>72</v>
      </c>
      <c r="K149" s="144">
        <v>43429</v>
      </c>
      <c r="L149" t="s">
        <v>73</v>
      </c>
      <c r="M149" s="146">
        <v>43456</v>
      </c>
      <c r="N149" s="146">
        <v>43463</v>
      </c>
      <c r="O149" s="144">
        <v>44074</v>
      </c>
      <c r="P149" t="s">
        <v>71</v>
      </c>
      <c r="Q149" t="s">
        <v>98</v>
      </c>
      <c r="R149">
        <v>98720</v>
      </c>
      <c r="S149">
        <v>32.84657</v>
      </c>
      <c r="T149">
        <v>13.178879999999999</v>
      </c>
      <c r="U149" t="s">
        <v>100</v>
      </c>
      <c r="V149">
        <v>645</v>
      </c>
    </row>
    <row r="150" spans="1:22">
      <c r="A150" t="s">
        <v>84</v>
      </c>
      <c r="B150" t="s">
        <v>67</v>
      </c>
      <c r="C150" t="s">
        <v>23</v>
      </c>
      <c r="D150" t="s">
        <v>96</v>
      </c>
      <c r="E150" t="s">
        <v>97</v>
      </c>
      <c r="F150" t="s">
        <v>70</v>
      </c>
      <c r="G150">
        <v>18120.513995041008</v>
      </c>
      <c r="H150">
        <v>19150.169412112227</v>
      </c>
      <c r="I150" t="s">
        <v>71</v>
      </c>
      <c r="J150" t="s">
        <v>72</v>
      </c>
      <c r="K150" s="144">
        <v>43429</v>
      </c>
      <c r="L150" t="s">
        <v>73</v>
      </c>
      <c r="M150" s="146">
        <v>43456</v>
      </c>
      <c r="N150" s="146">
        <v>43463</v>
      </c>
      <c r="O150" s="144">
        <v>44074</v>
      </c>
      <c r="P150" t="s">
        <v>71</v>
      </c>
      <c r="Q150" t="s">
        <v>98</v>
      </c>
      <c r="R150">
        <v>98720</v>
      </c>
      <c r="S150">
        <v>32.851230000000001</v>
      </c>
      <c r="T150">
        <v>13.18383</v>
      </c>
      <c r="U150" t="s">
        <v>100</v>
      </c>
      <c r="V150">
        <v>645</v>
      </c>
    </row>
    <row r="151" spans="1:22">
      <c r="A151" t="s">
        <v>84</v>
      </c>
      <c r="B151" t="s">
        <v>67</v>
      </c>
      <c r="C151" t="s">
        <v>23</v>
      </c>
      <c r="D151" t="s">
        <v>96</v>
      </c>
      <c r="E151" t="s">
        <v>97</v>
      </c>
      <c r="F151" t="s">
        <v>70</v>
      </c>
      <c r="G151">
        <v>20556.399629648611</v>
      </c>
      <c r="H151">
        <v>22281.388135855501</v>
      </c>
      <c r="I151" t="s">
        <v>71</v>
      </c>
      <c r="J151" t="s">
        <v>72</v>
      </c>
      <c r="K151" s="144">
        <v>43412</v>
      </c>
      <c r="L151" t="s">
        <v>73</v>
      </c>
      <c r="M151" s="146">
        <v>43419</v>
      </c>
      <c r="N151" s="146">
        <v>43426</v>
      </c>
      <c r="O151" s="144">
        <v>43539</v>
      </c>
      <c r="P151" t="s">
        <v>71</v>
      </c>
      <c r="Q151" t="s">
        <v>98</v>
      </c>
      <c r="R151">
        <v>98720</v>
      </c>
      <c r="S151">
        <v>32.794280000000001</v>
      </c>
      <c r="T151">
        <v>13.16423</v>
      </c>
      <c r="U151" t="s">
        <v>94</v>
      </c>
      <c r="V151">
        <v>127</v>
      </c>
    </row>
    <row r="152" spans="1:22">
      <c r="A152" t="s">
        <v>84</v>
      </c>
      <c r="B152" t="s">
        <v>67</v>
      </c>
      <c r="C152" t="s">
        <v>23</v>
      </c>
      <c r="D152" t="s">
        <v>96</v>
      </c>
      <c r="E152" t="s">
        <v>97</v>
      </c>
      <c r="F152" t="s">
        <v>70</v>
      </c>
      <c r="G152">
        <v>12997.801569702055</v>
      </c>
      <c r="H152">
        <v>10439.27108317445</v>
      </c>
      <c r="I152" t="s">
        <v>71</v>
      </c>
      <c r="J152" t="s">
        <v>72</v>
      </c>
      <c r="K152" s="144">
        <v>43412</v>
      </c>
      <c r="L152" t="s">
        <v>73</v>
      </c>
      <c r="M152" s="146">
        <v>43419</v>
      </c>
      <c r="N152" s="146">
        <v>43426</v>
      </c>
      <c r="O152" s="144">
        <v>43539</v>
      </c>
      <c r="P152" t="s">
        <v>71</v>
      </c>
      <c r="Q152" t="s">
        <v>98</v>
      </c>
      <c r="R152">
        <v>98720</v>
      </c>
      <c r="S152">
        <v>32.853650000000002</v>
      </c>
      <c r="T152">
        <v>13.17802</v>
      </c>
      <c r="U152" t="s">
        <v>94</v>
      </c>
      <c r="V152">
        <v>127</v>
      </c>
    </row>
    <row r="153" spans="1:22">
      <c r="A153" t="s">
        <v>84</v>
      </c>
      <c r="B153" t="s">
        <v>67</v>
      </c>
      <c r="C153" t="s">
        <v>23</v>
      </c>
      <c r="D153" t="s">
        <v>96</v>
      </c>
      <c r="E153" t="s">
        <v>97</v>
      </c>
      <c r="F153" t="s">
        <v>70</v>
      </c>
      <c r="G153">
        <v>12020.870670058008</v>
      </c>
      <c r="H153">
        <v>13038.097282098626</v>
      </c>
      <c r="I153" t="s">
        <v>71</v>
      </c>
      <c r="J153" t="s">
        <v>72</v>
      </c>
      <c r="K153" s="144">
        <v>43412</v>
      </c>
      <c r="L153" t="s">
        <v>73</v>
      </c>
      <c r="M153" s="146">
        <v>43419</v>
      </c>
      <c r="N153" s="146">
        <v>43426</v>
      </c>
      <c r="O153" s="144">
        <v>43539</v>
      </c>
      <c r="P153" t="s">
        <v>71</v>
      </c>
      <c r="Q153" t="s">
        <v>98</v>
      </c>
      <c r="R153">
        <v>98720</v>
      </c>
      <c r="S153">
        <v>32.79372</v>
      </c>
      <c r="T153">
        <v>13.14245</v>
      </c>
      <c r="U153" t="s">
        <v>94</v>
      </c>
      <c r="V153">
        <v>127</v>
      </c>
    </row>
    <row r="154" spans="1:22">
      <c r="A154" t="s">
        <v>66</v>
      </c>
      <c r="B154" t="s">
        <v>67</v>
      </c>
      <c r="C154" t="s">
        <v>23</v>
      </c>
      <c r="D154" t="s">
        <v>4</v>
      </c>
      <c r="E154" t="s">
        <v>125</v>
      </c>
      <c r="F154" t="s">
        <v>70</v>
      </c>
      <c r="G154">
        <v>13913.882245111387</v>
      </c>
      <c r="H154">
        <v>11556.715742825823</v>
      </c>
      <c r="I154" t="s">
        <v>71</v>
      </c>
      <c r="J154" t="s">
        <v>72</v>
      </c>
      <c r="K154" s="144">
        <v>43494</v>
      </c>
      <c r="L154" t="s">
        <v>73</v>
      </c>
      <c r="M154" s="146"/>
      <c r="N154" s="146"/>
      <c r="O154" s="144">
        <v>44140</v>
      </c>
      <c r="P154" t="s">
        <v>71</v>
      </c>
      <c r="Q154" t="s">
        <v>126</v>
      </c>
      <c r="R154">
        <v>98720</v>
      </c>
      <c r="U154" t="s">
        <v>100</v>
      </c>
      <c r="V154">
        <v>646</v>
      </c>
    </row>
    <row r="155" spans="1:22">
      <c r="A155" t="s">
        <v>66</v>
      </c>
      <c r="B155" t="s">
        <v>67</v>
      </c>
      <c r="C155" t="s">
        <v>23</v>
      </c>
      <c r="D155" t="s">
        <v>4</v>
      </c>
      <c r="E155" t="s">
        <v>125</v>
      </c>
      <c r="F155" t="s">
        <v>70</v>
      </c>
      <c r="G155">
        <v>17742.850923346959</v>
      </c>
      <c r="H155">
        <v>14737.014513724167</v>
      </c>
      <c r="I155" t="s">
        <v>71</v>
      </c>
      <c r="J155" t="s">
        <v>72</v>
      </c>
      <c r="K155" s="144">
        <v>43494</v>
      </c>
      <c r="L155" t="s">
        <v>73</v>
      </c>
      <c r="M155" s="146"/>
      <c r="N155" s="146"/>
      <c r="O155" s="144">
        <v>44140</v>
      </c>
      <c r="P155" t="s">
        <v>71</v>
      </c>
      <c r="Q155" t="s">
        <v>126</v>
      </c>
      <c r="R155">
        <v>98720</v>
      </c>
      <c r="U155" t="s">
        <v>100</v>
      </c>
      <c r="V155">
        <v>646</v>
      </c>
    </row>
    <row r="156" spans="1:22">
      <c r="A156" t="s">
        <v>66</v>
      </c>
      <c r="B156" t="s">
        <v>67</v>
      </c>
      <c r="C156" t="s">
        <v>23</v>
      </c>
      <c r="D156" t="s">
        <v>4</v>
      </c>
      <c r="E156" t="s">
        <v>125</v>
      </c>
      <c r="F156" t="s">
        <v>70</v>
      </c>
      <c r="G156">
        <v>18438.490296596716</v>
      </c>
      <c r="H156">
        <v>15314.804835256427</v>
      </c>
      <c r="I156" t="s">
        <v>71</v>
      </c>
      <c r="J156" t="s">
        <v>72</v>
      </c>
      <c r="K156" s="144">
        <v>43494</v>
      </c>
      <c r="L156" t="s">
        <v>73</v>
      </c>
      <c r="M156" s="146"/>
      <c r="N156" s="146"/>
      <c r="O156" s="144">
        <v>44140</v>
      </c>
      <c r="P156" t="s">
        <v>71</v>
      </c>
      <c r="Q156" t="s">
        <v>126</v>
      </c>
      <c r="R156">
        <v>98720</v>
      </c>
      <c r="U156" t="s">
        <v>100</v>
      </c>
      <c r="V156">
        <v>646</v>
      </c>
    </row>
    <row r="157" spans="1:22">
      <c r="A157" t="s">
        <v>66</v>
      </c>
      <c r="B157" t="s">
        <v>67</v>
      </c>
      <c r="C157" t="s">
        <v>23</v>
      </c>
      <c r="D157" t="s">
        <v>4</v>
      </c>
      <c r="E157" t="s">
        <v>125</v>
      </c>
      <c r="F157" t="s">
        <v>70</v>
      </c>
      <c r="G157">
        <v>15044.165605688653</v>
      </c>
      <c r="H157">
        <v>12495.516523005403</v>
      </c>
      <c r="I157" t="s">
        <v>71</v>
      </c>
      <c r="J157" t="s">
        <v>72</v>
      </c>
      <c r="K157" s="144">
        <v>43494</v>
      </c>
      <c r="L157" t="s">
        <v>73</v>
      </c>
      <c r="M157" s="146"/>
      <c r="N157" s="146"/>
      <c r="O157" s="144">
        <v>44140</v>
      </c>
      <c r="P157" t="s">
        <v>71</v>
      </c>
      <c r="Q157" t="s">
        <v>126</v>
      </c>
      <c r="R157">
        <v>98720</v>
      </c>
      <c r="U157" t="s">
        <v>100</v>
      </c>
      <c r="V157">
        <v>646</v>
      </c>
    </row>
    <row r="158" spans="1:22">
      <c r="A158" t="s">
        <v>66</v>
      </c>
      <c r="B158" t="s">
        <v>67</v>
      </c>
      <c r="C158" t="s">
        <v>23</v>
      </c>
      <c r="D158" t="s">
        <v>4</v>
      </c>
      <c r="E158" t="s">
        <v>125</v>
      </c>
      <c r="F158" t="s">
        <v>70</v>
      </c>
      <c r="G158">
        <v>16385.599843905824</v>
      </c>
      <c r="H158">
        <v>13609.696872218628</v>
      </c>
      <c r="I158" t="s">
        <v>71</v>
      </c>
      <c r="J158" t="s">
        <v>72</v>
      </c>
      <c r="K158" s="144">
        <v>43494</v>
      </c>
      <c r="L158" t="s">
        <v>73</v>
      </c>
      <c r="M158" s="146"/>
      <c r="N158" s="146"/>
      <c r="O158" s="144">
        <v>44140</v>
      </c>
      <c r="P158" t="s">
        <v>71</v>
      </c>
      <c r="Q158" t="s">
        <v>126</v>
      </c>
      <c r="R158">
        <v>98720</v>
      </c>
      <c r="U158" t="s">
        <v>100</v>
      </c>
      <c r="V158">
        <v>646</v>
      </c>
    </row>
    <row r="159" spans="1:22">
      <c r="A159" t="s">
        <v>84</v>
      </c>
      <c r="B159" t="s">
        <v>67</v>
      </c>
      <c r="C159" t="s">
        <v>23</v>
      </c>
      <c r="D159" t="s">
        <v>96</v>
      </c>
      <c r="E159" t="s">
        <v>97</v>
      </c>
      <c r="F159" t="s">
        <v>70</v>
      </c>
      <c r="G159">
        <v>10393.936218985162</v>
      </c>
      <c r="H159">
        <v>9670.124504571153</v>
      </c>
      <c r="I159" t="s">
        <v>71</v>
      </c>
      <c r="J159" t="s">
        <v>72</v>
      </c>
      <c r="K159" s="144">
        <v>43417</v>
      </c>
      <c r="L159" t="s">
        <v>73</v>
      </c>
      <c r="M159" s="146">
        <v>43442</v>
      </c>
      <c r="N159" s="146">
        <v>43449</v>
      </c>
      <c r="O159" s="144">
        <v>43635</v>
      </c>
      <c r="P159" t="s">
        <v>71</v>
      </c>
      <c r="Q159" t="s">
        <v>98</v>
      </c>
      <c r="R159">
        <v>98720</v>
      </c>
      <c r="S159">
        <v>32.706310000000002</v>
      </c>
      <c r="T159">
        <v>12.93257</v>
      </c>
      <c r="U159" t="s">
        <v>116</v>
      </c>
      <c r="V159">
        <v>218</v>
      </c>
    </row>
    <row r="160" spans="1:22">
      <c r="A160" t="s">
        <v>84</v>
      </c>
      <c r="B160" t="s">
        <v>67</v>
      </c>
      <c r="C160" t="s">
        <v>23</v>
      </c>
      <c r="D160" t="s">
        <v>96</v>
      </c>
      <c r="E160" t="s">
        <v>97</v>
      </c>
      <c r="F160" t="s">
        <v>70</v>
      </c>
      <c r="G160">
        <v>11390.68679223089</v>
      </c>
      <c r="H160">
        <v>11382.389205748925</v>
      </c>
      <c r="I160" t="s">
        <v>71</v>
      </c>
      <c r="J160" t="s">
        <v>72</v>
      </c>
      <c r="K160" s="144">
        <v>43417</v>
      </c>
      <c r="L160" t="s">
        <v>73</v>
      </c>
      <c r="M160" s="146">
        <v>43442</v>
      </c>
      <c r="N160" s="146">
        <v>43449</v>
      </c>
      <c r="O160" s="144">
        <v>43635</v>
      </c>
      <c r="P160" t="s">
        <v>71</v>
      </c>
      <c r="Q160" t="s">
        <v>98</v>
      </c>
      <c r="R160">
        <v>98720</v>
      </c>
      <c r="S160">
        <v>32.763120000000001</v>
      </c>
      <c r="T160">
        <v>13.092737</v>
      </c>
      <c r="U160" t="s">
        <v>116</v>
      </c>
      <c r="V160">
        <v>218</v>
      </c>
    </row>
    <row r="161" spans="1:22">
      <c r="A161" t="s">
        <v>84</v>
      </c>
      <c r="B161" t="s">
        <v>67</v>
      </c>
      <c r="C161" t="s">
        <v>23</v>
      </c>
      <c r="D161" t="s">
        <v>96</v>
      </c>
      <c r="E161" t="s">
        <v>97</v>
      </c>
      <c r="F161" t="s">
        <v>70</v>
      </c>
      <c r="G161">
        <v>22372.564281503957</v>
      </c>
      <c r="H161">
        <v>22266.635223866087</v>
      </c>
      <c r="I161" t="s">
        <v>71</v>
      </c>
      <c r="J161" t="s">
        <v>72</v>
      </c>
      <c r="K161" s="144">
        <v>43417</v>
      </c>
      <c r="L161" t="s">
        <v>73</v>
      </c>
      <c r="M161" s="146">
        <v>43442</v>
      </c>
      <c r="N161" s="146">
        <v>43449</v>
      </c>
      <c r="O161" s="144">
        <v>43635</v>
      </c>
      <c r="P161" t="s">
        <v>71</v>
      </c>
      <c r="Q161" t="s">
        <v>98</v>
      </c>
      <c r="R161">
        <v>98720</v>
      </c>
      <c r="S161">
        <v>32.64499</v>
      </c>
      <c r="T161">
        <v>13.021126000000001</v>
      </c>
      <c r="U161" t="s">
        <v>116</v>
      </c>
      <c r="V161">
        <v>218</v>
      </c>
    </row>
    <row r="162" spans="1:22">
      <c r="A162" t="s">
        <v>84</v>
      </c>
      <c r="B162" t="s">
        <v>67</v>
      </c>
      <c r="C162" t="s">
        <v>23</v>
      </c>
      <c r="D162" t="s">
        <v>96</v>
      </c>
      <c r="E162" t="s">
        <v>97</v>
      </c>
      <c r="F162" t="s">
        <v>70</v>
      </c>
      <c r="G162">
        <v>23789.229922295097</v>
      </c>
      <c r="H162">
        <v>23789.229922295097</v>
      </c>
      <c r="I162" t="s">
        <v>71</v>
      </c>
      <c r="J162" t="s">
        <v>72</v>
      </c>
      <c r="K162" s="144">
        <v>43399</v>
      </c>
      <c r="L162" t="s">
        <v>73</v>
      </c>
      <c r="M162" s="146">
        <v>43429</v>
      </c>
      <c r="N162" s="146">
        <v>43436</v>
      </c>
      <c r="O162" s="144">
        <v>43606</v>
      </c>
      <c r="P162" t="s">
        <v>71</v>
      </c>
      <c r="Q162" t="s">
        <v>98</v>
      </c>
      <c r="R162">
        <v>98720</v>
      </c>
      <c r="S162">
        <v>32.713217999999998</v>
      </c>
      <c r="T162">
        <v>13.067128</v>
      </c>
      <c r="U162" t="s">
        <v>94</v>
      </c>
      <c r="V162">
        <v>207</v>
      </c>
    </row>
    <row r="163" spans="1:22">
      <c r="A163" t="s">
        <v>84</v>
      </c>
      <c r="B163" t="s">
        <v>67</v>
      </c>
      <c r="C163" t="s">
        <v>23</v>
      </c>
      <c r="D163" t="s">
        <v>96</v>
      </c>
      <c r="E163" t="s">
        <v>97</v>
      </c>
      <c r="F163" t="s">
        <v>70</v>
      </c>
      <c r="G163">
        <v>31429.846973959091</v>
      </c>
      <c r="H163">
        <v>31429.868321338941</v>
      </c>
      <c r="I163" t="s">
        <v>71</v>
      </c>
      <c r="J163" t="s">
        <v>72</v>
      </c>
      <c r="K163" s="144">
        <v>43399</v>
      </c>
      <c r="L163" t="s">
        <v>73</v>
      </c>
      <c r="M163" s="146">
        <v>43429</v>
      </c>
      <c r="N163" s="146">
        <v>43436</v>
      </c>
      <c r="O163" s="144">
        <v>43606</v>
      </c>
      <c r="P163" t="s">
        <v>71</v>
      </c>
      <c r="Q163" t="s">
        <v>98</v>
      </c>
      <c r="R163">
        <v>98720</v>
      </c>
      <c r="S163">
        <v>32.688304000000002</v>
      </c>
      <c r="T163">
        <v>13.058446999999999</v>
      </c>
      <c r="U163" t="s">
        <v>94</v>
      </c>
      <c r="V163">
        <v>207</v>
      </c>
    </row>
    <row r="164" spans="1:22">
      <c r="A164" t="s">
        <v>84</v>
      </c>
      <c r="B164" t="s">
        <v>67</v>
      </c>
      <c r="C164" t="s">
        <v>23</v>
      </c>
      <c r="D164" t="s">
        <v>96</v>
      </c>
      <c r="E164" t="s">
        <v>97</v>
      </c>
      <c r="F164" t="s">
        <v>70</v>
      </c>
      <c r="G164">
        <v>11533.98067049117</v>
      </c>
      <c r="H164">
        <v>11533.98067049117</v>
      </c>
      <c r="I164" t="s">
        <v>71</v>
      </c>
      <c r="J164" t="s">
        <v>72</v>
      </c>
      <c r="K164" s="144">
        <v>43399</v>
      </c>
      <c r="L164" t="s">
        <v>73</v>
      </c>
      <c r="M164" s="146">
        <v>43429</v>
      </c>
      <c r="N164" s="146">
        <v>43436</v>
      </c>
      <c r="O164" s="144">
        <v>43606</v>
      </c>
      <c r="P164" t="s">
        <v>71</v>
      </c>
      <c r="Q164" t="s">
        <v>98</v>
      </c>
      <c r="R164">
        <v>98720</v>
      </c>
      <c r="S164">
        <v>32.638168999999998</v>
      </c>
      <c r="T164">
        <v>13.065338000000001</v>
      </c>
      <c r="U164" t="s">
        <v>94</v>
      </c>
      <c r="V164">
        <v>207</v>
      </c>
    </row>
    <row r="165" spans="1:22">
      <c r="A165" t="s">
        <v>66</v>
      </c>
      <c r="B165" t="s">
        <v>67</v>
      </c>
      <c r="C165" t="s">
        <v>23</v>
      </c>
      <c r="D165" t="s">
        <v>4</v>
      </c>
      <c r="E165" t="s">
        <v>125</v>
      </c>
      <c r="F165" t="s">
        <v>70</v>
      </c>
      <c r="G165">
        <v>16185.275309348019</v>
      </c>
      <c r="H165">
        <v>13443.309543260757</v>
      </c>
      <c r="I165" t="s">
        <v>71</v>
      </c>
      <c r="J165" t="s">
        <v>72</v>
      </c>
      <c r="K165" s="144">
        <v>43494</v>
      </c>
      <c r="L165" t="s">
        <v>73</v>
      </c>
      <c r="M165" s="146"/>
      <c r="N165" s="146"/>
      <c r="O165" s="144">
        <v>44140</v>
      </c>
      <c r="P165" t="s">
        <v>71</v>
      </c>
      <c r="Q165" t="s">
        <v>126</v>
      </c>
      <c r="R165">
        <v>98720</v>
      </c>
      <c r="U165" t="s">
        <v>100</v>
      </c>
      <c r="V165">
        <v>646</v>
      </c>
    </row>
    <row r="166" spans="1:22">
      <c r="A166" t="s">
        <v>66</v>
      </c>
      <c r="B166" t="s">
        <v>67</v>
      </c>
      <c r="C166" t="s">
        <v>23</v>
      </c>
      <c r="D166" t="s">
        <v>4</v>
      </c>
      <c r="E166" t="s">
        <v>125</v>
      </c>
      <c r="F166" t="s">
        <v>70</v>
      </c>
      <c r="G166">
        <v>13781.79704420439</v>
      </c>
      <c r="H166">
        <v>11447.007244951154</v>
      </c>
      <c r="I166" t="s">
        <v>71</v>
      </c>
      <c r="J166" t="s">
        <v>72</v>
      </c>
      <c r="K166" s="144">
        <v>43494</v>
      </c>
      <c r="L166" t="s">
        <v>73</v>
      </c>
      <c r="M166" s="146"/>
      <c r="N166" s="146"/>
      <c r="O166" s="144">
        <v>44140</v>
      </c>
      <c r="P166" t="s">
        <v>71</v>
      </c>
      <c r="Q166" t="s">
        <v>126</v>
      </c>
      <c r="R166">
        <v>98720</v>
      </c>
      <c r="U166" t="s">
        <v>100</v>
      </c>
      <c r="V166">
        <v>646</v>
      </c>
    </row>
    <row r="167" spans="1:22">
      <c r="A167" t="s">
        <v>66</v>
      </c>
      <c r="B167" t="s">
        <v>67</v>
      </c>
      <c r="C167" t="s">
        <v>23</v>
      </c>
      <c r="D167" t="s">
        <v>4</v>
      </c>
      <c r="E167" t="s">
        <v>125</v>
      </c>
      <c r="F167" t="s">
        <v>70</v>
      </c>
      <c r="G167">
        <v>14030.004274435809</v>
      </c>
      <c r="H167">
        <v>11653.165408040859</v>
      </c>
      <c r="I167" t="s">
        <v>71</v>
      </c>
      <c r="J167" t="s">
        <v>72</v>
      </c>
      <c r="K167" s="144">
        <v>43494</v>
      </c>
      <c r="L167" t="s">
        <v>73</v>
      </c>
      <c r="M167" s="146"/>
      <c r="N167" s="146"/>
      <c r="O167" s="144">
        <v>44140</v>
      </c>
      <c r="P167" t="s">
        <v>71</v>
      </c>
      <c r="Q167" t="s">
        <v>126</v>
      </c>
      <c r="R167">
        <v>98720</v>
      </c>
      <c r="U167" t="s">
        <v>100</v>
      </c>
      <c r="V167">
        <v>646</v>
      </c>
    </row>
    <row r="168" spans="1:22">
      <c r="A168" t="s">
        <v>66</v>
      </c>
      <c r="B168" t="s">
        <v>67</v>
      </c>
      <c r="C168" t="s">
        <v>23</v>
      </c>
      <c r="D168" t="s">
        <v>4</v>
      </c>
      <c r="E168" t="s">
        <v>125</v>
      </c>
      <c r="F168" t="s">
        <v>70</v>
      </c>
      <c r="G168">
        <v>17552.488134065377</v>
      </c>
      <c r="H168">
        <v>14578.901299526768</v>
      </c>
      <c r="I168" t="s">
        <v>71</v>
      </c>
      <c r="J168" t="s">
        <v>72</v>
      </c>
      <c r="K168" s="144">
        <v>43494</v>
      </c>
      <c r="L168" t="s">
        <v>73</v>
      </c>
      <c r="M168" s="146"/>
      <c r="N168" s="146"/>
      <c r="O168" s="144">
        <v>44140</v>
      </c>
      <c r="P168" t="s">
        <v>71</v>
      </c>
      <c r="Q168" t="s">
        <v>126</v>
      </c>
      <c r="R168">
        <v>98720</v>
      </c>
      <c r="U168" t="s">
        <v>100</v>
      </c>
      <c r="V168">
        <v>646</v>
      </c>
    </row>
    <row r="169" spans="1:22">
      <c r="A169" t="s">
        <v>66</v>
      </c>
      <c r="B169" t="s">
        <v>67</v>
      </c>
      <c r="C169" t="s">
        <v>23</v>
      </c>
      <c r="D169" t="s">
        <v>4</v>
      </c>
      <c r="E169" t="s">
        <v>125</v>
      </c>
      <c r="F169" t="s">
        <v>70</v>
      </c>
      <c r="G169">
        <v>19267.161151209602</v>
      </c>
      <c r="H169">
        <v>16003.089624678909</v>
      </c>
      <c r="I169" t="s">
        <v>71</v>
      </c>
      <c r="J169" t="s">
        <v>72</v>
      </c>
      <c r="K169" s="144">
        <v>43494</v>
      </c>
      <c r="L169" t="s">
        <v>73</v>
      </c>
      <c r="M169" s="146"/>
      <c r="N169" s="146"/>
      <c r="O169" s="144">
        <v>44140</v>
      </c>
      <c r="P169" t="s">
        <v>71</v>
      </c>
      <c r="Q169" t="s">
        <v>126</v>
      </c>
      <c r="R169">
        <v>98720</v>
      </c>
      <c r="U169" t="s">
        <v>100</v>
      </c>
      <c r="V169">
        <v>646</v>
      </c>
    </row>
    <row r="170" spans="1:22">
      <c r="A170" t="s">
        <v>84</v>
      </c>
      <c r="B170" t="s">
        <v>67</v>
      </c>
      <c r="C170" t="s">
        <v>23</v>
      </c>
      <c r="D170" t="s">
        <v>96</v>
      </c>
      <c r="E170" t="s">
        <v>97</v>
      </c>
      <c r="F170" t="s">
        <v>70</v>
      </c>
      <c r="G170">
        <v>19369.152694560969</v>
      </c>
      <c r="H170">
        <v>17494.362345394125</v>
      </c>
      <c r="I170" t="s">
        <v>71</v>
      </c>
      <c r="J170" t="s">
        <v>72</v>
      </c>
      <c r="K170" s="144">
        <v>43414</v>
      </c>
      <c r="L170" t="s">
        <v>73</v>
      </c>
      <c r="M170" s="146">
        <v>43444</v>
      </c>
      <c r="N170" s="146">
        <v>43451</v>
      </c>
      <c r="O170" s="144">
        <v>43712</v>
      </c>
      <c r="P170" t="s">
        <v>71</v>
      </c>
      <c r="Q170" t="s">
        <v>98</v>
      </c>
      <c r="R170">
        <v>98720</v>
      </c>
      <c r="S170">
        <v>32.573999999999998</v>
      </c>
      <c r="T170">
        <v>13.279</v>
      </c>
      <c r="U170" t="s">
        <v>94</v>
      </c>
      <c r="V170">
        <v>298</v>
      </c>
    </row>
    <row r="171" spans="1:22">
      <c r="A171" t="s">
        <v>84</v>
      </c>
      <c r="B171" t="s">
        <v>67</v>
      </c>
      <c r="C171" t="s">
        <v>23</v>
      </c>
      <c r="D171" t="s">
        <v>96</v>
      </c>
      <c r="E171" t="s">
        <v>97</v>
      </c>
      <c r="F171" t="s">
        <v>70</v>
      </c>
      <c r="G171">
        <v>20778.19292925526</v>
      </c>
      <c r="H171">
        <v>16418.058776448954</v>
      </c>
      <c r="I171" t="s">
        <v>71</v>
      </c>
      <c r="J171" t="s">
        <v>72</v>
      </c>
      <c r="K171" s="144">
        <v>43414</v>
      </c>
      <c r="L171" t="s">
        <v>73</v>
      </c>
      <c r="M171" s="146">
        <v>43444</v>
      </c>
      <c r="N171" s="146">
        <v>43451</v>
      </c>
      <c r="O171" s="144">
        <v>43712</v>
      </c>
      <c r="P171" t="s">
        <v>71</v>
      </c>
      <c r="Q171" t="s">
        <v>98</v>
      </c>
      <c r="R171">
        <v>98720</v>
      </c>
      <c r="S171">
        <v>32.606999999999999</v>
      </c>
      <c r="T171">
        <v>13.241</v>
      </c>
      <c r="U171" t="s">
        <v>94</v>
      </c>
      <c r="V171">
        <v>298</v>
      </c>
    </row>
    <row r="172" spans="1:22">
      <c r="A172" t="s">
        <v>84</v>
      </c>
      <c r="B172" t="s">
        <v>67</v>
      </c>
      <c r="C172" t="s">
        <v>23</v>
      </c>
      <c r="D172" t="s">
        <v>96</v>
      </c>
      <c r="E172" t="s">
        <v>97</v>
      </c>
      <c r="F172" t="s">
        <v>70</v>
      </c>
      <c r="G172">
        <v>21503.204641690183</v>
      </c>
      <c r="H172">
        <v>26582.724671164153</v>
      </c>
      <c r="I172" t="s">
        <v>71</v>
      </c>
      <c r="J172" t="s">
        <v>72</v>
      </c>
      <c r="K172" s="144">
        <v>43414</v>
      </c>
      <c r="L172" t="s">
        <v>73</v>
      </c>
      <c r="M172" s="146">
        <v>43444</v>
      </c>
      <c r="N172" s="146">
        <v>43451</v>
      </c>
      <c r="O172" s="144">
        <v>43712</v>
      </c>
      <c r="P172" t="s">
        <v>71</v>
      </c>
      <c r="Q172" t="s">
        <v>98</v>
      </c>
      <c r="R172">
        <v>98720</v>
      </c>
      <c r="S172">
        <v>32.591000000000001</v>
      </c>
      <c r="T172">
        <v>13.223000000000001</v>
      </c>
      <c r="U172" t="s">
        <v>94</v>
      </c>
      <c r="V172">
        <v>298</v>
      </c>
    </row>
    <row r="173" spans="1:22">
      <c r="A173" t="s">
        <v>84</v>
      </c>
      <c r="B173" t="s">
        <v>67</v>
      </c>
      <c r="C173" t="s">
        <v>23</v>
      </c>
      <c r="D173" t="s">
        <v>96</v>
      </c>
      <c r="E173" t="s">
        <v>97</v>
      </c>
      <c r="F173" t="s">
        <v>70</v>
      </c>
      <c r="G173">
        <v>14244.106684629916</v>
      </c>
      <c r="H173">
        <v>15463.597668180431</v>
      </c>
      <c r="I173" t="s">
        <v>71</v>
      </c>
      <c r="J173" t="s">
        <v>72</v>
      </c>
      <c r="K173" s="144">
        <v>43426</v>
      </c>
      <c r="L173" t="s">
        <v>73</v>
      </c>
      <c r="M173" s="146">
        <v>43443</v>
      </c>
      <c r="N173" s="146">
        <v>43450</v>
      </c>
      <c r="O173" s="144">
        <v>43835</v>
      </c>
      <c r="P173" t="s">
        <v>71</v>
      </c>
      <c r="Q173" t="s">
        <v>98</v>
      </c>
      <c r="R173">
        <v>112158</v>
      </c>
      <c r="S173">
        <v>32.665999999999997</v>
      </c>
      <c r="T173">
        <v>13.292</v>
      </c>
      <c r="U173" t="s">
        <v>10</v>
      </c>
      <c r="V173">
        <v>409</v>
      </c>
    </row>
    <row r="174" spans="1:22">
      <c r="A174" t="s">
        <v>84</v>
      </c>
      <c r="B174" t="s">
        <v>67</v>
      </c>
      <c r="C174" t="s">
        <v>23</v>
      </c>
      <c r="D174" t="s">
        <v>96</v>
      </c>
      <c r="E174" t="s">
        <v>97</v>
      </c>
      <c r="F174" t="s">
        <v>70</v>
      </c>
      <c r="G174">
        <v>16630.00932023026</v>
      </c>
      <c r="H174">
        <v>15419.697479363585</v>
      </c>
      <c r="I174" t="s">
        <v>71</v>
      </c>
      <c r="J174" t="s">
        <v>72</v>
      </c>
      <c r="K174" s="144">
        <v>43426</v>
      </c>
      <c r="L174" t="s">
        <v>73</v>
      </c>
      <c r="M174" s="146">
        <v>43443</v>
      </c>
      <c r="N174" s="146">
        <v>43450</v>
      </c>
      <c r="O174" s="144">
        <v>43835</v>
      </c>
      <c r="P174" t="s">
        <v>71</v>
      </c>
      <c r="Q174" t="s">
        <v>98</v>
      </c>
      <c r="R174">
        <v>112158</v>
      </c>
      <c r="S174">
        <v>32.616</v>
      </c>
      <c r="T174">
        <v>13.276999999999999</v>
      </c>
      <c r="U174" t="s">
        <v>10</v>
      </c>
      <c r="V174">
        <v>409</v>
      </c>
    </row>
    <row r="175" spans="1:22">
      <c r="A175" t="s">
        <v>84</v>
      </c>
      <c r="B175" t="s">
        <v>67</v>
      </c>
      <c r="C175" t="s">
        <v>23</v>
      </c>
      <c r="D175" t="s">
        <v>96</v>
      </c>
      <c r="E175" t="s">
        <v>97</v>
      </c>
      <c r="F175" t="s">
        <v>70</v>
      </c>
      <c r="G175">
        <v>12006.364132090499</v>
      </c>
      <c r="H175">
        <v>11824.801285132913</v>
      </c>
      <c r="I175" t="s">
        <v>71</v>
      </c>
      <c r="J175" t="s">
        <v>72</v>
      </c>
      <c r="K175" s="144">
        <v>43426</v>
      </c>
      <c r="L175" t="s">
        <v>73</v>
      </c>
      <c r="M175" s="146">
        <v>43443</v>
      </c>
      <c r="N175" s="146">
        <v>43450</v>
      </c>
      <c r="O175" s="144">
        <v>43835</v>
      </c>
      <c r="P175" t="s">
        <v>71</v>
      </c>
      <c r="Q175" t="s">
        <v>98</v>
      </c>
      <c r="R175">
        <v>112158</v>
      </c>
      <c r="S175">
        <v>32.529000000000003</v>
      </c>
      <c r="T175">
        <v>13.257</v>
      </c>
      <c r="U175" t="s">
        <v>10</v>
      </c>
      <c r="V175">
        <v>409</v>
      </c>
    </row>
    <row r="176" spans="1:22">
      <c r="A176" t="s">
        <v>66</v>
      </c>
      <c r="B176" t="s">
        <v>67</v>
      </c>
      <c r="C176" t="s">
        <v>23</v>
      </c>
      <c r="D176" t="s">
        <v>4</v>
      </c>
      <c r="E176" t="s">
        <v>125</v>
      </c>
      <c r="F176" t="s">
        <v>70</v>
      </c>
      <c r="G176">
        <v>14985.996690764823</v>
      </c>
      <c r="H176">
        <v>12447.202069641424</v>
      </c>
      <c r="I176" t="s">
        <v>71</v>
      </c>
      <c r="J176" t="s">
        <v>72</v>
      </c>
      <c r="K176" s="144">
        <v>43494</v>
      </c>
      <c r="L176" t="s">
        <v>73</v>
      </c>
      <c r="M176" s="146"/>
      <c r="N176" s="146"/>
      <c r="O176" s="144">
        <v>44140</v>
      </c>
      <c r="P176" t="s">
        <v>71</v>
      </c>
      <c r="Q176" t="s">
        <v>126</v>
      </c>
      <c r="R176">
        <v>98720</v>
      </c>
      <c r="U176" t="s">
        <v>100</v>
      </c>
      <c r="V176">
        <v>646</v>
      </c>
    </row>
    <row r="177" spans="1:22">
      <c r="A177" t="s">
        <v>66</v>
      </c>
      <c r="B177" t="s">
        <v>67</v>
      </c>
      <c r="C177" t="s">
        <v>23</v>
      </c>
      <c r="D177" t="s">
        <v>4</v>
      </c>
      <c r="E177" t="s">
        <v>125</v>
      </c>
      <c r="F177" t="s">
        <v>70</v>
      </c>
      <c r="G177">
        <v>13926.105480469512</v>
      </c>
      <c r="H177">
        <v>11566.868226079814</v>
      </c>
      <c r="I177" t="s">
        <v>71</v>
      </c>
      <c r="J177" t="s">
        <v>72</v>
      </c>
      <c r="K177" s="144">
        <v>43494</v>
      </c>
      <c r="L177" t="s">
        <v>73</v>
      </c>
      <c r="M177" s="146"/>
      <c r="N177" s="146"/>
      <c r="O177" s="144">
        <v>44140</v>
      </c>
      <c r="P177" t="s">
        <v>71</v>
      </c>
      <c r="Q177" t="s">
        <v>126</v>
      </c>
      <c r="R177">
        <v>98720</v>
      </c>
      <c r="U177" t="s">
        <v>100</v>
      </c>
      <c r="V177">
        <v>646</v>
      </c>
    </row>
    <row r="178" spans="1:22">
      <c r="A178" t="s">
        <v>66</v>
      </c>
      <c r="B178" t="s">
        <v>67</v>
      </c>
      <c r="C178" t="s">
        <v>23</v>
      </c>
      <c r="D178" t="s">
        <v>4</v>
      </c>
      <c r="E178" t="s">
        <v>125</v>
      </c>
      <c r="F178" t="s">
        <v>70</v>
      </c>
      <c r="G178">
        <v>18086.006723444261</v>
      </c>
      <c r="H178">
        <v>15022.03590224568</v>
      </c>
      <c r="I178" t="s">
        <v>71</v>
      </c>
      <c r="J178" t="s">
        <v>72</v>
      </c>
      <c r="K178" s="144">
        <v>43494</v>
      </c>
      <c r="L178" t="s">
        <v>73</v>
      </c>
      <c r="M178" s="146"/>
      <c r="N178" s="146"/>
      <c r="O178" s="144">
        <v>44140</v>
      </c>
      <c r="P178" t="s">
        <v>71</v>
      </c>
      <c r="Q178" t="s">
        <v>126</v>
      </c>
      <c r="R178">
        <v>98720</v>
      </c>
      <c r="U178" t="s">
        <v>100</v>
      </c>
      <c r="V178">
        <v>646</v>
      </c>
    </row>
    <row r="179" spans="1:22">
      <c r="A179" t="s">
        <v>66</v>
      </c>
      <c r="B179" t="s">
        <v>67</v>
      </c>
      <c r="C179" t="s">
        <v>23</v>
      </c>
      <c r="D179" t="s">
        <v>4</v>
      </c>
      <c r="E179" t="s">
        <v>125</v>
      </c>
      <c r="F179" t="s">
        <v>70</v>
      </c>
      <c r="G179">
        <v>17446.406021272254</v>
      </c>
      <c r="H179">
        <v>14490.790677246689</v>
      </c>
      <c r="I179" t="s">
        <v>71</v>
      </c>
      <c r="J179" t="s">
        <v>72</v>
      </c>
      <c r="K179" s="144">
        <v>43494</v>
      </c>
      <c r="L179" t="s">
        <v>73</v>
      </c>
      <c r="M179" s="146"/>
      <c r="N179" s="146"/>
      <c r="O179" s="144">
        <v>44140</v>
      </c>
      <c r="P179" t="s">
        <v>71</v>
      </c>
      <c r="Q179" t="s">
        <v>126</v>
      </c>
      <c r="R179">
        <v>98720</v>
      </c>
      <c r="U179" t="s">
        <v>100</v>
      </c>
      <c r="V179">
        <v>646</v>
      </c>
    </row>
    <row r="180" spans="1:22">
      <c r="A180" t="s">
        <v>66</v>
      </c>
      <c r="B180" t="s">
        <v>67</v>
      </c>
      <c r="C180" t="s">
        <v>23</v>
      </c>
      <c r="D180" t="s">
        <v>4</v>
      </c>
      <c r="E180" t="s">
        <v>125</v>
      </c>
      <c r="F180" t="s">
        <v>70</v>
      </c>
      <c r="G180">
        <v>16642.256613577181</v>
      </c>
      <c r="H180">
        <v>13822.873128730786</v>
      </c>
      <c r="I180" t="s">
        <v>71</v>
      </c>
      <c r="J180" t="s">
        <v>72</v>
      </c>
      <c r="K180" s="144">
        <v>43494</v>
      </c>
      <c r="L180" t="s">
        <v>73</v>
      </c>
      <c r="M180" s="146"/>
      <c r="N180" s="146"/>
      <c r="O180" s="144">
        <v>44140</v>
      </c>
      <c r="P180" t="s">
        <v>71</v>
      </c>
      <c r="Q180" t="s">
        <v>126</v>
      </c>
      <c r="R180">
        <v>98720</v>
      </c>
      <c r="U180" t="s">
        <v>100</v>
      </c>
      <c r="V180">
        <v>646</v>
      </c>
    </row>
    <row r="181" spans="1:22">
      <c r="A181" t="s">
        <v>84</v>
      </c>
      <c r="B181" t="s">
        <v>67</v>
      </c>
      <c r="C181" t="s">
        <v>23</v>
      </c>
      <c r="D181" t="s">
        <v>96</v>
      </c>
      <c r="E181" t="s">
        <v>97</v>
      </c>
      <c r="F181" t="s">
        <v>70</v>
      </c>
      <c r="G181">
        <v>10951.452327164867</v>
      </c>
      <c r="H181">
        <v>12378.8138728548</v>
      </c>
      <c r="I181" t="s">
        <v>71</v>
      </c>
      <c r="J181" t="s">
        <v>72</v>
      </c>
      <c r="K181" s="144">
        <v>43635</v>
      </c>
      <c r="L181" t="s">
        <v>73</v>
      </c>
      <c r="M181" s="146">
        <v>43663</v>
      </c>
      <c r="N181" s="146"/>
      <c r="O181" s="144">
        <v>43788</v>
      </c>
      <c r="P181" t="s">
        <v>71</v>
      </c>
      <c r="Q181" t="s">
        <v>98</v>
      </c>
      <c r="R181">
        <v>112158</v>
      </c>
      <c r="S181">
        <v>32.742572000000003</v>
      </c>
      <c r="T181">
        <v>13.748748000000001</v>
      </c>
      <c r="U181" t="s">
        <v>10</v>
      </c>
      <c r="V181">
        <v>153</v>
      </c>
    </row>
    <row r="182" spans="1:22">
      <c r="A182" t="s">
        <v>84</v>
      </c>
      <c r="B182" t="s">
        <v>67</v>
      </c>
      <c r="C182" t="s">
        <v>23</v>
      </c>
      <c r="D182" t="s">
        <v>96</v>
      </c>
      <c r="E182" t="s">
        <v>97</v>
      </c>
      <c r="F182" t="s">
        <v>70</v>
      </c>
      <c r="G182">
        <v>27737.220679353519</v>
      </c>
      <c r="H182">
        <v>26943.122299765233</v>
      </c>
      <c r="I182" t="s">
        <v>71</v>
      </c>
      <c r="J182" t="s">
        <v>72</v>
      </c>
      <c r="K182" s="144">
        <v>43635</v>
      </c>
      <c r="L182" t="s">
        <v>73</v>
      </c>
      <c r="M182" s="146">
        <v>43663</v>
      </c>
      <c r="N182" s="146"/>
      <c r="O182" s="144">
        <v>43788</v>
      </c>
      <c r="P182" t="s">
        <v>71</v>
      </c>
      <c r="Q182" t="s">
        <v>98</v>
      </c>
      <c r="R182">
        <v>112158</v>
      </c>
      <c r="S182">
        <v>32.383563000000002</v>
      </c>
      <c r="T182">
        <v>13.445762999999999</v>
      </c>
      <c r="U182" t="s">
        <v>10</v>
      </c>
      <c r="V182">
        <v>153</v>
      </c>
    </row>
    <row r="183" spans="1:22">
      <c r="A183" t="s">
        <v>84</v>
      </c>
      <c r="B183" t="s">
        <v>67</v>
      </c>
      <c r="C183" t="s">
        <v>23</v>
      </c>
      <c r="D183" t="s">
        <v>96</v>
      </c>
      <c r="E183" t="s">
        <v>97</v>
      </c>
      <c r="F183" t="s">
        <v>70</v>
      </c>
      <c r="G183">
        <v>14832.287088963769</v>
      </c>
      <c r="H183">
        <v>13882.07314381536</v>
      </c>
      <c r="I183" t="s">
        <v>71</v>
      </c>
      <c r="J183" t="s">
        <v>72</v>
      </c>
      <c r="K183" s="144">
        <v>43635</v>
      </c>
      <c r="L183" t="s">
        <v>73</v>
      </c>
      <c r="M183" s="146">
        <v>43663</v>
      </c>
      <c r="N183" s="146"/>
      <c r="O183" s="144">
        <v>43788</v>
      </c>
      <c r="P183" t="s">
        <v>71</v>
      </c>
      <c r="Q183" t="s">
        <v>98</v>
      </c>
      <c r="R183">
        <v>112158</v>
      </c>
      <c r="S183">
        <v>32.392840999999997</v>
      </c>
      <c r="T183">
        <v>13.35284</v>
      </c>
      <c r="U183" t="s">
        <v>10</v>
      </c>
      <c r="V183">
        <v>153</v>
      </c>
    </row>
    <row r="184" spans="1:22">
      <c r="A184" t="s">
        <v>84</v>
      </c>
      <c r="B184" t="s">
        <v>67</v>
      </c>
      <c r="C184" t="s">
        <v>23</v>
      </c>
      <c r="D184" t="s">
        <v>96</v>
      </c>
      <c r="E184" t="s">
        <v>97</v>
      </c>
      <c r="F184" t="s">
        <v>70</v>
      </c>
      <c r="G184">
        <v>27273.094842262228</v>
      </c>
      <c r="H184">
        <v>81473.808384684336</v>
      </c>
      <c r="I184" t="s">
        <v>71</v>
      </c>
      <c r="J184" t="s">
        <v>72</v>
      </c>
      <c r="K184" s="144">
        <v>43635</v>
      </c>
      <c r="L184" t="s">
        <v>73</v>
      </c>
      <c r="M184" s="146">
        <v>43663</v>
      </c>
      <c r="N184" s="146">
        <v>43663</v>
      </c>
      <c r="O184" s="144">
        <v>43785</v>
      </c>
      <c r="P184" t="s">
        <v>71</v>
      </c>
      <c r="Q184" t="s">
        <v>98</v>
      </c>
      <c r="R184">
        <v>112158</v>
      </c>
      <c r="S184">
        <v>32.733465000000002</v>
      </c>
      <c r="T184">
        <v>13.782862</v>
      </c>
      <c r="U184" t="s">
        <v>10</v>
      </c>
      <c r="V184">
        <v>150</v>
      </c>
    </row>
    <row r="185" spans="1:22">
      <c r="A185" t="s">
        <v>84</v>
      </c>
      <c r="B185" t="s">
        <v>67</v>
      </c>
      <c r="C185" t="s">
        <v>23</v>
      </c>
      <c r="D185" t="s">
        <v>96</v>
      </c>
      <c r="E185" t="s">
        <v>97</v>
      </c>
      <c r="F185" t="s">
        <v>70</v>
      </c>
      <c r="G185">
        <v>23031.017257664786</v>
      </c>
      <c r="H185">
        <v>0</v>
      </c>
      <c r="I185" t="s">
        <v>71</v>
      </c>
      <c r="J185" t="s">
        <v>72</v>
      </c>
      <c r="K185" s="144">
        <v>43635</v>
      </c>
      <c r="L185" t="s">
        <v>73</v>
      </c>
      <c r="M185" s="146">
        <v>43663</v>
      </c>
      <c r="N185" s="146">
        <v>43663</v>
      </c>
      <c r="O185" s="144">
        <v>43785</v>
      </c>
      <c r="P185" t="s">
        <v>71</v>
      </c>
      <c r="Q185" t="s">
        <v>98</v>
      </c>
      <c r="R185">
        <v>112158</v>
      </c>
      <c r="S185">
        <v>32.445404000000003</v>
      </c>
      <c r="T185">
        <v>13.390471</v>
      </c>
      <c r="U185" t="s">
        <v>10</v>
      </c>
      <c r="V185">
        <v>150</v>
      </c>
    </row>
    <row r="186" spans="1:22">
      <c r="A186" t="s">
        <v>84</v>
      </c>
      <c r="B186" t="s">
        <v>67</v>
      </c>
      <c r="C186" t="s">
        <v>23</v>
      </c>
      <c r="D186" t="s">
        <v>96</v>
      </c>
      <c r="E186" t="s">
        <v>97</v>
      </c>
      <c r="F186" t="s">
        <v>70</v>
      </c>
      <c r="G186">
        <v>21870.706805797476</v>
      </c>
      <c r="H186">
        <v>0</v>
      </c>
      <c r="I186" t="s">
        <v>71</v>
      </c>
      <c r="J186" t="s">
        <v>72</v>
      </c>
      <c r="K186" s="144">
        <v>43635</v>
      </c>
      <c r="L186" t="s">
        <v>73</v>
      </c>
      <c r="M186" s="146">
        <v>43663</v>
      </c>
      <c r="N186" s="146">
        <v>43663</v>
      </c>
      <c r="O186" s="144">
        <v>44039</v>
      </c>
      <c r="P186" t="s">
        <v>71</v>
      </c>
      <c r="Q186" t="s">
        <v>98</v>
      </c>
      <c r="R186">
        <v>112158</v>
      </c>
      <c r="S186">
        <v>32.711703999999997</v>
      </c>
      <c r="T186">
        <v>13.608772999999999</v>
      </c>
      <c r="U186" t="s">
        <v>10</v>
      </c>
      <c r="V186">
        <v>404</v>
      </c>
    </row>
    <row r="187" spans="1:22">
      <c r="A187" t="s">
        <v>66</v>
      </c>
      <c r="B187" t="s">
        <v>67</v>
      </c>
      <c r="C187" t="s">
        <v>23</v>
      </c>
      <c r="D187" t="s">
        <v>4</v>
      </c>
      <c r="E187" t="s">
        <v>125</v>
      </c>
      <c r="F187" t="s">
        <v>70</v>
      </c>
      <c r="G187">
        <v>14269.055227251654</v>
      </c>
      <c r="H187">
        <v>11851.718469010959</v>
      </c>
      <c r="I187" t="s">
        <v>71</v>
      </c>
      <c r="J187" t="s">
        <v>72</v>
      </c>
      <c r="K187" s="144">
        <v>43494</v>
      </c>
      <c r="L187" t="s">
        <v>73</v>
      </c>
      <c r="M187" s="146"/>
      <c r="N187" s="146"/>
      <c r="O187" s="144">
        <v>44140</v>
      </c>
      <c r="P187" t="s">
        <v>71</v>
      </c>
      <c r="Q187" t="s">
        <v>126</v>
      </c>
      <c r="R187">
        <v>98720</v>
      </c>
      <c r="U187" t="s">
        <v>100</v>
      </c>
      <c r="V187">
        <v>646</v>
      </c>
    </row>
    <row r="188" spans="1:22">
      <c r="A188" t="s">
        <v>66</v>
      </c>
      <c r="B188" t="s">
        <v>67</v>
      </c>
      <c r="C188" t="s">
        <v>23</v>
      </c>
      <c r="D188" t="s">
        <v>4</v>
      </c>
      <c r="E188" t="s">
        <v>125</v>
      </c>
      <c r="F188" t="s">
        <v>70</v>
      </c>
      <c r="G188">
        <v>16858.59611603347</v>
      </c>
      <c r="H188">
        <v>14002.562311791835</v>
      </c>
      <c r="I188" t="s">
        <v>71</v>
      </c>
      <c r="J188" t="s">
        <v>72</v>
      </c>
      <c r="K188" s="144">
        <v>43494</v>
      </c>
      <c r="L188" t="s">
        <v>73</v>
      </c>
      <c r="M188" s="146"/>
      <c r="N188" s="146"/>
      <c r="O188" s="144">
        <v>44140</v>
      </c>
      <c r="P188" t="s">
        <v>71</v>
      </c>
      <c r="Q188" t="s">
        <v>126</v>
      </c>
      <c r="R188">
        <v>98720</v>
      </c>
      <c r="U188" t="s">
        <v>100</v>
      </c>
      <c r="V188">
        <v>646</v>
      </c>
    </row>
    <row r="189" spans="1:22">
      <c r="A189" t="s">
        <v>66</v>
      </c>
      <c r="B189" t="s">
        <v>67</v>
      </c>
      <c r="C189" t="s">
        <v>23</v>
      </c>
      <c r="D189" t="s">
        <v>4</v>
      </c>
      <c r="E189" t="s">
        <v>125</v>
      </c>
      <c r="F189" t="s">
        <v>70</v>
      </c>
      <c r="G189">
        <v>17698.281036961245</v>
      </c>
      <c r="H189">
        <v>14699.995262118044</v>
      </c>
      <c r="I189" t="s">
        <v>71</v>
      </c>
      <c r="J189" t="s">
        <v>72</v>
      </c>
      <c r="K189" s="144">
        <v>43494</v>
      </c>
      <c r="L189" t="s">
        <v>73</v>
      </c>
      <c r="M189" s="146"/>
      <c r="N189" s="146"/>
      <c r="O189" s="144">
        <v>44140</v>
      </c>
      <c r="P189" t="s">
        <v>71</v>
      </c>
      <c r="Q189" t="s">
        <v>126</v>
      </c>
      <c r="R189">
        <v>98720</v>
      </c>
      <c r="U189" t="s">
        <v>100</v>
      </c>
      <c r="V189">
        <v>646</v>
      </c>
    </row>
    <row r="190" spans="1:22">
      <c r="A190" t="s">
        <v>66</v>
      </c>
      <c r="B190" t="s">
        <v>67</v>
      </c>
      <c r="C190" t="s">
        <v>23</v>
      </c>
      <c r="D190" t="s">
        <v>4</v>
      </c>
      <c r="E190" t="s">
        <v>125</v>
      </c>
      <c r="F190" t="s">
        <v>70</v>
      </c>
      <c r="G190">
        <v>13361.486714259172</v>
      </c>
      <c r="H190">
        <v>11097.902162603854</v>
      </c>
      <c r="I190" t="s">
        <v>71</v>
      </c>
      <c r="J190" t="s">
        <v>72</v>
      </c>
      <c r="K190" s="144">
        <v>43494</v>
      </c>
      <c r="L190" t="s">
        <v>73</v>
      </c>
      <c r="M190" s="146"/>
      <c r="N190" s="146"/>
      <c r="O190" s="144">
        <v>44140</v>
      </c>
      <c r="P190" t="s">
        <v>71</v>
      </c>
      <c r="Q190" t="s">
        <v>126</v>
      </c>
      <c r="R190">
        <v>98720</v>
      </c>
      <c r="U190" t="s">
        <v>100</v>
      </c>
      <c r="V190">
        <v>646</v>
      </c>
    </row>
    <row r="191" spans="1:22">
      <c r="A191" t="s">
        <v>66</v>
      </c>
      <c r="B191" t="s">
        <v>67</v>
      </c>
      <c r="C191" t="s">
        <v>23</v>
      </c>
      <c r="D191" t="s">
        <v>4</v>
      </c>
      <c r="E191" t="s">
        <v>125</v>
      </c>
      <c r="F191" t="s">
        <v>70</v>
      </c>
      <c r="G191">
        <v>16635.424646768657</v>
      </c>
      <c r="H191">
        <v>13817.198573133748</v>
      </c>
      <c r="I191" t="s">
        <v>71</v>
      </c>
      <c r="J191" t="s">
        <v>72</v>
      </c>
      <c r="K191" s="144">
        <v>43494</v>
      </c>
      <c r="L191" t="s">
        <v>73</v>
      </c>
      <c r="M191" s="146"/>
      <c r="N191" s="146"/>
      <c r="O191" s="144">
        <v>44140</v>
      </c>
      <c r="P191" t="s">
        <v>71</v>
      </c>
      <c r="Q191" t="s">
        <v>126</v>
      </c>
      <c r="R191">
        <v>98720</v>
      </c>
      <c r="U191" t="s">
        <v>100</v>
      </c>
      <c r="V191">
        <v>646</v>
      </c>
    </row>
    <row r="192" spans="1:22">
      <c r="A192" t="s">
        <v>84</v>
      </c>
      <c r="B192" t="s">
        <v>67</v>
      </c>
      <c r="C192" t="s">
        <v>23</v>
      </c>
      <c r="D192" t="s">
        <v>96</v>
      </c>
      <c r="E192" t="s">
        <v>97</v>
      </c>
      <c r="F192" t="s">
        <v>70</v>
      </c>
      <c r="G192">
        <v>31769.301995910639</v>
      </c>
      <c r="H192">
        <v>30368.459062325572</v>
      </c>
      <c r="I192" t="s">
        <v>71</v>
      </c>
      <c r="J192" t="s">
        <v>72</v>
      </c>
      <c r="K192" s="144">
        <v>43381</v>
      </c>
      <c r="L192" t="s">
        <v>73</v>
      </c>
      <c r="M192" s="146">
        <v>43431</v>
      </c>
      <c r="N192" s="146">
        <v>43438</v>
      </c>
      <c r="O192" s="144">
        <v>43517</v>
      </c>
      <c r="P192" t="s">
        <v>71</v>
      </c>
      <c r="Q192" t="s">
        <v>98</v>
      </c>
      <c r="R192">
        <v>98720</v>
      </c>
      <c r="S192">
        <v>32.892290000000003</v>
      </c>
      <c r="T192">
        <v>13.20121</v>
      </c>
      <c r="U192" t="s">
        <v>106</v>
      </c>
      <c r="V192">
        <v>136</v>
      </c>
    </row>
    <row r="193" spans="1:22">
      <c r="A193" t="s">
        <v>84</v>
      </c>
      <c r="B193" t="s">
        <v>67</v>
      </c>
      <c r="C193" t="s">
        <v>23</v>
      </c>
      <c r="D193" t="s">
        <v>96</v>
      </c>
      <c r="E193" t="s">
        <v>97</v>
      </c>
      <c r="F193" t="s">
        <v>70</v>
      </c>
      <c r="G193">
        <v>12824.765850550366</v>
      </c>
      <c r="H193">
        <v>13003.935373462466</v>
      </c>
      <c r="I193" t="s">
        <v>71</v>
      </c>
      <c r="J193" t="s">
        <v>72</v>
      </c>
      <c r="K193" s="144">
        <v>43381</v>
      </c>
      <c r="L193" t="s">
        <v>73</v>
      </c>
      <c r="M193" s="146">
        <v>43431</v>
      </c>
      <c r="N193" s="146">
        <v>43438</v>
      </c>
      <c r="O193" s="144">
        <v>43517</v>
      </c>
      <c r="P193" t="s">
        <v>71</v>
      </c>
      <c r="Q193" t="s">
        <v>98</v>
      </c>
      <c r="R193">
        <v>98720</v>
      </c>
      <c r="S193">
        <v>32.886310000000002</v>
      </c>
      <c r="T193">
        <v>13.195550000000001</v>
      </c>
      <c r="U193" t="s">
        <v>106</v>
      </c>
      <c r="V193">
        <v>136</v>
      </c>
    </row>
    <row r="194" spans="1:22">
      <c r="A194" t="s">
        <v>84</v>
      </c>
      <c r="B194" t="s">
        <v>67</v>
      </c>
      <c r="C194" t="s">
        <v>23</v>
      </c>
      <c r="D194" t="s">
        <v>96</v>
      </c>
      <c r="E194" t="s">
        <v>97</v>
      </c>
      <c r="F194" t="s">
        <v>70</v>
      </c>
      <c r="G194">
        <v>6853.6531123131053</v>
      </c>
      <c r="H194">
        <v>8088.290751826491</v>
      </c>
      <c r="I194" t="s">
        <v>71</v>
      </c>
      <c r="J194" t="s">
        <v>72</v>
      </c>
      <c r="K194" s="144">
        <v>43381</v>
      </c>
      <c r="L194" t="s">
        <v>73</v>
      </c>
      <c r="M194" s="146">
        <v>43431</v>
      </c>
      <c r="N194" s="146">
        <v>43438</v>
      </c>
      <c r="O194" s="144">
        <v>43517</v>
      </c>
      <c r="P194" t="s">
        <v>71</v>
      </c>
      <c r="Q194" t="s">
        <v>98</v>
      </c>
      <c r="R194">
        <v>98720</v>
      </c>
      <c r="S194">
        <v>32.887860000000003</v>
      </c>
      <c r="T194">
        <v>13.195869999999999</v>
      </c>
      <c r="U194" t="s">
        <v>106</v>
      </c>
      <c r="V194">
        <v>136</v>
      </c>
    </row>
    <row r="195" spans="1:22">
      <c r="A195" t="s">
        <v>84</v>
      </c>
      <c r="B195" t="s">
        <v>67</v>
      </c>
      <c r="C195" t="s">
        <v>23</v>
      </c>
      <c r="D195" t="s">
        <v>96</v>
      </c>
      <c r="E195" t="s">
        <v>97</v>
      </c>
      <c r="F195" t="s">
        <v>70</v>
      </c>
      <c r="G195">
        <v>15428.837232280039</v>
      </c>
      <c r="H195">
        <v>14839.681241360731</v>
      </c>
      <c r="I195" t="s">
        <v>71</v>
      </c>
      <c r="J195" t="s">
        <v>72</v>
      </c>
      <c r="K195" s="144">
        <v>43422</v>
      </c>
      <c r="L195" t="s">
        <v>73</v>
      </c>
      <c r="M195" s="146">
        <v>43448</v>
      </c>
      <c r="N195" s="146">
        <v>43455</v>
      </c>
      <c r="O195" s="144">
        <v>43570</v>
      </c>
      <c r="P195" t="s">
        <v>71</v>
      </c>
      <c r="Q195" t="s">
        <v>98</v>
      </c>
      <c r="R195">
        <v>112158</v>
      </c>
      <c r="S195">
        <v>32.891399999999997</v>
      </c>
      <c r="T195">
        <v>13.17554</v>
      </c>
      <c r="U195" t="s">
        <v>95</v>
      </c>
      <c r="V195">
        <v>148</v>
      </c>
    </row>
    <row r="196" spans="1:22">
      <c r="A196" t="s">
        <v>84</v>
      </c>
      <c r="B196" t="s">
        <v>67</v>
      </c>
      <c r="C196" t="s">
        <v>23</v>
      </c>
      <c r="D196" t="s">
        <v>96</v>
      </c>
      <c r="E196" t="s">
        <v>97</v>
      </c>
      <c r="F196" t="s">
        <v>70</v>
      </c>
      <c r="G196">
        <v>19520.611493481192</v>
      </c>
      <c r="H196">
        <v>19515.853856265632</v>
      </c>
      <c r="I196" t="s">
        <v>71</v>
      </c>
      <c r="J196" t="s">
        <v>72</v>
      </c>
      <c r="K196" s="144">
        <v>43422</v>
      </c>
      <c r="L196" t="s">
        <v>73</v>
      </c>
      <c r="M196" s="146">
        <v>43448</v>
      </c>
      <c r="N196" s="146">
        <v>43455</v>
      </c>
      <c r="O196" s="144">
        <v>43570</v>
      </c>
      <c r="P196" t="s">
        <v>71</v>
      </c>
      <c r="Q196" t="s">
        <v>98</v>
      </c>
      <c r="R196">
        <v>98720</v>
      </c>
      <c r="S196">
        <v>32.879089999999998</v>
      </c>
      <c r="T196">
        <v>13.19524</v>
      </c>
      <c r="U196" t="s">
        <v>116</v>
      </c>
      <c r="V196">
        <v>148</v>
      </c>
    </row>
    <row r="197" spans="1:22">
      <c r="A197" t="s">
        <v>84</v>
      </c>
      <c r="B197" t="s">
        <v>67</v>
      </c>
      <c r="C197" t="s">
        <v>23</v>
      </c>
      <c r="D197" t="s">
        <v>96</v>
      </c>
      <c r="E197" t="s">
        <v>97</v>
      </c>
      <c r="F197" t="s">
        <v>70</v>
      </c>
      <c r="G197">
        <v>16909.304764954442</v>
      </c>
      <c r="H197">
        <v>17226.545614945255</v>
      </c>
      <c r="I197" t="s">
        <v>71</v>
      </c>
      <c r="J197" t="s">
        <v>72</v>
      </c>
      <c r="K197" s="144">
        <v>43422</v>
      </c>
      <c r="L197" t="s">
        <v>73</v>
      </c>
      <c r="M197" s="146">
        <v>43448</v>
      </c>
      <c r="N197" s="146">
        <v>43455</v>
      </c>
      <c r="O197" s="144">
        <v>43570</v>
      </c>
      <c r="P197" t="s">
        <v>71</v>
      </c>
      <c r="Q197" t="s">
        <v>98</v>
      </c>
      <c r="R197">
        <v>98720</v>
      </c>
      <c r="S197">
        <v>32.888869999999997</v>
      </c>
      <c r="T197">
        <v>13.185879999999999</v>
      </c>
      <c r="U197" t="s">
        <v>116</v>
      </c>
      <c r="V197">
        <v>148</v>
      </c>
    </row>
    <row r="198" spans="1:22">
      <c r="A198" t="s">
        <v>66</v>
      </c>
      <c r="B198" t="s">
        <v>67</v>
      </c>
      <c r="C198" t="s">
        <v>23</v>
      </c>
      <c r="D198" t="s">
        <v>4</v>
      </c>
      <c r="E198" t="s">
        <v>125</v>
      </c>
      <c r="F198" t="s">
        <v>70</v>
      </c>
      <c r="G198">
        <v>13469.20180443374</v>
      </c>
      <c r="H198">
        <v>11187.369117723279</v>
      </c>
      <c r="I198" t="s">
        <v>71</v>
      </c>
      <c r="J198" t="s">
        <v>72</v>
      </c>
      <c r="K198" s="144">
        <v>43494</v>
      </c>
      <c r="L198" t="s">
        <v>73</v>
      </c>
      <c r="M198" s="146"/>
      <c r="N198" s="146"/>
      <c r="O198" s="144">
        <v>44140</v>
      </c>
      <c r="P198" t="s">
        <v>71</v>
      </c>
      <c r="Q198" t="s">
        <v>126</v>
      </c>
      <c r="R198">
        <v>98720</v>
      </c>
      <c r="U198" t="s">
        <v>100</v>
      </c>
      <c r="V198">
        <v>646</v>
      </c>
    </row>
    <row r="199" spans="1:22">
      <c r="A199" t="s">
        <v>66</v>
      </c>
      <c r="B199" t="s">
        <v>67</v>
      </c>
      <c r="C199" t="s">
        <v>23</v>
      </c>
      <c r="D199" t="s">
        <v>4</v>
      </c>
      <c r="E199" t="s">
        <v>125</v>
      </c>
      <c r="F199" t="s">
        <v>70</v>
      </c>
      <c r="G199">
        <v>18436.191481331105</v>
      </c>
      <c r="H199">
        <v>15312.895464880718</v>
      </c>
      <c r="I199" t="s">
        <v>71</v>
      </c>
      <c r="J199" t="s">
        <v>72</v>
      </c>
      <c r="K199" s="144">
        <v>43494</v>
      </c>
      <c r="L199" t="s">
        <v>73</v>
      </c>
      <c r="M199" s="146"/>
      <c r="N199" s="146"/>
      <c r="O199" s="144">
        <v>44140</v>
      </c>
      <c r="P199" t="s">
        <v>71</v>
      </c>
      <c r="Q199" t="s">
        <v>126</v>
      </c>
      <c r="R199">
        <v>98720</v>
      </c>
      <c r="U199" t="s">
        <v>100</v>
      </c>
      <c r="V199">
        <v>646</v>
      </c>
    </row>
    <row r="200" spans="1:22">
      <c r="A200" t="s">
        <v>66</v>
      </c>
      <c r="B200" t="s">
        <v>67</v>
      </c>
      <c r="C200" t="s">
        <v>23</v>
      </c>
      <c r="D200" t="s">
        <v>4</v>
      </c>
      <c r="E200" t="s">
        <v>125</v>
      </c>
      <c r="F200" t="s">
        <v>70</v>
      </c>
      <c r="G200">
        <v>17466.10450316541</v>
      </c>
      <c r="H200">
        <v>14507.152017079385</v>
      </c>
      <c r="I200" t="s">
        <v>71</v>
      </c>
      <c r="J200" t="s">
        <v>72</v>
      </c>
      <c r="K200" s="144">
        <v>43494</v>
      </c>
      <c r="L200" t="s">
        <v>73</v>
      </c>
      <c r="M200" s="146"/>
      <c r="N200" s="146"/>
      <c r="O200" s="144">
        <v>44140</v>
      </c>
      <c r="P200" t="s">
        <v>71</v>
      </c>
      <c r="Q200" t="s">
        <v>126</v>
      </c>
      <c r="R200">
        <v>98720</v>
      </c>
      <c r="U200" t="s">
        <v>100</v>
      </c>
      <c r="V200">
        <v>646</v>
      </c>
    </row>
    <row r="201" spans="1:22">
      <c r="A201" t="s">
        <v>66</v>
      </c>
      <c r="B201" t="s">
        <v>67</v>
      </c>
      <c r="C201" t="s">
        <v>23</v>
      </c>
      <c r="D201" t="s">
        <v>4</v>
      </c>
      <c r="E201" t="s">
        <v>125</v>
      </c>
      <c r="F201" t="s">
        <v>70</v>
      </c>
      <c r="G201">
        <v>18750.719551922168</v>
      </c>
      <c r="H201">
        <v>15574.138979877223</v>
      </c>
      <c r="I201" t="s">
        <v>71</v>
      </c>
      <c r="J201" t="s">
        <v>72</v>
      </c>
      <c r="K201" s="144">
        <v>43494</v>
      </c>
      <c r="L201" t="s">
        <v>73</v>
      </c>
      <c r="M201" s="146"/>
      <c r="N201" s="146"/>
      <c r="O201" s="144">
        <v>44140</v>
      </c>
      <c r="P201" t="s">
        <v>71</v>
      </c>
      <c r="Q201" t="s">
        <v>126</v>
      </c>
      <c r="R201">
        <v>98720</v>
      </c>
      <c r="U201" t="s">
        <v>100</v>
      </c>
      <c r="V201">
        <v>646</v>
      </c>
    </row>
    <row r="202" spans="1:22">
      <c r="A202" t="s">
        <v>66</v>
      </c>
      <c r="B202" t="s">
        <v>67</v>
      </c>
      <c r="C202" t="s">
        <v>23</v>
      </c>
      <c r="D202" t="s">
        <v>4</v>
      </c>
      <c r="E202" t="s">
        <v>125</v>
      </c>
      <c r="F202" t="s">
        <v>70</v>
      </c>
      <c r="G202">
        <v>13651.185626144385</v>
      </c>
      <c r="H202">
        <v>11338.522854707215</v>
      </c>
      <c r="I202" t="s">
        <v>71</v>
      </c>
      <c r="J202" t="s">
        <v>72</v>
      </c>
      <c r="K202" s="144">
        <v>43494</v>
      </c>
      <c r="L202" t="s">
        <v>73</v>
      </c>
      <c r="M202" s="146"/>
      <c r="N202" s="146"/>
      <c r="O202" s="144">
        <v>44140</v>
      </c>
      <c r="P202" t="s">
        <v>71</v>
      </c>
      <c r="Q202" t="s">
        <v>126</v>
      </c>
      <c r="R202">
        <v>98720</v>
      </c>
      <c r="U202" t="s">
        <v>100</v>
      </c>
      <c r="V202">
        <v>646</v>
      </c>
    </row>
    <row r="203" spans="1:22">
      <c r="A203" t="s">
        <v>84</v>
      </c>
      <c r="B203" t="s">
        <v>67</v>
      </c>
      <c r="C203" t="s">
        <v>23</v>
      </c>
      <c r="D203" t="s">
        <v>96</v>
      </c>
      <c r="E203" t="s">
        <v>97</v>
      </c>
      <c r="F203" t="s">
        <v>70</v>
      </c>
      <c r="G203">
        <v>75494.048560856419</v>
      </c>
      <c r="H203">
        <v>75303.816340885183</v>
      </c>
      <c r="I203" t="s">
        <v>71</v>
      </c>
      <c r="J203" t="s">
        <v>72</v>
      </c>
      <c r="K203" s="144">
        <v>43755</v>
      </c>
      <c r="L203" t="s">
        <v>73</v>
      </c>
      <c r="M203" s="146">
        <v>43999</v>
      </c>
      <c r="N203" s="146"/>
      <c r="O203" s="144">
        <v>44130</v>
      </c>
      <c r="P203" t="s">
        <v>71</v>
      </c>
      <c r="Q203" t="s">
        <v>98</v>
      </c>
      <c r="R203">
        <v>112158</v>
      </c>
      <c r="S203">
        <v>32.570844444444397</v>
      </c>
      <c r="T203">
        <v>13.169130555555554</v>
      </c>
      <c r="U203" t="s">
        <v>10</v>
      </c>
      <c r="V203">
        <v>375</v>
      </c>
    </row>
    <row r="204" spans="1:22">
      <c r="A204" t="s">
        <v>84</v>
      </c>
      <c r="B204" t="s">
        <v>67</v>
      </c>
      <c r="C204" t="s">
        <v>23</v>
      </c>
      <c r="D204" t="s">
        <v>96</v>
      </c>
      <c r="E204" t="s">
        <v>97</v>
      </c>
      <c r="F204" t="s">
        <v>70</v>
      </c>
      <c r="G204">
        <v>0</v>
      </c>
      <c r="H204">
        <v>0</v>
      </c>
      <c r="I204" t="s">
        <v>71</v>
      </c>
      <c r="J204" t="s">
        <v>72</v>
      </c>
      <c r="K204" s="144">
        <v>43755</v>
      </c>
      <c r="L204" t="s">
        <v>73</v>
      </c>
      <c r="M204" s="146">
        <v>43999</v>
      </c>
      <c r="N204" s="146"/>
      <c r="O204" s="144">
        <v>44130</v>
      </c>
      <c r="P204" t="s">
        <v>71</v>
      </c>
      <c r="Q204" t="s">
        <v>98</v>
      </c>
      <c r="R204">
        <v>112158</v>
      </c>
      <c r="S204">
        <v>32.338916666666698</v>
      </c>
      <c r="T204">
        <v>13.160286111111111</v>
      </c>
      <c r="U204" t="s">
        <v>10</v>
      </c>
      <c r="V204">
        <v>375</v>
      </c>
    </row>
    <row r="205" spans="1:22">
      <c r="A205" t="s">
        <v>84</v>
      </c>
      <c r="B205" t="s">
        <v>67</v>
      </c>
      <c r="C205" t="s">
        <v>23</v>
      </c>
      <c r="D205" t="s">
        <v>96</v>
      </c>
      <c r="E205" t="s">
        <v>97</v>
      </c>
      <c r="F205" t="s">
        <v>70</v>
      </c>
      <c r="G205">
        <v>0</v>
      </c>
      <c r="H205">
        <v>0</v>
      </c>
      <c r="I205" t="s">
        <v>71</v>
      </c>
      <c r="J205" t="s">
        <v>72</v>
      </c>
      <c r="K205" s="144">
        <v>43755</v>
      </c>
      <c r="L205" t="s">
        <v>73</v>
      </c>
      <c r="M205" s="146">
        <v>43999</v>
      </c>
      <c r="N205" s="146"/>
      <c r="O205" s="144">
        <v>44130</v>
      </c>
      <c r="P205" t="s">
        <v>71</v>
      </c>
      <c r="Q205" t="s">
        <v>98</v>
      </c>
      <c r="R205">
        <v>112158</v>
      </c>
      <c r="S205">
        <v>32.536786111111098</v>
      </c>
      <c r="T205">
        <v>13.173366666666666</v>
      </c>
      <c r="U205" t="s">
        <v>10</v>
      </c>
      <c r="V205">
        <v>375</v>
      </c>
    </row>
    <row r="206" spans="1:22">
      <c r="A206" t="s">
        <v>84</v>
      </c>
      <c r="B206" t="s">
        <v>67</v>
      </c>
      <c r="C206" t="s">
        <v>23</v>
      </c>
      <c r="D206" t="s">
        <v>96</v>
      </c>
      <c r="E206" t="s">
        <v>97</v>
      </c>
      <c r="F206" t="s">
        <v>70</v>
      </c>
      <c r="G206">
        <v>61943.314540152285</v>
      </c>
      <c r="H206">
        <v>61893.821260187324</v>
      </c>
      <c r="I206" t="s">
        <v>71</v>
      </c>
      <c r="J206" t="s">
        <v>72</v>
      </c>
      <c r="K206" s="144">
        <v>43772</v>
      </c>
      <c r="L206" t="s">
        <v>73</v>
      </c>
      <c r="M206" s="146">
        <v>43999</v>
      </c>
      <c r="N206" s="146"/>
      <c r="O206" s="144">
        <v>44130</v>
      </c>
      <c r="P206" t="s">
        <v>71</v>
      </c>
      <c r="Q206" t="s">
        <v>98</v>
      </c>
      <c r="R206">
        <v>112158</v>
      </c>
      <c r="S206">
        <v>32.341724999999997</v>
      </c>
      <c r="T206">
        <v>13.083847222222223</v>
      </c>
      <c r="U206" t="s">
        <v>10</v>
      </c>
      <c r="V206">
        <v>358</v>
      </c>
    </row>
    <row r="207" spans="1:22">
      <c r="A207" t="s">
        <v>84</v>
      </c>
      <c r="B207" t="s">
        <v>67</v>
      </c>
      <c r="C207" t="s">
        <v>23</v>
      </c>
      <c r="D207" t="s">
        <v>96</v>
      </c>
      <c r="E207" t="s">
        <v>97</v>
      </c>
      <c r="F207" t="s">
        <v>70</v>
      </c>
      <c r="G207">
        <v>0</v>
      </c>
      <c r="H207">
        <v>0</v>
      </c>
      <c r="I207" t="s">
        <v>71</v>
      </c>
      <c r="J207" t="s">
        <v>72</v>
      </c>
      <c r="K207" s="144">
        <v>43772</v>
      </c>
      <c r="L207" t="s">
        <v>73</v>
      </c>
      <c r="M207" s="146">
        <v>43999</v>
      </c>
      <c r="N207" s="146"/>
      <c r="O207" s="144">
        <v>44130</v>
      </c>
      <c r="P207" t="s">
        <v>71</v>
      </c>
      <c r="Q207" t="s">
        <v>98</v>
      </c>
      <c r="R207">
        <v>112158</v>
      </c>
      <c r="S207">
        <v>32.452016666666701</v>
      </c>
      <c r="T207">
        <v>13.158394444444445</v>
      </c>
      <c r="U207" t="s">
        <v>10</v>
      </c>
      <c r="V207">
        <v>358</v>
      </c>
    </row>
    <row r="208" spans="1:22">
      <c r="A208" t="s">
        <v>84</v>
      </c>
      <c r="B208" t="s">
        <v>67</v>
      </c>
      <c r="C208" t="s">
        <v>23</v>
      </c>
      <c r="D208" t="s">
        <v>96</v>
      </c>
      <c r="E208" t="s">
        <v>97</v>
      </c>
      <c r="F208" t="s">
        <v>70</v>
      </c>
      <c r="G208">
        <v>0</v>
      </c>
      <c r="H208">
        <v>0</v>
      </c>
      <c r="I208" t="s">
        <v>71</v>
      </c>
      <c r="J208" t="s">
        <v>72</v>
      </c>
      <c r="K208" s="144">
        <v>43772</v>
      </c>
      <c r="L208" t="s">
        <v>73</v>
      </c>
      <c r="M208" s="146">
        <v>43999</v>
      </c>
      <c r="N208" s="146"/>
      <c r="O208" s="144">
        <v>44130</v>
      </c>
      <c r="P208" t="s">
        <v>71</v>
      </c>
      <c r="Q208" t="s">
        <v>98</v>
      </c>
      <c r="R208">
        <v>112158</v>
      </c>
      <c r="S208">
        <v>32.317044444444399</v>
      </c>
      <c r="T208">
        <v>13.106044444444445</v>
      </c>
      <c r="U208" t="s">
        <v>10</v>
      </c>
      <c r="V208">
        <v>358</v>
      </c>
    </row>
    <row r="209" spans="1:22">
      <c r="A209" t="s">
        <v>66</v>
      </c>
      <c r="B209" t="s">
        <v>67</v>
      </c>
      <c r="C209" t="s">
        <v>23</v>
      </c>
      <c r="D209" t="s">
        <v>4</v>
      </c>
      <c r="E209" t="s">
        <v>125</v>
      </c>
      <c r="F209" t="s">
        <v>70</v>
      </c>
      <c r="G209">
        <v>14917.755537691721</v>
      </c>
      <c r="H209">
        <v>12390.521727366313</v>
      </c>
      <c r="I209" t="s">
        <v>71</v>
      </c>
      <c r="J209" t="s">
        <v>72</v>
      </c>
      <c r="K209" s="144">
        <v>43494</v>
      </c>
      <c r="L209" t="s">
        <v>73</v>
      </c>
      <c r="M209" s="146"/>
      <c r="N209" s="146"/>
      <c r="O209" s="144">
        <v>44140</v>
      </c>
      <c r="P209" t="s">
        <v>71</v>
      </c>
      <c r="Q209" t="s">
        <v>126</v>
      </c>
      <c r="R209">
        <v>98720</v>
      </c>
      <c r="U209" t="s">
        <v>100</v>
      </c>
      <c r="V209">
        <v>646</v>
      </c>
    </row>
    <row r="210" spans="1:22">
      <c r="A210" t="s">
        <v>66</v>
      </c>
      <c r="B210" t="s">
        <v>67</v>
      </c>
      <c r="C210" t="s">
        <v>23</v>
      </c>
      <c r="D210" t="s">
        <v>4</v>
      </c>
      <c r="E210" t="s">
        <v>125</v>
      </c>
      <c r="F210" t="s">
        <v>70</v>
      </c>
      <c r="G210">
        <v>16156.624346306231</v>
      </c>
      <c r="H210">
        <v>13419.512372219693</v>
      </c>
      <c r="I210" t="s">
        <v>71</v>
      </c>
      <c r="J210" t="s">
        <v>72</v>
      </c>
      <c r="K210" s="144">
        <v>43494</v>
      </c>
      <c r="L210" t="s">
        <v>73</v>
      </c>
      <c r="M210" s="146"/>
      <c r="N210" s="146"/>
      <c r="O210" s="144">
        <v>44140</v>
      </c>
      <c r="P210" t="s">
        <v>71</v>
      </c>
      <c r="Q210" t="s">
        <v>126</v>
      </c>
      <c r="R210">
        <v>98720</v>
      </c>
      <c r="U210" t="s">
        <v>100</v>
      </c>
      <c r="V210">
        <v>646</v>
      </c>
    </row>
    <row r="211" spans="1:22">
      <c r="A211" t="s">
        <v>66</v>
      </c>
      <c r="B211" t="s">
        <v>67</v>
      </c>
      <c r="C211" t="s">
        <v>23</v>
      </c>
      <c r="D211" t="s">
        <v>4</v>
      </c>
      <c r="E211" t="s">
        <v>125</v>
      </c>
      <c r="F211" t="s">
        <v>70</v>
      </c>
      <c r="G211">
        <v>17925.209631569185</v>
      </c>
      <c r="H211">
        <v>14888.479627272443</v>
      </c>
      <c r="I211" t="s">
        <v>71</v>
      </c>
      <c r="J211" t="s">
        <v>72</v>
      </c>
      <c r="K211" s="144">
        <v>43494</v>
      </c>
      <c r="L211" t="s">
        <v>73</v>
      </c>
      <c r="M211" s="146"/>
      <c r="N211" s="146"/>
      <c r="O211" s="144">
        <v>44140</v>
      </c>
      <c r="P211" t="s">
        <v>71</v>
      </c>
      <c r="Q211" t="s">
        <v>126</v>
      </c>
      <c r="R211">
        <v>98720</v>
      </c>
      <c r="U211" t="s">
        <v>100</v>
      </c>
      <c r="V211">
        <v>646</v>
      </c>
    </row>
    <row r="212" spans="1:22">
      <c r="A212" t="s">
        <v>66</v>
      </c>
      <c r="B212" t="s">
        <v>67</v>
      </c>
      <c r="C212" t="s">
        <v>23</v>
      </c>
      <c r="D212" t="s">
        <v>4</v>
      </c>
      <c r="E212" t="s">
        <v>125</v>
      </c>
      <c r="F212" t="s">
        <v>70</v>
      </c>
      <c r="G212">
        <v>17686.999335350898</v>
      </c>
      <c r="H212">
        <v>14690.624806316466</v>
      </c>
      <c r="I212" t="s">
        <v>71</v>
      </c>
      <c r="J212" t="s">
        <v>72</v>
      </c>
      <c r="K212" s="144">
        <v>43494</v>
      </c>
      <c r="L212" t="s">
        <v>73</v>
      </c>
      <c r="M212" s="146"/>
      <c r="N212" s="146"/>
      <c r="O212" s="144">
        <v>44140</v>
      </c>
      <c r="P212" t="s">
        <v>71</v>
      </c>
      <c r="Q212" t="s">
        <v>126</v>
      </c>
      <c r="R212">
        <v>98720</v>
      </c>
      <c r="U212" t="s">
        <v>100</v>
      </c>
      <c r="V212">
        <v>646</v>
      </c>
    </row>
    <row r="213" spans="1:22">
      <c r="A213" t="s">
        <v>66</v>
      </c>
      <c r="B213" t="s">
        <v>67</v>
      </c>
      <c r="C213" t="s">
        <v>23</v>
      </c>
      <c r="D213" t="s">
        <v>4</v>
      </c>
      <c r="E213" t="s">
        <v>125</v>
      </c>
      <c r="F213" t="s">
        <v>70</v>
      </c>
      <c r="G213">
        <v>19300.700665962835</v>
      </c>
      <c r="H213">
        <v>16030.947172365975</v>
      </c>
      <c r="I213" t="s">
        <v>71</v>
      </c>
      <c r="J213" t="s">
        <v>72</v>
      </c>
      <c r="K213" s="144">
        <v>43494</v>
      </c>
      <c r="L213" t="s">
        <v>73</v>
      </c>
      <c r="M213" s="146"/>
      <c r="N213" s="146"/>
      <c r="O213" s="144">
        <v>44140</v>
      </c>
      <c r="P213" t="s">
        <v>71</v>
      </c>
      <c r="Q213" t="s">
        <v>126</v>
      </c>
      <c r="R213">
        <v>98720</v>
      </c>
      <c r="U213" t="s">
        <v>100</v>
      </c>
      <c r="V213">
        <v>646</v>
      </c>
    </row>
    <row r="214" spans="1:22">
      <c r="A214" t="s">
        <v>84</v>
      </c>
      <c r="B214" t="s">
        <v>67</v>
      </c>
      <c r="C214" t="s">
        <v>23</v>
      </c>
      <c r="D214" t="s">
        <v>96</v>
      </c>
      <c r="E214" t="s">
        <v>97</v>
      </c>
      <c r="F214" t="s">
        <v>70</v>
      </c>
      <c r="G214">
        <v>13178.972552245477</v>
      </c>
      <c r="H214">
        <v>13176.550384949041</v>
      </c>
      <c r="I214" t="s">
        <v>71</v>
      </c>
      <c r="J214" t="s">
        <v>72</v>
      </c>
      <c r="K214" s="144">
        <v>43411</v>
      </c>
      <c r="L214" t="s">
        <v>73</v>
      </c>
      <c r="M214" s="146">
        <v>43441</v>
      </c>
      <c r="N214" s="146">
        <v>43448</v>
      </c>
      <c r="O214" s="144">
        <v>43542</v>
      </c>
      <c r="P214" t="s">
        <v>71</v>
      </c>
      <c r="Q214" t="s">
        <v>98</v>
      </c>
      <c r="R214">
        <v>98720</v>
      </c>
      <c r="S214">
        <v>32.841250000000002</v>
      </c>
      <c r="T214">
        <v>13.21524</v>
      </c>
      <c r="U214" t="s">
        <v>94</v>
      </c>
      <c r="V214">
        <v>131</v>
      </c>
    </row>
    <row r="215" spans="1:22">
      <c r="A215" t="s">
        <v>84</v>
      </c>
      <c r="B215" t="s">
        <v>67</v>
      </c>
      <c r="C215" t="s">
        <v>23</v>
      </c>
      <c r="D215" t="s">
        <v>96</v>
      </c>
      <c r="E215" t="s">
        <v>97</v>
      </c>
      <c r="F215" t="s">
        <v>70</v>
      </c>
      <c r="G215">
        <v>14803.986658896789</v>
      </c>
      <c r="H215">
        <v>14795.888796636957</v>
      </c>
      <c r="I215" t="s">
        <v>71</v>
      </c>
      <c r="J215" t="s">
        <v>72</v>
      </c>
      <c r="K215" s="144">
        <v>43411</v>
      </c>
      <c r="L215" t="s">
        <v>73</v>
      </c>
      <c r="M215" s="146">
        <v>43441</v>
      </c>
      <c r="N215" s="146">
        <v>43448</v>
      </c>
      <c r="O215" s="144">
        <v>43542</v>
      </c>
      <c r="P215" t="s">
        <v>71</v>
      </c>
      <c r="Q215" t="s">
        <v>98</v>
      </c>
      <c r="R215">
        <v>98720</v>
      </c>
      <c r="S215">
        <v>32.849609999999998</v>
      </c>
      <c r="T215">
        <v>13.205730000000001</v>
      </c>
      <c r="U215" t="s">
        <v>94</v>
      </c>
      <c r="V215">
        <v>131</v>
      </c>
    </row>
    <row r="216" spans="1:22">
      <c r="A216" t="s">
        <v>84</v>
      </c>
      <c r="B216" t="s">
        <v>67</v>
      </c>
      <c r="C216" t="s">
        <v>23</v>
      </c>
      <c r="D216" t="s">
        <v>96</v>
      </c>
      <c r="E216" t="s">
        <v>97</v>
      </c>
      <c r="F216" t="s">
        <v>70</v>
      </c>
      <c r="G216">
        <v>28254.265804390441</v>
      </c>
      <c r="H216">
        <v>22679.75413154297</v>
      </c>
      <c r="I216" t="s">
        <v>71</v>
      </c>
      <c r="J216" t="s">
        <v>72</v>
      </c>
      <c r="K216" s="144">
        <v>43411</v>
      </c>
      <c r="L216" t="s">
        <v>73</v>
      </c>
      <c r="M216" s="146">
        <v>43441</v>
      </c>
      <c r="N216" s="146">
        <v>43448</v>
      </c>
      <c r="O216" s="144">
        <v>43542</v>
      </c>
      <c r="P216" t="s">
        <v>71</v>
      </c>
      <c r="Q216" t="s">
        <v>98</v>
      </c>
      <c r="R216">
        <v>98720</v>
      </c>
      <c r="S216">
        <v>32.832090000000001</v>
      </c>
      <c r="T216">
        <v>13.236599999999999</v>
      </c>
      <c r="U216" t="s">
        <v>94</v>
      </c>
      <c r="V216">
        <v>131</v>
      </c>
    </row>
    <row r="217" spans="1:22">
      <c r="A217" t="s">
        <v>84</v>
      </c>
      <c r="B217" t="s">
        <v>67</v>
      </c>
      <c r="C217" t="s">
        <v>23</v>
      </c>
      <c r="D217" t="s">
        <v>96</v>
      </c>
      <c r="E217" t="s">
        <v>97</v>
      </c>
      <c r="F217" t="s">
        <v>70</v>
      </c>
      <c r="G217">
        <v>15508.631882977723</v>
      </c>
      <c r="H217">
        <v>15435.545226977483</v>
      </c>
      <c r="I217" t="s">
        <v>71</v>
      </c>
      <c r="J217" t="s">
        <v>72</v>
      </c>
      <c r="K217" s="144">
        <v>43424</v>
      </c>
      <c r="L217" t="s">
        <v>73</v>
      </c>
      <c r="M217" s="146">
        <v>43431</v>
      </c>
      <c r="N217" s="146">
        <v>43438</v>
      </c>
      <c r="O217" s="144">
        <v>43542</v>
      </c>
      <c r="P217" t="s">
        <v>71</v>
      </c>
      <c r="Q217" t="s">
        <v>98</v>
      </c>
      <c r="R217">
        <v>112158</v>
      </c>
      <c r="S217">
        <v>32.801870000000001</v>
      </c>
      <c r="T217">
        <v>13.28237</v>
      </c>
      <c r="U217" t="s">
        <v>10</v>
      </c>
      <c r="V217">
        <v>118</v>
      </c>
    </row>
    <row r="218" spans="1:22">
      <c r="A218" t="s">
        <v>84</v>
      </c>
      <c r="B218" t="s">
        <v>67</v>
      </c>
      <c r="C218" t="s">
        <v>23</v>
      </c>
      <c r="D218" t="s">
        <v>96</v>
      </c>
      <c r="E218" t="s">
        <v>97</v>
      </c>
      <c r="F218" t="s">
        <v>70</v>
      </c>
      <c r="G218">
        <v>25666.461810834233</v>
      </c>
      <c r="H218">
        <v>25526.633352934608</v>
      </c>
      <c r="I218" t="s">
        <v>71</v>
      </c>
      <c r="J218" t="s">
        <v>72</v>
      </c>
      <c r="K218" s="144">
        <v>43424</v>
      </c>
      <c r="L218" t="s">
        <v>73</v>
      </c>
      <c r="M218" s="146">
        <v>43431</v>
      </c>
      <c r="N218" s="146">
        <v>43438</v>
      </c>
      <c r="O218" s="144">
        <v>43542</v>
      </c>
      <c r="P218" t="s">
        <v>71</v>
      </c>
      <c r="Q218" t="s">
        <v>98</v>
      </c>
      <c r="R218">
        <v>112158</v>
      </c>
      <c r="S218">
        <v>32.859050000000003</v>
      </c>
      <c r="T218">
        <v>13.20703</v>
      </c>
      <c r="U218" t="s">
        <v>10</v>
      </c>
      <c r="V218">
        <v>118</v>
      </c>
    </row>
    <row r="219" spans="1:22">
      <c r="A219" t="s">
        <v>84</v>
      </c>
      <c r="B219" t="s">
        <v>67</v>
      </c>
      <c r="C219" t="s">
        <v>23</v>
      </c>
      <c r="D219" t="s">
        <v>96</v>
      </c>
      <c r="E219" t="s">
        <v>97</v>
      </c>
      <c r="F219" t="s">
        <v>70</v>
      </c>
      <c r="G219">
        <v>17989.168715923206</v>
      </c>
      <c r="H219">
        <v>17874.833864963774</v>
      </c>
      <c r="I219" t="s">
        <v>71</v>
      </c>
      <c r="J219" t="s">
        <v>72</v>
      </c>
      <c r="K219" s="144">
        <v>43424</v>
      </c>
      <c r="L219" t="s">
        <v>73</v>
      </c>
      <c r="M219" s="146">
        <v>43431</v>
      </c>
      <c r="N219" s="146">
        <v>43438</v>
      </c>
      <c r="O219" s="144">
        <v>43542</v>
      </c>
      <c r="P219" t="s">
        <v>71</v>
      </c>
      <c r="Q219" t="s">
        <v>98</v>
      </c>
      <c r="R219">
        <v>112158</v>
      </c>
      <c r="S219">
        <v>32.818530000000003</v>
      </c>
      <c r="T219">
        <v>13.23419</v>
      </c>
      <c r="U219" t="s">
        <v>10</v>
      </c>
      <c r="V219">
        <v>118</v>
      </c>
    </row>
    <row r="220" spans="1:22">
      <c r="A220" t="s">
        <v>66</v>
      </c>
      <c r="B220" t="s">
        <v>67</v>
      </c>
      <c r="C220" t="s">
        <v>23</v>
      </c>
      <c r="D220" t="s">
        <v>4</v>
      </c>
      <c r="E220" t="s">
        <v>125</v>
      </c>
      <c r="F220" t="s">
        <v>70</v>
      </c>
      <c r="G220">
        <v>17656.197818391905</v>
      </c>
      <c r="H220">
        <v>14665.04140912565</v>
      </c>
      <c r="I220" t="s">
        <v>71</v>
      </c>
      <c r="J220" t="s">
        <v>72</v>
      </c>
      <c r="K220" s="144">
        <v>43494</v>
      </c>
      <c r="L220" t="s">
        <v>73</v>
      </c>
      <c r="M220" s="146"/>
      <c r="N220" s="146"/>
      <c r="O220" s="144">
        <v>44140</v>
      </c>
      <c r="P220" t="s">
        <v>71</v>
      </c>
      <c r="Q220" t="s">
        <v>126</v>
      </c>
      <c r="R220">
        <v>98720</v>
      </c>
      <c r="U220" t="s">
        <v>100</v>
      </c>
      <c r="V220">
        <v>646</v>
      </c>
    </row>
    <row r="221" spans="1:22">
      <c r="A221" t="s">
        <v>66</v>
      </c>
      <c r="B221" t="s">
        <v>67</v>
      </c>
      <c r="C221" t="s">
        <v>23</v>
      </c>
      <c r="D221" t="s">
        <v>4</v>
      </c>
      <c r="E221" t="s">
        <v>125</v>
      </c>
      <c r="F221" t="s">
        <v>70</v>
      </c>
      <c r="G221">
        <v>16458.697013331395</v>
      </c>
      <c r="H221">
        <v>13670.410567632669</v>
      </c>
      <c r="I221" t="s">
        <v>71</v>
      </c>
      <c r="J221" t="s">
        <v>72</v>
      </c>
      <c r="K221" s="144">
        <v>43494</v>
      </c>
      <c r="L221" t="s">
        <v>73</v>
      </c>
      <c r="M221" s="146"/>
      <c r="N221" s="146"/>
      <c r="O221" s="144">
        <v>44140</v>
      </c>
      <c r="P221" t="s">
        <v>71</v>
      </c>
      <c r="Q221" t="s">
        <v>126</v>
      </c>
      <c r="R221">
        <v>98720</v>
      </c>
      <c r="U221" t="s">
        <v>100</v>
      </c>
      <c r="V221">
        <v>646</v>
      </c>
    </row>
    <row r="222" spans="1:22">
      <c r="A222" t="s">
        <v>66</v>
      </c>
      <c r="B222" t="s">
        <v>67</v>
      </c>
      <c r="C222" t="s">
        <v>23</v>
      </c>
      <c r="D222" t="s">
        <v>4</v>
      </c>
      <c r="E222" t="s">
        <v>125</v>
      </c>
      <c r="F222" t="s">
        <v>70</v>
      </c>
      <c r="G222">
        <v>14409.387631729878</v>
      </c>
      <c r="H222">
        <v>11968.277002387356</v>
      </c>
      <c r="I222" t="s">
        <v>71</v>
      </c>
      <c r="J222" t="s">
        <v>72</v>
      </c>
      <c r="K222" s="144">
        <v>43494</v>
      </c>
      <c r="L222" t="s">
        <v>73</v>
      </c>
      <c r="M222" s="146"/>
      <c r="N222" s="146"/>
      <c r="O222" s="144">
        <v>44140</v>
      </c>
      <c r="P222" t="s">
        <v>71</v>
      </c>
      <c r="Q222" t="s">
        <v>126</v>
      </c>
      <c r="R222">
        <v>98720</v>
      </c>
      <c r="U222" t="s">
        <v>100</v>
      </c>
      <c r="V222">
        <v>646</v>
      </c>
    </row>
    <row r="223" spans="1:22">
      <c r="A223" t="s">
        <v>66</v>
      </c>
      <c r="B223" t="s">
        <v>67</v>
      </c>
      <c r="C223" t="s">
        <v>23</v>
      </c>
      <c r="D223" t="s">
        <v>4</v>
      </c>
      <c r="E223" t="s">
        <v>125</v>
      </c>
      <c r="F223" t="s">
        <v>70</v>
      </c>
      <c r="G223">
        <v>15626.297488713662</v>
      </c>
      <c r="H223">
        <v>12979.028786401168</v>
      </c>
      <c r="I223" t="s">
        <v>71</v>
      </c>
      <c r="J223" t="s">
        <v>72</v>
      </c>
      <c r="K223" s="144">
        <v>43494</v>
      </c>
      <c r="L223" t="s">
        <v>73</v>
      </c>
      <c r="M223" s="146"/>
      <c r="N223" s="146"/>
      <c r="O223" s="144">
        <v>44140</v>
      </c>
      <c r="P223" t="s">
        <v>71</v>
      </c>
      <c r="Q223" t="s">
        <v>126</v>
      </c>
      <c r="R223">
        <v>98720</v>
      </c>
      <c r="U223" t="s">
        <v>100</v>
      </c>
      <c r="V223">
        <v>646</v>
      </c>
    </row>
    <row r="224" spans="1:22">
      <c r="A224" t="s">
        <v>66</v>
      </c>
      <c r="B224" t="s">
        <v>67</v>
      </c>
      <c r="C224" t="s">
        <v>23</v>
      </c>
      <c r="D224" t="s">
        <v>4</v>
      </c>
      <c r="E224" t="s">
        <v>125</v>
      </c>
      <c r="F224" t="s">
        <v>70</v>
      </c>
      <c r="G224">
        <v>14730.472064664105</v>
      </c>
      <c r="H224">
        <v>12234.966158979221</v>
      </c>
      <c r="I224" t="s">
        <v>71</v>
      </c>
      <c r="J224" t="s">
        <v>72</v>
      </c>
      <c r="K224" s="144">
        <v>43494</v>
      </c>
      <c r="L224" t="s">
        <v>73</v>
      </c>
      <c r="M224" s="146"/>
      <c r="N224" s="146"/>
      <c r="O224" s="144">
        <v>44140</v>
      </c>
      <c r="P224" t="s">
        <v>71</v>
      </c>
      <c r="Q224" t="s">
        <v>126</v>
      </c>
      <c r="R224">
        <v>98720</v>
      </c>
      <c r="U224" t="s">
        <v>100</v>
      </c>
      <c r="V224">
        <v>646</v>
      </c>
    </row>
    <row r="225" spans="1:22">
      <c r="A225" t="s">
        <v>84</v>
      </c>
      <c r="B225" t="s">
        <v>67</v>
      </c>
      <c r="C225" t="s">
        <v>23</v>
      </c>
      <c r="D225" t="s">
        <v>96</v>
      </c>
      <c r="E225" t="s">
        <v>97</v>
      </c>
      <c r="F225" t="s">
        <v>70</v>
      </c>
      <c r="G225">
        <v>16510.122113453064</v>
      </c>
      <c r="H225">
        <v>16028.717733043861</v>
      </c>
      <c r="I225" t="s">
        <v>71</v>
      </c>
      <c r="J225" t="s">
        <v>72</v>
      </c>
      <c r="K225" s="144">
        <v>43396</v>
      </c>
      <c r="L225" t="s">
        <v>73</v>
      </c>
      <c r="M225" s="146">
        <v>43426</v>
      </c>
      <c r="N225" s="146">
        <v>43433</v>
      </c>
      <c r="O225" s="144">
        <v>43544</v>
      </c>
      <c r="P225" t="s">
        <v>71</v>
      </c>
      <c r="Q225" t="s">
        <v>98</v>
      </c>
      <c r="R225">
        <v>112158</v>
      </c>
      <c r="S225">
        <v>32.855873000000003</v>
      </c>
      <c r="T225">
        <v>13.095475</v>
      </c>
      <c r="U225" t="s">
        <v>95</v>
      </c>
      <c r="V225">
        <v>148</v>
      </c>
    </row>
    <row r="226" spans="1:22">
      <c r="A226" t="s">
        <v>84</v>
      </c>
      <c r="B226" t="s">
        <v>67</v>
      </c>
      <c r="C226" t="s">
        <v>23</v>
      </c>
      <c r="D226" t="s">
        <v>96</v>
      </c>
      <c r="E226" t="s">
        <v>97</v>
      </c>
      <c r="F226" t="s">
        <v>70</v>
      </c>
      <c r="G226">
        <v>20019.725050198853</v>
      </c>
      <c r="H226">
        <v>19752.811624400278</v>
      </c>
      <c r="I226" t="s">
        <v>71</v>
      </c>
      <c r="J226" t="s">
        <v>72</v>
      </c>
      <c r="K226" s="144">
        <v>43396</v>
      </c>
      <c r="L226" t="s">
        <v>73</v>
      </c>
      <c r="M226" s="146">
        <v>43426</v>
      </c>
      <c r="N226" s="146">
        <v>43433</v>
      </c>
      <c r="O226" s="144">
        <v>43536</v>
      </c>
      <c r="P226" t="s">
        <v>71</v>
      </c>
      <c r="Q226" t="s">
        <v>98</v>
      </c>
      <c r="R226">
        <v>112158</v>
      </c>
      <c r="S226">
        <v>32.865172999999999</v>
      </c>
      <c r="T226">
        <v>13.125793</v>
      </c>
      <c r="U226" t="s">
        <v>95</v>
      </c>
      <c r="V226">
        <v>140</v>
      </c>
    </row>
    <row r="227" spans="1:22">
      <c r="A227" t="s">
        <v>84</v>
      </c>
      <c r="B227" t="s">
        <v>67</v>
      </c>
      <c r="C227" t="s">
        <v>23</v>
      </c>
      <c r="D227" t="s">
        <v>96</v>
      </c>
      <c r="E227" t="s">
        <v>97</v>
      </c>
      <c r="F227" t="s">
        <v>70</v>
      </c>
      <c r="G227">
        <v>11625.41865417872</v>
      </c>
      <c r="H227">
        <v>11131.597426076456</v>
      </c>
      <c r="I227" t="s">
        <v>71</v>
      </c>
      <c r="J227" t="s">
        <v>72</v>
      </c>
      <c r="K227" s="144">
        <v>43396</v>
      </c>
      <c r="L227" t="s">
        <v>73</v>
      </c>
      <c r="M227" s="146">
        <v>43426</v>
      </c>
      <c r="N227" s="146">
        <v>43433</v>
      </c>
      <c r="O227" s="144">
        <v>43535</v>
      </c>
      <c r="P227" t="s">
        <v>71</v>
      </c>
      <c r="Q227" t="s">
        <v>98</v>
      </c>
      <c r="R227">
        <v>112158</v>
      </c>
      <c r="S227">
        <v>32.846597000000003</v>
      </c>
      <c r="T227">
        <v>13.132059</v>
      </c>
      <c r="U227" t="s">
        <v>95</v>
      </c>
      <c r="V227">
        <v>139</v>
      </c>
    </row>
    <row r="228" spans="1:22">
      <c r="A228" t="s">
        <v>84</v>
      </c>
      <c r="B228" t="s">
        <v>67</v>
      </c>
      <c r="C228" t="s">
        <v>23</v>
      </c>
      <c r="D228" t="s">
        <v>96</v>
      </c>
      <c r="E228" t="s">
        <v>97</v>
      </c>
      <c r="F228" t="s">
        <v>70</v>
      </c>
      <c r="G228">
        <v>14154.494995951158</v>
      </c>
      <c r="H228">
        <v>13722.362310271275</v>
      </c>
      <c r="I228" t="s">
        <v>71</v>
      </c>
      <c r="J228" t="s">
        <v>72</v>
      </c>
      <c r="K228" s="144">
        <v>43392</v>
      </c>
      <c r="L228" t="s">
        <v>73</v>
      </c>
      <c r="M228" s="146">
        <v>43421</v>
      </c>
      <c r="N228" s="146">
        <v>43428</v>
      </c>
      <c r="O228" s="144">
        <v>43525</v>
      </c>
      <c r="P228" t="s">
        <v>71</v>
      </c>
      <c r="Q228" t="s">
        <v>98</v>
      </c>
      <c r="R228">
        <v>98720</v>
      </c>
      <c r="S228">
        <v>32.843302999999999</v>
      </c>
      <c r="T228">
        <v>13.117146999999999</v>
      </c>
      <c r="U228" t="s">
        <v>94</v>
      </c>
      <c r="V228">
        <v>133</v>
      </c>
    </row>
    <row r="229" spans="1:22">
      <c r="A229" t="s">
        <v>84</v>
      </c>
      <c r="B229" t="s">
        <v>67</v>
      </c>
      <c r="C229" t="s">
        <v>23</v>
      </c>
      <c r="D229" t="s">
        <v>96</v>
      </c>
      <c r="E229" t="s">
        <v>97</v>
      </c>
      <c r="F229" t="s">
        <v>70</v>
      </c>
      <c r="G229">
        <v>14166.367030638237</v>
      </c>
      <c r="H229">
        <v>14398.53142539858</v>
      </c>
      <c r="I229" t="s">
        <v>71</v>
      </c>
      <c r="J229" t="s">
        <v>72</v>
      </c>
      <c r="K229" s="144">
        <v>43392</v>
      </c>
      <c r="L229" t="s">
        <v>73</v>
      </c>
      <c r="M229" s="146">
        <v>43421</v>
      </c>
      <c r="N229" s="146">
        <v>43428</v>
      </c>
      <c r="O229" s="144">
        <v>43525</v>
      </c>
      <c r="P229" t="s">
        <v>71</v>
      </c>
      <c r="Q229" t="s">
        <v>98</v>
      </c>
      <c r="R229">
        <v>98720</v>
      </c>
      <c r="S229">
        <v>32.790745999999999</v>
      </c>
      <c r="T229">
        <v>13.087356</v>
      </c>
      <c r="U229" t="s">
        <v>94</v>
      </c>
      <c r="V229">
        <v>133</v>
      </c>
    </row>
    <row r="230" spans="1:22">
      <c r="A230" t="s">
        <v>84</v>
      </c>
      <c r="B230" t="s">
        <v>67</v>
      </c>
      <c r="C230" t="s">
        <v>23</v>
      </c>
      <c r="D230" t="s">
        <v>96</v>
      </c>
      <c r="E230" t="s">
        <v>97</v>
      </c>
      <c r="F230" t="s">
        <v>70</v>
      </c>
      <c r="G230">
        <v>24212.309242651638</v>
      </c>
      <c r="H230">
        <v>24466.276127215424</v>
      </c>
      <c r="I230" t="s">
        <v>71</v>
      </c>
      <c r="J230" t="s">
        <v>72</v>
      </c>
      <c r="K230" s="144">
        <v>43392</v>
      </c>
      <c r="L230" t="s">
        <v>73</v>
      </c>
      <c r="M230" s="146">
        <v>43421</v>
      </c>
      <c r="N230" s="146">
        <v>43428</v>
      </c>
      <c r="O230" s="144">
        <v>43525</v>
      </c>
      <c r="P230" t="s">
        <v>71</v>
      </c>
      <c r="Q230" t="s">
        <v>98</v>
      </c>
      <c r="R230">
        <v>98720</v>
      </c>
      <c r="S230">
        <v>32.850425999999999</v>
      </c>
      <c r="T230">
        <v>13.115976</v>
      </c>
      <c r="U230" t="s">
        <v>94</v>
      </c>
      <c r="V230">
        <v>133</v>
      </c>
    </row>
    <row r="231" spans="1:22">
      <c r="A231" t="s">
        <v>66</v>
      </c>
      <c r="B231" t="s">
        <v>67</v>
      </c>
      <c r="C231" t="s">
        <v>23</v>
      </c>
      <c r="D231" t="s">
        <v>4</v>
      </c>
      <c r="E231" t="s">
        <v>125</v>
      </c>
      <c r="F231" t="s">
        <v>70</v>
      </c>
      <c r="G231">
        <v>14736.728844278347</v>
      </c>
      <c r="H231">
        <v>12240.162970494046</v>
      </c>
      <c r="I231" t="s">
        <v>71</v>
      </c>
      <c r="J231" t="s">
        <v>72</v>
      </c>
      <c r="K231" s="144">
        <v>43494</v>
      </c>
      <c r="L231" t="s">
        <v>73</v>
      </c>
      <c r="M231" s="146"/>
      <c r="N231" s="146"/>
      <c r="O231" s="144">
        <v>44140</v>
      </c>
      <c r="P231" t="s">
        <v>71</v>
      </c>
      <c r="Q231" t="s">
        <v>126</v>
      </c>
      <c r="R231">
        <v>98720</v>
      </c>
      <c r="U231" t="s">
        <v>100</v>
      </c>
      <c r="V231">
        <v>646</v>
      </c>
    </row>
    <row r="232" spans="1:22">
      <c r="A232" t="s">
        <v>66</v>
      </c>
      <c r="B232" t="s">
        <v>67</v>
      </c>
      <c r="C232" t="s">
        <v>23</v>
      </c>
      <c r="D232" t="s">
        <v>4</v>
      </c>
      <c r="E232" t="s">
        <v>125</v>
      </c>
      <c r="F232" t="s">
        <v>70</v>
      </c>
      <c r="G232">
        <v>18396.284030703708</v>
      </c>
      <c r="H232">
        <v>15279.748780526412</v>
      </c>
      <c r="I232" t="s">
        <v>71</v>
      </c>
      <c r="J232" t="s">
        <v>72</v>
      </c>
      <c r="K232" s="144">
        <v>43494</v>
      </c>
      <c r="L232" t="s">
        <v>73</v>
      </c>
      <c r="M232" s="146"/>
      <c r="N232" s="146"/>
      <c r="O232" s="144">
        <v>44140</v>
      </c>
      <c r="P232" t="s">
        <v>71</v>
      </c>
      <c r="Q232" t="s">
        <v>126</v>
      </c>
      <c r="R232">
        <v>98720</v>
      </c>
      <c r="U232" t="s">
        <v>100</v>
      </c>
      <c r="V232">
        <v>646</v>
      </c>
    </row>
    <row r="233" spans="1:22">
      <c r="A233" t="s">
        <v>66</v>
      </c>
      <c r="B233" t="s">
        <v>67</v>
      </c>
      <c r="C233" t="s">
        <v>23</v>
      </c>
      <c r="D233" t="s">
        <v>4</v>
      </c>
      <c r="E233" t="s">
        <v>125</v>
      </c>
      <c r="F233" t="s">
        <v>70</v>
      </c>
      <c r="G233">
        <v>18290.586617042103</v>
      </c>
      <c r="H233">
        <v>15191.957685063591</v>
      </c>
      <c r="I233" t="s">
        <v>71</v>
      </c>
      <c r="J233" t="s">
        <v>72</v>
      </c>
      <c r="K233" s="144">
        <v>43494</v>
      </c>
      <c r="L233" t="s">
        <v>73</v>
      </c>
      <c r="M233" s="146"/>
      <c r="N233" s="146"/>
      <c r="O233" s="144">
        <v>44140</v>
      </c>
      <c r="P233" t="s">
        <v>71</v>
      </c>
      <c r="Q233" t="s">
        <v>126</v>
      </c>
      <c r="R233">
        <v>98720</v>
      </c>
      <c r="U233" t="s">
        <v>100</v>
      </c>
      <c r="V233">
        <v>646</v>
      </c>
    </row>
    <row r="234" spans="1:22">
      <c r="A234" t="s">
        <v>66</v>
      </c>
      <c r="B234" t="s">
        <v>67</v>
      </c>
      <c r="C234" t="s">
        <v>23</v>
      </c>
      <c r="D234" t="s">
        <v>4</v>
      </c>
      <c r="E234" t="s">
        <v>125</v>
      </c>
      <c r="F234" t="s">
        <v>70</v>
      </c>
      <c r="G234">
        <v>15015.830818307057</v>
      </c>
      <c r="H234">
        <v>12471.98196394892</v>
      </c>
      <c r="I234" t="s">
        <v>71</v>
      </c>
      <c r="J234" t="s">
        <v>72</v>
      </c>
      <c r="K234" s="144">
        <v>43494</v>
      </c>
      <c r="L234" t="s">
        <v>73</v>
      </c>
      <c r="M234" s="146"/>
      <c r="N234" s="146"/>
      <c r="O234" s="144">
        <v>44140</v>
      </c>
      <c r="P234" t="s">
        <v>71</v>
      </c>
      <c r="Q234" t="s">
        <v>126</v>
      </c>
      <c r="R234">
        <v>98720</v>
      </c>
      <c r="U234" t="s">
        <v>100</v>
      </c>
      <c r="V234">
        <v>646</v>
      </c>
    </row>
    <row r="235" spans="1:22">
      <c r="A235" t="s">
        <v>66</v>
      </c>
      <c r="B235" t="s">
        <v>67</v>
      </c>
      <c r="C235" t="s">
        <v>23</v>
      </c>
      <c r="D235" t="s">
        <v>4</v>
      </c>
      <c r="E235" t="s">
        <v>125</v>
      </c>
      <c r="F235" t="s">
        <v>70</v>
      </c>
      <c r="G235">
        <v>15289.701918554689</v>
      </c>
      <c r="H235">
        <v>12699.456251856514</v>
      </c>
      <c r="I235" t="s">
        <v>71</v>
      </c>
      <c r="J235" t="s">
        <v>72</v>
      </c>
      <c r="K235" s="144">
        <v>43494</v>
      </c>
      <c r="L235" t="s">
        <v>73</v>
      </c>
      <c r="M235" s="146"/>
      <c r="N235" s="146"/>
      <c r="O235" s="144">
        <v>44140</v>
      </c>
      <c r="P235" t="s">
        <v>71</v>
      </c>
      <c r="Q235" t="s">
        <v>126</v>
      </c>
      <c r="R235">
        <v>98720</v>
      </c>
      <c r="U235" t="s">
        <v>100</v>
      </c>
      <c r="V235">
        <v>646</v>
      </c>
    </row>
    <row r="236" spans="1:22">
      <c r="A236" t="s">
        <v>84</v>
      </c>
      <c r="B236" t="s">
        <v>67</v>
      </c>
      <c r="C236" t="s">
        <v>23</v>
      </c>
      <c r="D236" t="s">
        <v>96</v>
      </c>
      <c r="E236" t="s">
        <v>97</v>
      </c>
      <c r="F236" t="s">
        <v>70</v>
      </c>
      <c r="G236">
        <v>59538.941001237697</v>
      </c>
      <c r="H236">
        <v>59510.561654714991</v>
      </c>
      <c r="I236" t="s">
        <v>71</v>
      </c>
      <c r="J236" t="s">
        <v>72</v>
      </c>
      <c r="K236" s="144">
        <v>43702</v>
      </c>
      <c r="L236" t="s">
        <v>73</v>
      </c>
      <c r="M236" s="146">
        <v>43999</v>
      </c>
      <c r="N236" s="146"/>
      <c r="O236" s="144">
        <v>44199</v>
      </c>
      <c r="P236" t="s">
        <v>71</v>
      </c>
      <c r="Q236" t="s">
        <v>98</v>
      </c>
      <c r="R236">
        <v>112158</v>
      </c>
      <c r="S236">
        <v>32.682271999999998</v>
      </c>
      <c r="T236">
        <v>13.124753999999999</v>
      </c>
      <c r="U236" t="s">
        <v>92</v>
      </c>
      <c r="V236">
        <v>497</v>
      </c>
    </row>
    <row r="237" spans="1:22">
      <c r="A237" t="s">
        <v>84</v>
      </c>
      <c r="B237" t="s">
        <v>67</v>
      </c>
      <c r="C237" t="s">
        <v>23</v>
      </c>
      <c r="D237" t="s">
        <v>96</v>
      </c>
      <c r="E237" t="s">
        <v>97</v>
      </c>
      <c r="F237" t="s">
        <v>70</v>
      </c>
      <c r="G237">
        <v>0</v>
      </c>
      <c r="H237">
        <v>0</v>
      </c>
      <c r="I237" t="s">
        <v>71</v>
      </c>
      <c r="J237" t="s">
        <v>72</v>
      </c>
      <c r="K237" s="144">
        <v>43702</v>
      </c>
      <c r="L237" t="s">
        <v>73</v>
      </c>
      <c r="M237" s="146">
        <v>43999</v>
      </c>
      <c r="N237" s="146"/>
      <c r="O237" s="144">
        <v>44199</v>
      </c>
      <c r="P237" t="s">
        <v>71</v>
      </c>
      <c r="Q237" t="s">
        <v>98</v>
      </c>
      <c r="R237">
        <v>112158</v>
      </c>
      <c r="S237">
        <v>32.691034999999999</v>
      </c>
      <c r="T237">
        <v>13.150522</v>
      </c>
      <c r="U237" t="s">
        <v>92</v>
      </c>
      <c r="V237">
        <v>497</v>
      </c>
    </row>
    <row r="238" spans="1:22">
      <c r="A238" t="s">
        <v>84</v>
      </c>
      <c r="B238" t="s">
        <v>67</v>
      </c>
      <c r="C238" t="s">
        <v>23</v>
      </c>
      <c r="D238" t="s">
        <v>96</v>
      </c>
      <c r="E238" t="s">
        <v>97</v>
      </c>
      <c r="F238" t="s">
        <v>70</v>
      </c>
      <c r="G238">
        <v>0</v>
      </c>
      <c r="H238">
        <v>0</v>
      </c>
      <c r="I238" t="s">
        <v>71</v>
      </c>
      <c r="J238" t="s">
        <v>72</v>
      </c>
      <c r="K238" s="144">
        <v>43702</v>
      </c>
      <c r="L238" t="s">
        <v>73</v>
      </c>
      <c r="M238" s="146">
        <v>43999</v>
      </c>
      <c r="N238" s="146"/>
      <c r="O238" s="144">
        <v>44199</v>
      </c>
      <c r="P238" t="s">
        <v>71</v>
      </c>
      <c r="Q238" t="s">
        <v>98</v>
      </c>
      <c r="R238">
        <v>112158</v>
      </c>
      <c r="S238">
        <v>32.599798999999997</v>
      </c>
      <c r="T238">
        <v>13.212469</v>
      </c>
      <c r="U238" t="s">
        <v>92</v>
      </c>
      <c r="V238">
        <v>497</v>
      </c>
    </row>
    <row r="239" spans="1:22">
      <c r="A239" t="s">
        <v>84</v>
      </c>
      <c r="B239" t="s">
        <v>67</v>
      </c>
      <c r="C239" t="s">
        <v>23</v>
      </c>
      <c r="D239" t="s">
        <v>96</v>
      </c>
      <c r="E239" t="s">
        <v>97</v>
      </c>
      <c r="F239" t="s">
        <v>70</v>
      </c>
      <c r="G239">
        <v>18724.213876282785</v>
      </c>
      <c r="H239">
        <v>28189.635160514616</v>
      </c>
      <c r="I239" t="s">
        <v>71</v>
      </c>
      <c r="J239" t="s">
        <v>72</v>
      </c>
      <c r="K239" s="144">
        <v>43430</v>
      </c>
      <c r="L239" t="s">
        <v>73</v>
      </c>
      <c r="M239" s="146">
        <v>43450</v>
      </c>
      <c r="N239" s="146">
        <v>43457</v>
      </c>
      <c r="O239" s="144">
        <v>43940</v>
      </c>
      <c r="P239" t="s">
        <v>71</v>
      </c>
      <c r="Q239" t="s">
        <v>98</v>
      </c>
      <c r="R239">
        <v>112158</v>
      </c>
      <c r="S239">
        <v>32.682344444444396</v>
      </c>
      <c r="T239">
        <v>13.124797222222222</v>
      </c>
      <c r="U239" t="s">
        <v>10</v>
      </c>
      <c r="V239">
        <v>510</v>
      </c>
    </row>
    <row r="240" spans="1:22">
      <c r="A240" t="s">
        <v>84</v>
      </c>
      <c r="B240" t="s">
        <v>67</v>
      </c>
      <c r="C240" t="s">
        <v>23</v>
      </c>
      <c r="D240" t="s">
        <v>96</v>
      </c>
      <c r="E240" t="s">
        <v>97</v>
      </c>
      <c r="F240" t="s">
        <v>70</v>
      </c>
      <c r="G240">
        <v>14801.970539643369</v>
      </c>
      <c r="H240">
        <v>0</v>
      </c>
      <c r="I240" t="s">
        <v>71</v>
      </c>
      <c r="J240" t="s">
        <v>72</v>
      </c>
      <c r="K240" s="144">
        <v>43430</v>
      </c>
      <c r="L240" t="s">
        <v>73</v>
      </c>
      <c r="M240" s="146">
        <v>43450</v>
      </c>
      <c r="N240" s="146">
        <v>43457</v>
      </c>
      <c r="O240" s="144">
        <v>43940</v>
      </c>
      <c r="P240" t="s">
        <v>71</v>
      </c>
      <c r="Q240" t="s">
        <v>98</v>
      </c>
      <c r="R240">
        <v>112158</v>
      </c>
      <c r="S240">
        <v>32.6912083333333</v>
      </c>
      <c r="T240">
        <v>13.150638888888889</v>
      </c>
      <c r="U240" t="s">
        <v>10</v>
      </c>
      <c r="V240">
        <v>510</v>
      </c>
    </row>
    <row r="241" spans="1:22">
      <c r="A241" t="s">
        <v>84</v>
      </c>
      <c r="B241" t="s">
        <v>67</v>
      </c>
      <c r="C241" t="s">
        <v>23</v>
      </c>
      <c r="D241" t="s">
        <v>96</v>
      </c>
      <c r="E241" t="s">
        <v>97</v>
      </c>
      <c r="F241" t="s">
        <v>70</v>
      </c>
      <c r="G241">
        <v>24460.496395208578</v>
      </c>
      <c r="H241">
        <v>29809.058636206562</v>
      </c>
      <c r="I241" t="s">
        <v>71</v>
      </c>
      <c r="J241" t="s">
        <v>72</v>
      </c>
      <c r="K241" s="144">
        <v>43430</v>
      </c>
      <c r="L241" t="s">
        <v>73</v>
      </c>
      <c r="M241" s="146">
        <v>43450</v>
      </c>
      <c r="N241" s="146">
        <v>43457</v>
      </c>
      <c r="O241" s="144">
        <v>43940</v>
      </c>
      <c r="P241" t="s">
        <v>71</v>
      </c>
      <c r="Q241" t="s">
        <v>98</v>
      </c>
      <c r="R241">
        <v>112158</v>
      </c>
      <c r="U241" t="s">
        <v>10</v>
      </c>
      <c r="V241">
        <v>510</v>
      </c>
    </row>
    <row r="242" spans="1:22">
      <c r="A242" t="s">
        <v>66</v>
      </c>
      <c r="B242" t="s">
        <v>67</v>
      </c>
      <c r="C242" t="s">
        <v>23</v>
      </c>
      <c r="D242" t="s">
        <v>4</v>
      </c>
      <c r="E242" t="s">
        <v>125</v>
      </c>
      <c r="F242" t="s">
        <v>70</v>
      </c>
      <c r="G242">
        <v>18868.76222628629</v>
      </c>
      <c r="H242">
        <v>15672.183911487051</v>
      </c>
      <c r="I242" t="s">
        <v>71</v>
      </c>
      <c r="J242" t="s">
        <v>72</v>
      </c>
      <c r="K242" s="144">
        <v>43494</v>
      </c>
      <c r="L242" t="s">
        <v>73</v>
      </c>
      <c r="M242" s="146"/>
      <c r="N242" s="146"/>
      <c r="O242" s="144">
        <v>44140</v>
      </c>
      <c r="P242" t="s">
        <v>71</v>
      </c>
      <c r="Q242" t="s">
        <v>126</v>
      </c>
      <c r="R242">
        <v>98720</v>
      </c>
      <c r="U242" t="s">
        <v>100</v>
      </c>
      <c r="V242">
        <v>646</v>
      </c>
    </row>
    <row r="243" spans="1:22">
      <c r="A243" t="s">
        <v>66</v>
      </c>
      <c r="B243" t="s">
        <v>67</v>
      </c>
      <c r="C243" t="s">
        <v>23</v>
      </c>
      <c r="D243" t="s">
        <v>4</v>
      </c>
      <c r="E243" t="s">
        <v>125</v>
      </c>
      <c r="F243" t="s">
        <v>70</v>
      </c>
      <c r="G243">
        <v>14734.51866519059</v>
      </c>
      <c r="H243">
        <v>12238.327220341214</v>
      </c>
      <c r="I243" t="s">
        <v>71</v>
      </c>
      <c r="J243" t="s">
        <v>72</v>
      </c>
      <c r="K243" s="144">
        <v>43494</v>
      </c>
      <c r="L243" t="s">
        <v>73</v>
      </c>
      <c r="M243" s="146"/>
      <c r="N243" s="146"/>
      <c r="O243" s="144">
        <v>44140</v>
      </c>
      <c r="P243" t="s">
        <v>71</v>
      </c>
      <c r="Q243" t="s">
        <v>126</v>
      </c>
      <c r="R243">
        <v>98720</v>
      </c>
      <c r="S243">
        <v>32.618277777777799</v>
      </c>
      <c r="T243">
        <v>13.222861111111111</v>
      </c>
      <c r="U243" t="s">
        <v>100</v>
      </c>
      <c r="V243">
        <v>646</v>
      </c>
    </row>
    <row r="244" spans="1:22">
      <c r="A244" t="s">
        <v>66</v>
      </c>
      <c r="B244" t="s">
        <v>67</v>
      </c>
      <c r="C244" t="s">
        <v>23</v>
      </c>
      <c r="D244" t="s">
        <v>4</v>
      </c>
      <c r="E244" t="s">
        <v>125</v>
      </c>
      <c r="F244" t="s">
        <v>70</v>
      </c>
      <c r="G244">
        <v>17829.569999853516</v>
      </c>
      <c r="H244">
        <v>14809.042413559149</v>
      </c>
      <c r="I244" t="s">
        <v>71</v>
      </c>
      <c r="J244" t="s">
        <v>72</v>
      </c>
      <c r="K244" s="144">
        <v>43494</v>
      </c>
      <c r="L244" t="s">
        <v>73</v>
      </c>
      <c r="M244" s="146"/>
      <c r="N244" s="146"/>
      <c r="O244" s="144">
        <v>44140</v>
      </c>
      <c r="P244" t="s">
        <v>71</v>
      </c>
      <c r="Q244" t="s">
        <v>126</v>
      </c>
      <c r="R244">
        <v>98720</v>
      </c>
      <c r="U244" t="s">
        <v>100</v>
      </c>
      <c r="V244">
        <v>646</v>
      </c>
    </row>
    <row r="245" spans="1:22">
      <c r="A245" t="s">
        <v>66</v>
      </c>
      <c r="B245" t="s">
        <v>67</v>
      </c>
      <c r="C245" t="s">
        <v>23</v>
      </c>
      <c r="D245" t="s">
        <v>4</v>
      </c>
      <c r="E245" t="s">
        <v>125</v>
      </c>
      <c r="F245" t="s">
        <v>70</v>
      </c>
      <c r="G245">
        <v>15595.438089312276</v>
      </c>
      <c r="H245">
        <v>12953.397312697885</v>
      </c>
      <c r="I245" t="s">
        <v>71</v>
      </c>
      <c r="J245" t="s">
        <v>72</v>
      </c>
      <c r="K245" s="144">
        <v>43494</v>
      </c>
      <c r="L245" t="s">
        <v>73</v>
      </c>
      <c r="M245" s="146"/>
      <c r="N245" s="146"/>
      <c r="O245" s="144">
        <v>44140</v>
      </c>
      <c r="P245" t="s">
        <v>71</v>
      </c>
      <c r="Q245" t="s">
        <v>126</v>
      </c>
      <c r="R245">
        <v>98720</v>
      </c>
      <c r="U245" t="s">
        <v>100</v>
      </c>
      <c r="V245">
        <v>646</v>
      </c>
    </row>
    <row r="246" spans="1:22">
      <c r="A246" t="s">
        <v>66</v>
      </c>
      <c r="B246" t="s">
        <v>67</v>
      </c>
      <c r="C246" t="s">
        <v>23</v>
      </c>
      <c r="D246" t="s">
        <v>4</v>
      </c>
      <c r="E246" t="s">
        <v>125</v>
      </c>
      <c r="F246" t="s">
        <v>70</v>
      </c>
      <c r="G246">
        <v>16627.589048245471</v>
      </c>
      <c r="H246">
        <v>13810.6904122041</v>
      </c>
      <c r="I246" t="s">
        <v>71</v>
      </c>
      <c r="J246" t="s">
        <v>72</v>
      </c>
      <c r="K246" s="144">
        <v>43494</v>
      </c>
      <c r="L246" t="s">
        <v>73</v>
      </c>
      <c r="M246" s="146"/>
      <c r="N246" s="146"/>
      <c r="O246" s="144">
        <v>44140</v>
      </c>
      <c r="P246" t="s">
        <v>71</v>
      </c>
      <c r="Q246" t="s">
        <v>126</v>
      </c>
      <c r="R246">
        <v>98720</v>
      </c>
      <c r="U246" t="s">
        <v>100</v>
      </c>
      <c r="V246">
        <v>646</v>
      </c>
    </row>
    <row r="247" spans="1:22">
      <c r="A247" t="s">
        <v>84</v>
      </c>
      <c r="B247" t="s">
        <v>67</v>
      </c>
      <c r="C247" t="s">
        <v>23</v>
      </c>
      <c r="D247" t="s">
        <v>96</v>
      </c>
      <c r="E247" t="s">
        <v>97</v>
      </c>
      <c r="F247" t="s">
        <v>70</v>
      </c>
      <c r="G247">
        <v>15275.648583464103</v>
      </c>
      <c r="H247">
        <v>11745.307897772529</v>
      </c>
      <c r="I247" t="s">
        <v>71</v>
      </c>
      <c r="J247" t="s">
        <v>72</v>
      </c>
      <c r="K247" s="144">
        <v>43431</v>
      </c>
      <c r="L247" t="s">
        <v>73</v>
      </c>
      <c r="M247" s="146">
        <v>43446</v>
      </c>
      <c r="N247" s="146">
        <v>43453</v>
      </c>
      <c r="O247" s="144">
        <v>43550</v>
      </c>
      <c r="P247" t="s">
        <v>71</v>
      </c>
      <c r="Q247" t="s">
        <v>98</v>
      </c>
      <c r="R247">
        <v>112158</v>
      </c>
      <c r="S247">
        <v>32.302</v>
      </c>
      <c r="T247">
        <v>13.268000000000001</v>
      </c>
      <c r="U247" t="s">
        <v>106</v>
      </c>
      <c r="V247">
        <v>119</v>
      </c>
    </row>
    <row r="248" spans="1:22">
      <c r="A248" t="s">
        <v>84</v>
      </c>
      <c r="B248" t="s">
        <v>67</v>
      </c>
      <c r="C248" t="s">
        <v>23</v>
      </c>
      <c r="D248" t="s">
        <v>96</v>
      </c>
      <c r="E248" t="s">
        <v>97</v>
      </c>
      <c r="F248" t="s">
        <v>70</v>
      </c>
      <c r="G248">
        <v>19723.158322754593</v>
      </c>
      <c r="H248">
        <v>16133.142836642037</v>
      </c>
      <c r="I248" t="s">
        <v>71</v>
      </c>
      <c r="J248" t="s">
        <v>72</v>
      </c>
      <c r="K248" s="144">
        <v>43431</v>
      </c>
      <c r="L248" t="s">
        <v>73</v>
      </c>
      <c r="M248" s="146">
        <v>43446</v>
      </c>
      <c r="N248" s="146">
        <v>43453</v>
      </c>
      <c r="O248" s="144">
        <v>43550</v>
      </c>
      <c r="P248" t="s">
        <v>71</v>
      </c>
      <c r="Q248" t="s">
        <v>98</v>
      </c>
      <c r="R248">
        <v>112158</v>
      </c>
      <c r="S248">
        <v>32.381</v>
      </c>
      <c r="T248">
        <v>13.228999999999999</v>
      </c>
      <c r="U248" t="s">
        <v>106</v>
      </c>
      <c r="V248">
        <v>119</v>
      </c>
    </row>
    <row r="249" spans="1:22">
      <c r="A249" t="s">
        <v>84</v>
      </c>
      <c r="B249" t="s">
        <v>67</v>
      </c>
      <c r="C249" t="s">
        <v>23</v>
      </c>
      <c r="D249" t="s">
        <v>96</v>
      </c>
      <c r="E249" t="s">
        <v>97</v>
      </c>
      <c r="F249" t="s">
        <v>70</v>
      </c>
      <c r="G249">
        <v>16927.736686819611</v>
      </c>
      <c r="H249">
        <v>22991.797999767874</v>
      </c>
      <c r="I249" t="s">
        <v>71</v>
      </c>
      <c r="J249" t="s">
        <v>72</v>
      </c>
      <c r="K249" s="144">
        <v>43431</v>
      </c>
      <c r="L249" t="s">
        <v>73</v>
      </c>
      <c r="M249" s="146">
        <v>43446</v>
      </c>
      <c r="N249" s="146">
        <v>43453</v>
      </c>
      <c r="O249" s="144">
        <v>43550</v>
      </c>
      <c r="P249" t="s">
        <v>71</v>
      </c>
      <c r="Q249" t="s">
        <v>98</v>
      </c>
      <c r="R249">
        <v>112158</v>
      </c>
      <c r="S249">
        <v>32.466999999999999</v>
      </c>
      <c r="T249">
        <v>13.256</v>
      </c>
      <c r="U249" t="s">
        <v>106</v>
      </c>
      <c r="V249">
        <v>119</v>
      </c>
    </row>
    <row r="250" spans="1:22">
      <c r="A250" t="s">
        <v>84</v>
      </c>
      <c r="B250" t="s">
        <v>67</v>
      </c>
      <c r="C250" t="s">
        <v>23</v>
      </c>
      <c r="D250" t="s">
        <v>96</v>
      </c>
      <c r="E250" t="s">
        <v>97</v>
      </c>
      <c r="F250" t="s">
        <v>70</v>
      </c>
      <c r="G250">
        <v>12426.749399119772</v>
      </c>
      <c r="H250">
        <v>11798.100403075015</v>
      </c>
      <c r="I250" t="s">
        <v>71</v>
      </c>
      <c r="J250" t="s">
        <v>72</v>
      </c>
      <c r="K250" s="144">
        <v>43423</v>
      </c>
      <c r="L250" t="s">
        <v>73</v>
      </c>
      <c r="M250" s="146">
        <v>43453</v>
      </c>
      <c r="N250" s="146">
        <v>43460</v>
      </c>
      <c r="O250" s="144">
        <v>43776</v>
      </c>
      <c r="P250" t="s">
        <v>71</v>
      </c>
      <c r="Q250" t="s">
        <v>98</v>
      </c>
      <c r="R250">
        <v>112158</v>
      </c>
      <c r="S250">
        <v>32.408000000000001</v>
      </c>
      <c r="T250">
        <v>13.228</v>
      </c>
      <c r="U250" t="s">
        <v>106</v>
      </c>
      <c r="V250">
        <v>353</v>
      </c>
    </row>
    <row r="251" spans="1:22">
      <c r="A251" t="s">
        <v>84</v>
      </c>
      <c r="B251" t="s">
        <v>67</v>
      </c>
      <c r="C251" t="s">
        <v>23</v>
      </c>
      <c r="D251" t="s">
        <v>96</v>
      </c>
      <c r="E251" t="s">
        <v>97</v>
      </c>
      <c r="F251" t="s">
        <v>70</v>
      </c>
      <c r="G251">
        <v>28157.577373715369</v>
      </c>
      <c r="H251">
        <v>31251.580040882171</v>
      </c>
      <c r="I251" t="s">
        <v>71</v>
      </c>
      <c r="J251" t="s">
        <v>72</v>
      </c>
      <c r="K251" s="144">
        <v>43423</v>
      </c>
      <c r="L251" t="s">
        <v>73</v>
      </c>
      <c r="M251" s="146">
        <v>43453</v>
      </c>
      <c r="N251" s="146">
        <v>43460</v>
      </c>
      <c r="O251" s="144">
        <v>43776</v>
      </c>
      <c r="P251" t="s">
        <v>71</v>
      </c>
      <c r="Q251" t="s">
        <v>98</v>
      </c>
      <c r="R251">
        <v>112158</v>
      </c>
      <c r="S251">
        <v>32.298999999999999</v>
      </c>
      <c r="T251">
        <v>13.269</v>
      </c>
      <c r="U251" t="s">
        <v>106</v>
      </c>
      <c r="V251">
        <v>353</v>
      </c>
    </row>
    <row r="252" spans="1:22">
      <c r="A252" t="s">
        <v>84</v>
      </c>
      <c r="B252" t="s">
        <v>67</v>
      </c>
      <c r="C252" t="s">
        <v>23</v>
      </c>
      <c r="D252" t="s">
        <v>96</v>
      </c>
      <c r="E252" t="s">
        <v>97</v>
      </c>
      <c r="F252" t="s">
        <v>70</v>
      </c>
      <c r="G252">
        <v>17114.577579566783</v>
      </c>
      <c r="H252">
        <v>14562.596029241495</v>
      </c>
      <c r="I252" t="s">
        <v>71</v>
      </c>
      <c r="J252" t="s">
        <v>72</v>
      </c>
      <c r="K252" s="144">
        <v>43423</v>
      </c>
      <c r="L252" t="s">
        <v>73</v>
      </c>
      <c r="M252" s="146">
        <v>43453</v>
      </c>
      <c r="N252" s="146">
        <v>43460</v>
      </c>
      <c r="O252" s="144">
        <v>43776</v>
      </c>
      <c r="P252" t="s">
        <v>71</v>
      </c>
      <c r="Q252" t="s">
        <v>98</v>
      </c>
      <c r="R252">
        <v>112158</v>
      </c>
      <c r="S252">
        <v>32.444000000000003</v>
      </c>
      <c r="T252">
        <v>13.282999999999999</v>
      </c>
      <c r="U252" t="s">
        <v>106</v>
      </c>
      <c r="V252">
        <v>353</v>
      </c>
    </row>
    <row r="253" spans="1:22">
      <c r="A253" t="s">
        <v>66</v>
      </c>
      <c r="B253" t="s">
        <v>67</v>
      </c>
      <c r="C253" t="s">
        <v>23</v>
      </c>
      <c r="D253" t="s">
        <v>4</v>
      </c>
      <c r="E253" t="s">
        <v>125</v>
      </c>
      <c r="F253" t="s">
        <v>70</v>
      </c>
      <c r="G253">
        <v>14514.817506759962</v>
      </c>
      <c r="H253">
        <v>12055.845883240321</v>
      </c>
      <c r="I253" t="s">
        <v>71</v>
      </c>
      <c r="J253" t="s">
        <v>72</v>
      </c>
      <c r="K253" s="144">
        <v>43494</v>
      </c>
      <c r="L253" t="s">
        <v>73</v>
      </c>
      <c r="M253" s="146"/>
      <c r="N253" s="146"/>
      <c r="O253" s="144">
        <v>44140</v>
      </c>
      <c r="P253" t="s">
        <v>71</v>
      </c>
      <c r="Q253" t="s">
        <v>126</v>
      </c>
      <c r="R253">
        <v>98720</v>
      </c>
      <c r="U253" t="s">
        <v>100</v>
      </c>
      <c r="V253">
        <v>646</v>
      </c>
    </row>
    <row r="254" spans="1:22">
      <c r="A254" t="s">
        <v>66</v>
      </c>
      <c r="B254" t="s">
        <v>67</v>
      </c>
      <c r="C254" t="s">
        <v>23</v>
      </c>
      <c r="D254" t="s">
        <v>4</v>
      </c>
      <c r="E254" t="s">
        <v>125</v>
      </c>
      <c r="F254" t="s">
        <v>70</v>
      </c>
      <c r="G254">
        <v>18055.830479135893</v>
      </c>
      <c r="H254">
        <v>14996.971849559706</v>
      </c>
      <c r="I254" t="s">
        <v>71</v>
      </c>
      <c r="J254" t="s">
        <v>72</v>
      </c>
      <c r="K254" s="144">
        <v>43494</v>
      </c>
      <c r="L254" t="s">
        <v>73</v>
      </c>
      <c r="M254" s="146"/>
      <c r="N254" s="146"/>
      <c r="O254" s="144">
        <v>44140</v>
      </c>
      <c r="P254" t="s">
        <v>71</v>
      </c>
      <c r="Q254" t="s">
        <v>126</v>
      </c>
      <c r="R254">
        <v>98720</v>
      </c>
      <c r="U254" t="s">
        <v>100</v>
      </c>
      <c r="V254">
        <v>646</v>
      </c>
    </row>
    <row r="255" spans="1:22">
      <c r="A255" t="s">
        <v>66</v>
      </c>
      <c r="B255" t="s">
        <v>67</v>
      </c>
      <c r="C255" t="s">
        <v>23</v>
      </c>
      <c r="D255" t="s">
        <v>4</v>
      </c>
      <c r="E255" t="s">
        <v>125</v>
      </c>
      <c r="F255" t="s">
        <v>70</v>
      </c>
      <c r="G255">
        <v>18967.517286836293</v>
      </c>
      <c r="H255">
        <v>15754.208765718004</v>
      </c>
      <c r="I255" t="s">
        <v>71</v>
      </c>
      <c r="J255" t="s">
        <v>72</v>
      </c>
      <c r="K255" s="144">
        <v>43494</v>
      </c>
      <c r="L255" t="s">
        <v>73</v>
      </c>
      <c r="M255" s="146"/>
      <c r="N255" s="146"/>
      <c r="O255" s="144">
        <v>44140</v>
      </c>
      <c r="P255" t="s">
        <v>71</v>
      </c>
      <c r="Q255" t="s">
        <v>126</v>
      </c>
      <c r="R255">
        <v>98720</v>
      </c>
      <c r="U255" t="s">
        <v>100</v>
      </c>
      <c r="V255">
        <v>646</v>
      </c>
    </row>
    <row r="256" spans="1:22">
      <c r="A256" t="s">
        <v>66</v>
      </c>
      <c r="B256" t="s">
        <v>67</v>
      </c>
      <c r="C256" t="s">
        <v>23</v>
      </c>
      <c r="D256" t="s">
        <v>4</v>
      </c>
      <c r="E256" t="s">
        <v>125</v>
      </c>
      <c r="F256" t="s">
        <v>70</v>
      </c>
      <c r="G256">
        <v>18257.744097026487</v>
      </c>
      <c r="H256">
        <v>15164.679053448615</v>
      </c>
      <c r="I256" t="s">
        <v>71</v>
      </c>
      <c r="J256" t="s">
        <v>72</v>
      </c>
      <c r="K256" s="144">
        <v>43494</v>
      </c>
      <c r="L256" t="s">
        <v>73</v>
      </c>
      <c r="M256" s="146"/>
      <c r="N256" s="146"/>
      <c r="O256" s="144">
        <v>44140</v>
      </c>
      <c r="P256" t="s">
        <v>71</v>
      </c>
      <c r="Q256" t="s">
        <v>126</v>
      </c>
      <c r="R256">
        <v>98720</v>
      </c>
      <c r="U256" t="s">
        <v>100</v>
      </c>
      <c r="V256">
        <v>646</v>
      </c>
    </row>
    <row r="257" spans="1:22">
      <c r="A257" t="s">
        <v>66</v>
      </c>
      <c r="B257" t="s">
        <v>67</v>
      </c>
      <c r="C257" t="s">
        <v>23</v>
      </c>
      <c r="D257" t="s">
        <v>4</v>
      </c>
      <c r="E257" t="s">
        <v>125</v>
      </c>
      <c r="F257" t="s">
        <v>70</v>
      </c>
      <c r="G257">
        <v>15854.672400430733</v>
      </c>
      <c r="H257">
        <v>13168.714446450103</v>
      </c>
      <c r="I257" t="s">
        <v>71</v>
      </c>
      <c r="J257" t="s">
        <v>72</v>
      </c>
      <c r="K257" s="144">
        <v>43494</v>
      </c>
      <c r="L257" t="s">
        <v>73</v>
      </c>
      <c r="M257" s="146"/>
      <c r="N257" s="146"/>
      <c r="O257" s="144">
        <v>44140</v>
      </c>
      <c r="P257" t="s">
        <v>71</v>
      </c>
      <c r="Q257" t="s">
        <v>126</v>
      </c>
      <c r="R257">
        <v>98720</v>
      </c>
      <c r="U257" t="s">
        <v>100</v>
      </c>
      <c r="V257">
        <v>646</v>
      </c>
    </row>
    <row r="258" spans="1:22">
      <c r="A258" t="s">
        <v>84</v>
      </c>
      <c r="B258" t="s">
        <v>67</v>
      </c>
      <c r="C258" t="s">
        <v>23</v>
      </c>
      <c r="D258" t="s">
        <v>96</v>
      </c>
      <c r="E258" t="s">
        <v>97</v>
      </c>
      <c r="F258" t="s">
        <v>70</v>
      </c>
      <c r="G258">
        <v>26281.326090892231</v>
      </c>
      <c r="H258">
        <v>26281.326090892231</v>
      </c>
      <c r="I258" t="s">
        <v>71</v>
      </c>
      <c r="J258" t="s">
        <v>72</v>
      </c>
      <c r="K258" s="144">
        <v>43412</v>
      </c>
      <c r="L258" t="s">
        <v>73</v>
      </c>
      <c r="M258" s="146">
        <v>43419</v>
      </c>
      <c r="N258" s="146">
        <v>43426</v>
      </c>
      <c r="O258" s="144">
        <v>43580</v>
      </c>
      <c r="P258" t="s">
        <v>71</v>
      </c>
      <c r="Q258" t="s">
        <v>98</v>
      </c>
      <c r="R258">
        <v>98720</v>
      </c>
      <c r="S258">
        <v>32.905059999999999</v>
      </c>
      <c r="T258">
        <v>13.25506</v>
      </c>
      <c r="U258" t="s">
        <v>92</v>
      </c>
      <c r="V258">
        <v>168</v>
      </c>
    </row>
    <row r="259" spans="1:22">
      <c r="A259" t="s">
        <v>84</v>
      </c>
      <c r="B259" t="s">
        <v>67</v>
      </c>
      <c r="C259" t="s">
        <v>23</v>
      </c>
      <c r="D259" t="s">
        <v>96</v>
      </c>
      <c r="E259" t="s">
        <v>97</v>
      </c>
      <c r="F259" t="s">
        <v>70</v>
      </c>
      <c r="G259">
        <v>20010.906709866333</v>
      </c>
      <c r="H259">
        <v>20010.906709866333</v>
      </c>
      <c r="I259" t="s">
        <v>71</v>
      </c>
      <c r="J259" t="s">
        <v>72</v>
      </c>
      <c r="K259" s="144">
        <v>43412</v>
      </c>
      <c r="L259" t="s">
        <v>73</v>
      </c>
      <c r="M259" s="146">
        <v>43419</v>
      </c>
      <c r="N259" s="146">
        <v>43426</v>
      </c>
      <c r="O259" s="144">
        <v>43580</v>
      </c>
      <c r="P259" t="s">
        <v>71</v>
      </c>
      <c r="Q259" t="s">
        <v>98</v>
      </c>
      <c r="R259">
        <v>98720</v>
      </c>
      <c r="S259">
        <v>32.886980000000001</v>
      </c>
      <c r="T259">
        <v>13.230449999999999</v>
      </c>
      <c r="U259" t="s">
        <v>92</v>
      </c>
      <c r="V259">
        <v>168</v>
      </c>
    </row>
    <row r="260" spans="1:22">
      <c r="A260" t="s">
        <v>84</v>
      </c>
      <c r="B260" t="s">
        <v>67</v>
      </c>
      <c r="C260" t="s">
        <v>23</v>
      </c>
      <c r="D260" t="s">
        <v>96</v>
      </c>
      <c r="E260" t="s">
        <v>97</v>
      </c>
      <c r="F260" t="s">
        <v>70</v>
      </c>
      <c r="G260">
        <v>23505.17490519995</v>
      </c>
      <c r="H260">
        <v>23428.977145501565</v>
      </c>
      <c r="I260" t="s">
        <v>71</v>
      </c>
      <c r="J260" t="s">
        <v>72</v>
      </c>
      <c r="K260" s="144">
        <v>43412</v>
      </c>
      <c r="L260" t="s">
        <v>73</v>
      </c>
      <c r="M260" s="146">
        <v>43419</v>
      </c>
      <c r="N260" s="146">
        <v>43426</v>
      </c>
      <c r="O260" s="144">
        <v>43580</v>
      </c>
      <c r="P260" t="s">
        <v>71</v>
      </c>
      <c r="Q260" t="s">
        <v>98</v>
      </c>
      <c r="R260">
        <v>98720</v>
      </c>
      <c r="S260">
        <v>32.893450000000001</v>
      </c>
      <c r="T260">
        <v>13.23845</v>
      </c>
      <c r="U260" t="s">
        <v>92</v>
      </c>
      <c r="V260">
        <v>168</v>
      </c>
    </row>
    <row r="261" spans="1:22">
      <c r="A261" t="s">
        <v>84</v>
      </c>
      <c r="B261" t="s">
        <v>67</v>
      </c>
      <c r="C261" t="s">
        <v>23</v>
      </c>
      <c r="D261" t="s">
        <v>96</v>
      </c>
      <c r="E261" t="s">
        <v>97</v>
      </c>
      <c r="F261" t="s">
        <v>70</v>
      </c>
      <c r="G261">
        <v>24237.421655891878</v>
      </c>
      <c r="H261">
        <v>21192.930455270507</v>
      </c>
      <c r="I261" t="s">
        <v>71</v>
      </c>
      <c r="J261" t="s">
        <v>72</v>
      </c>
      <c r="K261" s="144">
        <v>43399</v>
      </c>
      <c r="L261" t="s">
        <v>73</v>
      </c>
      <c r="M261" s="146">
        <v>43406</v>
      </c>
      <c r="N261" s="146">
        <v>43413</v>
      </c>
      <c r="O261" s="144">
        <v>43530</v>
      </c>
      <c r="P261" t="s">
        <v>71</v>
      </c>
      <c r="Q261" t="s">
        <v>98</v>
      </c>
      <c r="R261">
        <v>98720</v>
      </c>
      <c r="S261">
        <v>32.903260000000003</v>
      </c>
      <c r="T261">
        <v>13.238479999999999</v>
      </c>
      <c r="U261" t="s">
        <v>94</v>
      </c>
      <c r="V261">
        <v>131</v>
      </c>
    </row>
    <row r="262" spans="1:22">
      <c r="A262" t="s">
        <v>84</v>
      </c>
      <c r="B262" t="s">
        <v>67</v>
      </c>
      <c r="C262" t="s">
        <v>23</v>
      </c>
      <c r="D262" t="s">
        <v>96</v>
      </c>
      <c r="E262" t="s">
        <v>97</v>
      </c>
      <c r="F262" t="s">
        <v>70</v>
      </c>
      <c r="G262">
        <v>9422.2217428575132</v>
      </c>
      <c r="H262">
        <v>12381.054369350033</v>
      </c>
      <c r="I262" t="s">
        <v>71</v>
      </c>
      <c r="J262" t="s">
        <v>72</v>
      </c>
      <c r="K262" s="144">
        <v>43399</v>
      </c>
      <c r="L262" t="s">
        <v>73</v>
      </c>
      <c r="M262" s="146">
        <v>43406</v>
      </c>
      <c r="N262" s="146">
        <v>43413</v>
      </c>
      <c r="O262" s="144">
        <v>43530</v>
      </c>
      <c r="P262" t="s">
        <v>71</v>
      </c>
      <c r="Q262" t="s">
        <v>98</v>
      </c>
      <c r="R262">
        <v>98720</v>
      </c>
      <c r="S262">
        <v>32.889270000000003</v>
      </c>
      <c r="T262">
        <v>13.237069999999999</v>
      </c>
      <c r="U262" t="s">
        <v>94</v>
      </c>
      <c r="V262">
        <v>131</v>
      </c>
    </row>
    <row r="263" spans="1:22">
      <c r="A263" t="s">
        <v>84</v>
      </c>
      <c r="B263" t="s">
        <v>67</v>
      </c>
      <c r="C263" t="s">
        <v>23</v>
      </c>
      <c r="D263" t="s">
        <v>96</v>
      </c>
      <c r="E263" t="s">
        <v>97</v>
      </c>
      <c r="F263" t="s">
        <v>70</v>
      </c>
      <c r="G263">
        <v>9558.569263255331</v>
      </c>
      <c r="H263">
        <v>9899.4759636982089</v>
      </c>
      <c r="I263" t="s">
        <v>71</v>
      </c>
      <c r="J263" t="s">
        <v>72</v>
      </c>
      <c r="K263" s="144">
        <v>43399</v>
      </c>
      <c r="L263" t="s">
        <v>73</v>
      </c>
      <c r="M263" s="146">
        <v>43406</v>
      </c>
      <c r="N263" s="146">
        <v>43413</v>
      </c>
      <c r="O263" s="144">
        <v>43530</v>
      </c>
      <c r="P263" t="s">
        <v>71</v>
      </c>
      <c r="Q263" t="s">
        <v>98</v>
      </c>
      <c r="R263">
        <v>98720</v>
      </c>
      <c r="S263">
        <v>32.890540000000001</v>
      </c>
      <c r="T263">
        <v>13.24417</v>
      </c>
      <c r="U263" t="s">
        <v>94</v>
      </c>
      <c r="V263">
        <v>131</v>
      </c>
    </row>
    <row r="264" spans="1:22">
      <c r="A264" t="s">
        <v>66</v>
      </c>
      <c r="B264" t="s">
        <v>67</v>
      </c>
      <c r="C264" t="s">
        <v>23</v>
      </c>
      <c r="D264" t="s">
        <v>4</v>
      </c>
      <c r="E264" t="s">
        <v>125</v>
      </c>
      <c r="F264" t="s">
        <v>70</v>
      </c>
      <c r="G264">
        <v>18397.397605843835</v>
      </c>
      <c r="H264">
        <v>15280.673703644636</v>
      </c>
      <c r="I264" t="s">
        <v>71</v>
      </c>
      <c r="J264" t="s">
        <v>72</v>
      </c>
      <c r="K264" s="144">
        <v>43494</v>
      </c>
      <c r="L264" t="s">
        <v>73</v>
      </c>
      <c r="M264" s="146"/>
      <c r="N264" s="146"/>
      <c r="O264" s="144">
        <v>44140</v>
      </c>
      <c r="P264" t="s">
        <v>71</v>
      </c>
      <c r="Q264" t="s">
        <v>126</v>
      </c>
      <c r="R264">
        <v>98720</v>
      </c>
      <c r="U264" t="s">
        <v>100</v>
      </c>
      <c r="V264">
        <v>646</v>
      </c>
    </row>
    <row r="265" spans="1:22">
      <c r="A265" t="s">
        <v>66</v>
      </c>
      <c r="B265" t="s">
        <v>67</v>
      </c>
      <c r="C265" t="s">
        <v>23</v>
      </c>
      <c r="D265" t="s">
        <v>4</v>
      </c>
      <c r="E265" t="s">
        <v>125</v>
      </c>
      <c r="F265" t="s">
        <v>70</v>
      </c>
      <c r="G265">
        <v>15182.277941578413</v>
      </c>
      <c r="H265">
        <v>12610.231092119744</v>
      </c>
      <c r="I265" t="s">
        <v>71</v>
      </c>
      <c r="J265" t="s">
        <v>72</v>
      </c>
      <c r="K265" s="144">
        <v>43494</v>
      </c>
      <c r="L265" t="s">
        <v>73</v>
      </c>
      <c r="M265" s="146"/>
      <c r="N265" s="146"/>
      <c r="O265" s="144">
        <v>44140</v>
      </c>
      <c r="P265" t="s">
        <v>71</v>
      </c>
      <c r="Q265" t="s">
        <v>126</v>
      </c>
      <c r="R265">
        <v>98720</v>
      </c>
      <c r="U265" t="s">
        <v>100</v>
      </c>
      <c r="V265">
        <v>646</v>
      </c>
    </row>
    <row r="266" spans="1:22">
      <c r="A266" t="s">
        <v>66</v>
      </c>
      <c r="B266" t="s">
        <v>67</v>
      </c>
      <c r="C266" t="s">
        <v>23</v>
      </c>
      <c r="D266" t="s">
        <v>4</v>
      </c>
      <c r="E266" t="s">
        <v>125</v>
      </c>
      <c r="F266" t="s">
        <v>70</v>
      </c>
      <c r="G266">
        <v>16349.070527522603</v>
      </c>
      <c r="H266">
        <v>13579.356028571707</v>
      </c>
      <c r="I266" t="s">
        <v>71</v>
      </c>
      <c r="J266" t="s">
        <v>72</v>
      </c>
      <c r="K266" s="144">
        <v>43494</v>
      </c>
      <c r="L266" t="s">
        <v>73</v>
      </c>
      <c r="M266" s="146"/>
      <c r="N266" s="146"/>
      <c r="O266" s="144">
        <v>44140</v>
      </c>
      <c r="P266" t="s">
        <v>71</v>
      </c>
      <c r="Q266" t="s">
        <v>126</v>
      </c>
      <c r="R266">
        <v>98720</v>
      </c>
      <c r="U266" t="s">
        <v>100</v>
      </c>
      <c r="V266">
        <v>646</v>
      </c>
    </row>
    <row r="267" spans="1:22">
      <c r="A267" t="s">
        <v>66</v>
      </c>
      <c r="B267" t="s">
        <v>67</v>
      </c>
      <c r="C267" t="s">
        <v>23</v>
      </c>
      <c r="D267" t="s">
        <v>4</v>
      </c>
      <c r="E267" t="s">
        <v>125</v>
      </c>
      <c r="F267" t="s">
        <v>70</v>
      </c>
      <c r="G267">
        <v>18021.199399836125</v>
      </c>
      <c r="H267">
        <v>14968.207660508495</v>
      </c>
      <c r="I267" t="s">
        <v>71</v>
      </c>
      <c r="J267" t="s">
        <v>72</v>
      </c>
      <c r="K267" s="144">
        <v>43494</v>
      </c>
      <c r="L267" t="s">
        <v>73</v>
      </c>
      <c r="M267" s="146"/>
      <c r="N267" s="146"/>
      <c r="O267" s="144">
        <v>44140</v>
      </c>
      <c r="P267" t="s">
        <v>71</v>
      </c>
      <c r="Q267" t="s">
        <v>126</v>
      </c>
      <c r="R267">
        <v>98720</v>
      </c>
      <c r="U267" t="s">
        <v>100</v>
      </c>
      <c r="V267">
        <v>646</v>
      </c>
    </row>
    <row r="268" spans="1:22">
      <c r="A268" t="s">
        <v>66</v>
      </c>
      <c r="B268" t="s">
        <v>67</v>
      </c>
      <c r="C268" t="s">
        <v>23</v>
      </c>
      <c r="D268" t="s">
        <v>4</v>
      </c>
      <c r="E268" t="s">
        <v>125</v>
      </c>
      <c r="F268" t="s">
        <v>70</v>
      </c>
      <c r="G268">
        <v>16967.758964726414</v>
      </c>
      <c r="H268">
        <v>14093.231759024269</v>
      </c>
      <c r="I268" t="s">
        <v>71</v>
      </c>
      <c r="J268" t="s">
        <v>72</v>
      </c>
      <c r="K268" s="144">
        <v>43494</v>
      </c>
      <c r="L268" t="s">
        <v>73</v>
      </c>
      <c r="M268" s="146"/>
      <c r="N268" s="146"/>
      <c r="O268" s="144">
        <v>44140</v>
      </c>
      <c r="P268" t="s">
        <v>71</v>
      </c>
      <c r="Q268" t="s">
        <v>126</v>
      </c>
      <c r="R268">
        <v>98720</v>
      </c>
      <c r="U268" t="s">
        <v>100</v>
      </c>
      <c r="V268">
        <v>646</v>
      </c>
    </row>
    <row r="269" spans="1:22">
      <c r="A269" t="s">
        <v>66</v>
      </c>
      <c r="B269" t="s">
        <v>67</v>
      </c>
      <c r="C269" t="s">
        <v>23</v>
      </c>
      <c r="D269" t="s">
        <v>4</v>
      </c>
      <c r="E269" t="s">
        <v>107</v>
      </c>
      <c r="F269" t="s">
        <v>70</v>
      </c>
      <c r="G269">
        <v>29789.127421951114</v>
      </c>
      <c r="H269">
        <v>32398.641428197116</v>
      </c>
      <c r="I269" t="s">
        <v>71</v>
      </c>
      <c r="J269" t="s">
        <v>72</v>
      </c>
      <c r="K269" s="144">
        <v>43376</v>
      </c>
      <c r="L269" t="s">
        <v>73</v>
      </c>
      <c r="M269" s="146"/>
      <c r="N269" s="146"/>
      <c r="O269" s="144">
        <v>43646</v>
      </c>
      <c r="P269" t="s">
        <v>71</v>
      </c>
      <c r="Q269" t="s">
        <v>108</v>
      </c>
      <c r="R269">
        <v>98720</v>
      </c>
      <c r="U269" t="s">
        <v>95</v>
      </c>
      <c r="V269">
        <v>270</v>
      </c>
    </row>
    <row r="270" spans="1:22">
      <c r="A270" t="s">
        <v>84</v>
      </c>
      <c r="B270" t="s">
        <v>67</v>
      </c>
      <c r="C270" t="s">
        <v>23</v>
      </c>
      <c r="D270" t="s">
        <v>96</v>
      </c>
      <c r="E270" t="s">
        <v>97</v>
      </c>
      <c r="F270" t="s">
        <v>70</v>
      </c>
      <c r="G270">
        <v>16541.273499659161</v>
      </c>
      <c r="H270">
        <v>50421.207690930438</v>
      </c>
      <c r="I270" t="s">
        <v>71</v>
      </c>
      <c r="J270" t="s">
        <v>72</v>
      </c>
      <c r="K270" s="144">
        <v>43300</v>
      </c>
      <c r="L270" t="s">
        <v>73</v>
      </c>
      <c r="M270" s="146">
        <v>43330</v>
      </c>
      <c r="N270" s="146">
        <v>43337</v>
      </c>
      <c r="O270" s="144">
        <v>43439</v>
      </c>
      <c r="P270" t="s">
        <v>71</v>
      </c>
      <c r="Q270" t="s">
        <v>98</v>
      </c>
      <c r="R270">
        <v>98720</v>
      </c>
      <c r="S270">
        <v>32.77055</v>
      </c>
      <c r="T270">
        <v>13.4718</v>
      </c>
      <c r="U270" t="s">
        <v>92</v>
      </c>
      <c r="V270">
        <v>139</v>
      </c>
    </row>
    <row r="271" spans="1:22">
      <c r="A271" t="s">
        <v>84</v>
      </c>
      <c r="B271" t="s">
        <v>67</v>
      </c>
      <c r="C271" t="s">
        <v>23</v>
      </c>
      <c r="D271" t="s">
        <v>96</v>
      </c>
      <c r="E271" t="s">
        <v>97</v>
      </c>
      <c r="F271" t="s">
        <v>70</v>
      </c>
      <c r="G271">
        <v>15342.087746843959</v>
      </c>
      <c r="H271">
        <v>0</v>
      </c>
      <c r="I271" t="s">
        <v>71</v>
      </c>
      <c r="J271" t="s">
        <v>72</v>
      </c>
      <c r="K271" s="144">
        <v>43300</v>
      </c>
      <c r="L271" t="s">
        <v>73</v>
      </c>
      <c r="M271" s="146">
        <v>43330</v>
      </c>
      <c r="N271" s="146">
        <v>43337</v>
      </c>
      <c r="O271" s="144">
        <v>43439</v>
      </c>
      <c r="P271" t="s">
        <v>71</v>
      </c>
      <c r="Q271" t="s">
        <v>98</v>
      </c>
      <c r="R271">
        <v>98720</v>
      </c>
      <c r="S271">
        <v>32.757449999999999</v>
      </c>
      <c r="T271">
        <v>13.310219999999999</v>
      </c>
      <c r="U271" t="s">
        <v>92</v>
      </c>
      <c r="V271">
        <v>139</v>
      </c>
    </row>
    <row r="272" spans="1:22">
      <c r="A272" t="s">
        <v>84</v>
      </c>
      <c r="B272" t="s">
        <v>67</v>
      </c>
      <c r="C272" t="s">
        <v>23</v>
      </c>
      <c r="D272" t="s">
        <v>96</v>
      </c>
      <c r="E272" t="s">
        <v>97</v>
      </c>
      <c r="F272" t="s">
        <v>70</v>
      </c>
      <c r="G272">
        <v>18574.321015618974</v>
      </c>
      <c r="H272">
        <v>0</v>
      </c>
      <c r="I272" t="s">
        <v>71</v>
      </c>
      <c r="J272" t="s">
        <v>72</v>
      </c>
      <c r="K272" s="144">
        <v>43300</v>
      </c>
      <c r="L272" t="s">
        <v>73</v>
      </c>
      <c r="M272" s="146">
        <v>43330</v>
      </c>
      <c r="N272" s="146">
        <v>43337</v>
      </c>
      <c r="O272" s="144">
        <v>43439</v>
      </c>
      <c r="P272" t="s">
        <v>71</v>
      </c>
      <c r="Q272" t="s">
        <v>98</v>
      </c>
      <c r="R272">
        <v>98720</v>
      </c>
      <c r="S272">
        <v>32.880279999999999</v>
      </c>
      <c r="T272">
        <v>13.307700000000001</v>
      </c>
      <c r="U272" t="s">
        <v>92</v>
      </c>
      <c r="V272">
        <v>139</v>
      </c>
    </row>
    <row r="273" spans="1:22">
      <c r="A273" t="s">
        <v>84</v>
      </c>
      <c r="B273" t="s">
        <v>67</v>
      </c>
      <c r="C273" t="s">
        <v>23</v>
      </c>
      <c r="D273" t="s">
        <v>96</v>
      </c>
      <c r="E273" t="s">
        <v>97</v>
      </c>
      <c r="F273" t="s">
        <v>70</v>
      </c>
      <c r="G273">
        <v>15692.353050496728</v>
      </c>
      <c r="H273">
        <v>61533.418307785469</v>
      </c>
      <c r="I273" t="s">
        <v>71</v>
      </c>
      <c r="J273" t="s">
        <v>72</v>
      </c>
      <c r="K273" s="144">
        <v>43300</v>
      </c>
      <c r="L273" t="s">
        <v>73</v>
      </c>
      <c r="M273" s="146">
        <v>43330</v>
      </c>
      <c r="N273" s="146">
        <v>43337</v>
      </c>
      <c r="O273" s="144">
        <v>43439</v>
      </c>
      <c r="P273" t="s">
        <v>71</v>
      </c>
      <c r="Q273" t="s">
        <v>98</v>
      </c>
      <c r="R273">
        <v>98720</v>
      </c>
      <c r="S273">
        <v>32.868490000000001</v>
      </c>
      <c r="T273">
        <v>13.3605</v>
      </c>
      <c r="U273" t="s">
        <v>92</v>
      </c>
      <c r="V273">
        <v>139</v>
      </c>
    </row>
    <row r="274" spans="1:22">
      <c r="A274" t="s">
        <v>84</v>
      </c>
      <c r="B274" t="s">
        <v>67</v>
      </c>
      <c r="C274" t="s">
        <v>23</v>
      </c>
      <c r="D274" t="s">
        <v>96</v>
      </c>
      <c r="E274" t="s">
        <v>97</v>
      </c>
      <c r="F274" t="s">
        <v>70</v>
      </c>
      <c r="G274">
        <v>22142.355885528417</v>
      </c>
      <c r="H274">
        <v>0</v>
      </c>
      <c r="I274" t="s">
        <v>71</v>
      </c>
      <c r="J274" t="s">
        <v>72</v>
      </c>
      <c r="K274" s="144">
        <v>43300</v>
      </c>
      <c r="L274" t="s">
        <v>73</v>
      </c>
      <c r="M274" s="146">
        <v>43330</v>
      </c>
      <c r="N274" s="146">
        <v>43337</v>
      </c>
      <c r="O274" s="144">
        <v>43439</v>
      </c>
      <c r="P274" t="s">
        <v>71</v>
      </c>
      <c r="Q274" t="s">
        <v>98</v>
      </c>
      <c r="R274">
        <v>98720</v>
      </c>
      <c r="S274">
        <v>32.890599999999999</v>
      </c>
      <c r="T274">
        <v>13.334250000000001</v>
      </c>
      <c r="U274" t="s">
        <v>92</v>
      </c>
      <c r="V274">
        <v>139</v>
      </c>
    </row>
    <row r="275" spans="1:22">
      <c r="A275" t="s">
        <v>84</v>
      </c>
      <c r="B275" t="s">
        <v>67</v>
      </c>
      <c r="C275" t="s">
        <v>23</v>
      </c>
      <c r="D275" t="s">
        <v>96</v>
      </c>
      <c r="E275" t="s">
        <v>97</v>
      </c>
      <c r="F275" t="s">
        <v>70</v>
      </c>
      <c r="G275">
        <v>19728.066289608767</v>
      </c>
      <c r="H275">
        <v>0</v>
      </c>
      <c r="I275" t="s">
        <v>71</v>
      </c>
      <c r="J275" t="s">
        <v>72</v>
      </c>
      <c r="K275" s="144">
        <v>43300</v>
      </c>
      <c r="L275" t="s">
        <v>73</v>
      </c>
      <c r="M275" s="146">
        <v>43330</v>
      </c>
      <c r="N275" s="146">
        <v>43337</v>
      </c>
      <c r="O275" s="144">
        <v>43439</v>
      </c>
      <c r="P275" t="s">
        <v>71</v>
      </c>
      <c r="Q275" t="s">
        <v>98</v>
      </c>
      <c r="R275">
        <v>98720</v>
      </c>
      <c r="S275">
        <v>32.79374</v>
      </c>
      <c r="T275">
        <v>13.4407</v>
      </c>
      <c r="U275" t="s">
        <v>92</v>
      </c>
      <c r="V275">
        <v>139</v>
      </c>
    </row>
    <row r="276" spans="1:22">
      <c r="A276" t="s">
        <v>66</v>
      </c>
      <c r="B276" t="s">
        <v>67</v>
      </c>
      <c r="C276" t="s">
        <v>23</v>
      </c>
      <c r="D276" t="s">
        <v>4</v>
      </c>
      <c r="E276" t="s">
        <v>125</v>
      </c>
      <c r="F276" t="s">
        <v>70</v>
      </c>
      <c r="G276">
        <v>17457.661391367837</v>
      </c>
      <c r="H276">
        <v>14500.13926238515</v>
      </c>
      <c r="I276" t="s">
        <v>71</v>
      </c>
      <c r="J276" t="s">
        <v>72</v>
      </c>
      <c r="K276" s="144">
        <v>43494</v>
      </c>
      <c r="L276" t="s">
        <v>73</v>
      </c>
      <c r="M276" s="146"/>
      <c r="N276" s="146"/>
      <c r="O276" s="144">
        <v>44140</v>
      </c>
      <c r="P276" t="s">
        <v>71</v>
      </c>
      <c r="Q276" t="s">
        <v>126</v>
      </c>
      <c r="R276">
        <v>98720</v>
      </c>
      <c r="U276" t="s">
        <v>100</v>
      </c>
      <c r="V276">
        <v>646</v>
      </c>
    </row>
    <row r="277" spans="1:22">
      <c r="A277" t="s">
        <v>66</v>
      </c>
      <c r="B277" t="s">
        <v>67</v>
      </c>
      <c r="C277" t="s">
        <v>23</v>
      </c>
      <c r="D277" t="s">
        <v>4</v>
      </c>
      <c r="E277" t="s">
        <v>125</v>
      </c>
      <c r="F277" t="s">
        <v>70</v>
      </c>
      <c r="G277">
        <v>15787.867259942863</v>
      </c>
      <c r="H277">
        <v>13113.226840246658</v>
      </c>
      <c r="I277" t="s">
        <v>71</v>
      </c>
      <c r="J277" t="s">
        <v>72</v>
      </c>
      <c r="K277" s="144">
        <v>43494</v>
      </c>
      <c r="L277" t="s">
        <v>73</v>
      </c>
      <c r="M277" s="146"/>
      <c r="N277" s="146"/>
      <c r="O277" s="144">
        <v>44140</v>
      </c>
      <c r="P277" t="s">
        <v>71</v>
      </c>
      <c r="Q277" t="s">
        <v>126</v>
      </c>
      <c r="R277">
        <v>98720</v>
      </c>
      <c r="U277" t="s">
        <v>100</v>
      </c>
      <c r="V277">
        <v>646</v>
      </c>
    </row>
    <row r="278" spans="1:22">
      <c r="A278" t="s">
        <v>66</v>
      </c>
      <c r="B278" t="s">
        <v>67</v>
      </c>
      <c r="C278" t="s">
        <v>23</v>
      </c>
      <c r="D278" t="s">
        <v>4</v>
      </c>
      <c r="E278" t="s">
        <v>125</v>
      </c>
      <c r="F278" t="s">
        <v>70</v>
      </c>
      <c r="G278">
        <v>18753.162651254275</v>
      </c>
      <c r="H278">
        <v>15576.168190992805</v>
      </c>
      <c r="I278" t="s">
        <v>71</v>
      </c>
      <c r="J278" t="s">
        <v>72</v>
      </c>
      <c r="K278" s="144">
        <v>43494</v>
      </c>
      <c r="L278" t="s">
        <v>73</v>
      </c>
      <c r="M278" s="146"/>
      <c r="N278" s="146"/>
      <c r="O278" s="144">
        <v>44140</v>
      </c>
      <c r="P278" t="s">
        <v>71</v>
      </c>
      <c r="Q278" t="s">
        <v>126</v>
      </c>
      <c r="R278">
        <v>98720</v>
      </c>
      <c r="U278" t="s">
        <v>100</v>
      </c>
      <c r="V278">
        <v>646</v>
      </c>
    </row>
    <row r="279" spans="1:22">
      <c r="A279" t="s">
        <v>66</v>
      </c>
      <c r="B279" t="s">
        <v>67</v>
      </c>
      <c r="C279" t="s">
        <v>23</v>
      </c>
      <c r="D279" t="s">
        <v>4</v>
      </c>
      <c r="E279" t="s">
        <v>125</v>
      </c>
      <c r="F279" t="s">
        <v>70</v>
      </c>
      <c r="G279">
        <v>15739.414448270329</v>
      </c>
      <c r="H279">
        <v>13072.982474111039</v>
      </c>
      <c r="I279" t="s">
        <v>71</v>
      </c>
      <c r="J279" t="s">
        <v>72</v>
      </c>
      <c r="K279" s="144">
        <v>43494</v>
      </c>
      <c r="L279" t="s">
        <v>73</v>
      </c>
      <c r="M279" s="146"/>
      <c r="N279" s="146"/>
      <c r="O279" s="144">
        <v>44140</v>
      </c>
      <c r="P279" t="s">
        <v>71</v>
      </c>
      <c r="Q279" t="s">
        <v>126</v>
      </c>
      <c r="R279">
        <v>98720</v>
      </c>
      <c r="U279" t="s">
        <v>100</v>
      </c>
      <c r="V279">
        <v>646</v>
      </c>
    </row>
    <row r="280" spans="1:22">
      <c r="A280" t="s">
        <v>66</v>
      </c>
      <c r="B280" t="s">
        <v>67</v>
      </c>
      <c r="C280" t="s">
        <v>23</v>
      </c>
      <c r="D280" t="s">
        <v>4</v>
      </c>
      <c r="E280" t="s">
        <v>125</v>
      </c>
      <c r="F280" t="s">
        <v>70</v>
      </c>
      <c r="G280">
        <v>13084.894489883032</v>
      </c>
      <c r="H280">
        <v>10868.167739278975</v>
      </c>
      <c r="I280" t="s">
        <v>71</v>
      </c>
      <c r="J280" t="s">
        <v>72</v>
      </c>
      <c r="K280" s="144">
        <v>43494</v>
      </c>
      <c r="L280" t="s">
        <v>73</v>
      </c>
      <c r="M280" s="146"/>
      <c r="N280" s="146"/>
      <c r="O280" s="144">
        <v>44140</v>
      </c>
      <c r="P280" t="s">
        <v>71</v>
      </c>
      <c r="Q280" t="s">
        <v>126</v>
      </c>
      <c r="R280">
        <v>98720</v>
      </c>
      <c r="U280" t="s">
        <v>100</v>
      </c>
      <c r="V280">
        <v>646</v>
      </c>
    </row>
    <row r="281" spans="1:22">
      <c r="A281" t="s">
        <v>66</v>
      </c>
      <c r="B281" t="s">
        <v>118</v>
      </c>
      <c r="C281" t="s">
        <v>12</v>
      </c>
      <c r="D281" t="s">
        <v>112</v>
      </c>
      <c r="E281" t="s">
        <v>136</v>
      </c>
      <c r="F281" t="s">
        <v>162</v>
      </c>
      <c r="G281">
        <v>317229.62161347189</v>
      </c>
      <c r="H281">
        <v>254588.62581593113</v>
      </c>
      <c r="I281" t="s">
        <v>71</v>
      </c>
      <c r="J281" t="s">
        <v>72</v>
      </c>
      <c r="K281" s="144">
        <v>44007</v>
      </c>
      <c r="L281" t="s">
        <v>73</v>
      </c>
      <c r="M281" s="146"/>
      <c r="N281" s="146"/>
      <c r="O281" s="144">
        <v>44323</v>
      </c>
      <c r="P281" t="s">
        <v>71</v>
      </c>
      <c r="Q281" t="s">
        <v>137</v>
      </c>
      <c r="R281">
        <v>112158</v>
      </c>
      <c r="U281" t="s">
        <v>95</v>
      </c>
      <c r="V281">
        <v>316</v>
      </c>
    </row>
    <row r="282" spans="1:22">
      <c r="A282" t="s">
        <v>66</v>
      </c>
      <c r="B282" t="s">
        <v>118</v>
      </c>
      <c r="C282" t="s">
        <v>12</v>
      </c>
      <c r="D282" t="s">
        <v>68</v>
      </c>
      <c r="E282" t="s">
        <v>69</v>
      </c>
      <c r="F282" t="s">
        <v>162</v>
      </c>
      <c r="G282">
        <v>73765.735504356388</v>
      </c>
      <c r="H282">
        <v>55611.642821524743</v>
      </c>
      <c r="I282" t="s">
        <v>71</v>
      </c>
      <c r="J282" t="s">
        <v>72</v>
      </c>
      <c r="K282" s="144">
        <v>43984</v>
      </c>
      <c r="L282" t="s">
        <v>73</v>
      </c>
      <c r="M282" s="146"/>
      <c r="N282" s="146"/>
      <c r="O282" s="144">
        <v>44358</v>
      </c>
      <c r="P282" t="s">
        <v>71</v>
      </c>
      <c r="Q282" t="s">
        <v>74</v>
      </c>
      <c r="R282">
        <v>112158</v>
      </c>
      <c r="U282" t="s">
        <v>92</v>
      </c>
      <c r="V282">
        <v>374</v>
      </c>
    </row>
    <row r="283" spans="1:22">
      <c r="A283" t="s">
        <v>84</v>
      </c>
      <c r="B283" t="s">
        <v>67</v>
      </c>
      <c r="C283" t="s">
        <v>13</v>
      </c>
      <c r="D283" t="s">
        <v>96</v>
      </c>
      <c r="E283" t="s">
        <v>146</v>
      </c>
      <c r="F283" t="s">
        <v>163</v>
      </c>
      <c r="G283">
        <v>114678.12236563282</v>
      </c>
      <c r="H283">
        <v>0</v>
      </c>
      <c r="I283" t="s">
        <v>71</v>
      </c>
      <c r="K283" s="144"/>
      <c r="M283" s="146"/>
      <c r="N283" s="146"/>
      <c r="O283" s="144"/>
      <c r="P283" t="s">
        <v>76</v>
      </c>
      <c r="Q283" t="s">
        <v>147</v>
      </c>
    </row>
    <row r="284" spans="1:22">
      <c r="A284" t="s">
        <v>84</v>
      </c>
      <c r="B284" t="s">
        <v>67</v>
      </c>
      <c r="C284" t="s">
        <v>13</v>
      </c>
      <c r="D284" t="s">
        <v>96</v>
      </c>
      <c r="E284" t="s">
        <v>146</v>
      </c>
      <c r="F284" t="s">
        <v>163</v>
      </c>
      <c r="G284">
        <v>153942.0277644009</v>
      </c>
      <c r="H284">
        <v>0</v>
      </c>
      <c r="I284" t="s">
        <v>71</v>
      </c>
      <c r="K284" s="144"/>
      <c r="M284" s="146"/>
      <c r="N284" s="146"/>
      <c r="O284" s="144"/>
      <c r="P284" t="s">
        <v>76</v>
      </c>
      <c r="Q284" t="s">
        <v>147</v>
      </c>
    </row>
    <row r="285" spans="1:22">
      <c r="A285" t="s">
        <v>84</v>
      </c>
      <c r="B285" t="s">
        <v>67</v>
      </c>
      <c r="C285" t="s">
        <v>13</v>
      </c>
      <c r="D285" t="s">
        <v>96</v>
      </c>
      <c r="E285" t="s">
        <v>146</v>
      </c>
      <c r="F285" t="s">
        <v>163</v>
      </c>
      <c r="G285">
        <v>209612.58582792885</v>
      </c>
      <c r="H285">
        <v>0</v>
      </c>
      <c r="I285" t="s">
        <v>71</v>
      </c>
      <c r="K285" s="144"/>
      <c r="M285" s="146"/>
      <c r="N285" s="146"/>
      <c r="O285" s="144"/>
      <c r="P285" t="s">
        <v>76</v>
      </c>
      <c r="Q285" t="s">
        <v>147</v>
      </c>
      <c r="S285">
        <v>31.744145</v>
      </c>
      <c r="T285">
        <v>14.009214999999999</v>
      </c>
    </row>
    <row r="286" spans="1:22">
      <c r="A286" t="s">
        <v>84</v>
      </c>
      <c r="B286" t="s">
        <v>67</v>
      </c>
      <c r="C286" t="s">
        <v>13</v>
      </c>
      <c r="D286" t="s">
        <v>96</v>
      </c>
      <c r="E286" t="s">
        <v>146</v>
      </c>
      <c r="F286" t="s">
        <v>163</v>
      </c>
      <c r="G286">
        <v>69950.879837153625</v>
      </c>
      <c r="H286">
        <v>69950.879837153625</v>
      </c>
      <c r="I286" t="s">
        <v>71</v>
      </c>
      <c r="J286" t="s">
        <v>72</v>
      </c>
      <c r="K286" s="144">
        <v>44280</v>
      </c>
      <c r="L286" t="s">
        <v>73</v>
      </c>
      <c r="M286" s="146">
        <v>44357</v>
      </c>
      <c r="N286" s="146">
        <v>44367</v>
      </c>
      <c r="O286" s="144">
        <v>44473</v>
      </c>
      <c r="P286" t="s">
        <v>71</v>
      </c>
      <c r="Q286" t="s">
        <v>147</v>
      </c>
      <c r="R286">
        <v>122619</v>
      </c>
      <c r="S286">
        <v>31.757287000000002</v>
      </c>
      <c r="T286">
        <v>14.0259</v>
      </c>
      <c r="U286" t="s">
        <v>10</v>
      </c>
      <c r="V286">
        <v>193</v>
      </c>
    </row>
    <row r="287" spans="1:22">
      <c r="A287" t="s">
        <v>66</v>
      </c>
      <c r="B287" t="s">
        <v>67</v>
      </c>
      <c r="C287" t="s">
        <v>13</v>
      </c>
      <c r="D287" t="s">
        <v>122</v>
      </c>
      <c r="E287" t="s">
        <v>144</v>
      </c>
      <c r="F287" t="s">
        <v>163</v>
      </c>
      <c r="G287">
        <v>78551.551509131605</v>
      </c>
      <c r="H287">
        <v>78551.551509131605</v>
      </c>
      <c r="I287" t="s">
        <v>71</v>
      </c>
      <c r="J287" t="s">
        <v>72</v>
      </c>
      <c r="K287" s="144">
        <v>43754</v>
      </c>
      <c r="L287" t="s">
        <v>73</v>
      </c>
      <c r="M287" s="146"/>
      <c r="N287" s="146"/>
      <c r="O287" s="144">
        <v>43764</v>
      </c>
      <c r="P287" t="s">
        <v>71</v>
      </c>
      <c r="Q287" t="s">
        <v>164</v>
      </c>
      <c r="R287">
        <v>112158</v>
      </c>
      <c r="U287" t="s">
        <v>106</v>
      </c>
      <c r="V287">
        <v>10</v>
      </c>
    </row>
    <row r="288" spans="1:22">
      <c r="A288" t="s">
        <v>66</v>
      </c>
      <c r="B288" t="s">
        <v>67</v>
      </c>
      <c r="C288" t="s">
        <v>13</v>
      </c>
      <c r="D288" t="s">
        <v>81</v>
      </c>
      <c r="E288" t="s">
        <v>134</v>
      </c>
      <c r="F288" t="s">
        <v>163</v>
      </c>
      <c r="G288">
        <v>16823.436569994345</v>
      </c>
      <c r="H288">
        <v>16823.436569994345</v>
      </c>
      <c r="I288" t="s">
        <v>71</v>
      </c>
      <c r="J288" t="s">
        <v>72</v>
      </c>
      <c r="K288" s="144">
        <v>44311</v>
      </c>
      <c r="L288" t="s">
        <v>73</v>
      </c>
      <c r="M288" s="146"/>
      <c r="N288" s="146"/>
      <c r="O288" s="144">
        <v>44343</v>
      </c>
      <c r="P288" t="s">
        <v>71</v>
      </c>
      <c r="Q288" t="s">
        <v>111</v>
      </c>
      <c r="R288">
        <v>112158</v>
      </c>
      <c r="U288" t="s">
        <v>102</v>
      </c>
      <c r="V288">
        <v>32</v>
      </c>
    </row>
    <row r="289" spans="1:22">
      <c r="A289" t="s">
        <v>66</v>
      </c>
      <c r="B289" t="s">
        <v>118</v>
      </c>
      <c r="C289" t="s">
        <v>14</v>
      </c>
      <c r="D289" t="s">
        <v>81</v>
      </c>
      <c r="E289" t="s">
        <v>134</v>
      </c>
      <c r="F289" t="s">
        <v>163</v>
      </c>
      <c r="G289">
        <v>223663.75126164814</v>
      </c>
      <c r="H289">
        <v>192436.37381111077</v>
      </c>
      <c r="I289" t="s">
        <v>71</v>
      </c>
      <c r="J289" t="s">
        <v>72</v>
      </c>
      <c r="K289" s="144">
        <v>43723</v>
      </c>
      <c r="L289" t="s">
        <v>73</v>
      </c>
      <c r="M289" s="146"/>
      <c r="N289" s="146"/>
      <c r="O289" s="144">
        <v>44004</v>
      </c>
      <c r="P289" t="s">
        <v>71</v>
      </c>
      <c r="Q289" t="s">
        <v>135</v>
      </c>
      <c r="R289">
        <v>112158</v>
      </c>
      <c r="U289" t="s">
        <v>10</v>
      </c>
      <c r="V289">
        <v>281</v>
      </c>
    </row>
    <row r="290" spans="1:22">
      <c r="A290" t="s">
        <v>84</v>
      </c>
      <c r="B290" t="s">
        <v>118</v>
      </c>
      <c r="C290" t="s">
        <v>14</v>
      </c>
      <c r="D290" t="s">
        <v>4</v>
      </c>
      <c r="E290" t="s">
        <v>109</v>
      </c>
      <c r="F290" t="s">
        <v>163</v>
      </c>
      <c r="G290">
        <v>178772.96337166178</v>
      </c>
      <c r="H290">
        <v>178745.37578464407</v>
      </c>
      <c r="I290" t="s">
        <v>71</v>
      </c>
      <c r="J290" t="s">
        <v>72</v>
      </c>
      <c r="K290" s="144">
        <v>43957</v>
      </c>
      <c r="L290" t="s">
        <v>73</v>
      </c>
      <c r="M290" s="146">
        <v>43996</v>
      </c>
      <c r="N290" s="146">
        <v>44042</v>
      </c>
      <c r="O290" s="144">
        <v>44294</v>
      </c>
      <c r="P290" t="s">
        <v>71</v>
      </c>
      <c r="Q290" t="s">
        <v>110</v>
      </c>
      <c r="R290">
        <v>112158</v>
      </c>
      <c r="S290">
        <v>32.076917000000002</v>
      </c>
      <c r="T290">
        <v>20.092889</v>
      </c>
      <c r="U290" t="s">
        <v>100</v>
      </c>
      <c r="V290">
        <v>337</v>
      </c>
    </row>
    <row r="291" spans="1:22">
      <c r="A291" t="s">
        <v>84</v>
      </c>
      <c r="B291" t="s">
        <v>118</v>
      </c>
      <c r="C291" t="s">
        <v>14</v>
      </c>
      <c r="D291" t="s">
        <v>112</v>
      </c>
      <c r="E291" t="s">
        <v>119</v>
      </c>
      <c r="F291" t="s">
        <v>163</v>
      </c>
      <c r="G291">
        <v>71681.31254200956</v>
      </c>
      <c r="H291">
        <v>71681.31254200956</v>
      </c>
      <c r="I291" t="s">
        <v>71</v>
      </c>
      <c r="J291" t="s">
        <v>72</v>
      </c>
      <c r="K291" s="144">
        <v>44021</v>
      </c>
      <c r="L291" t="s">
        <v>73</v>
      </c>
      <c r="M291" s="146">
        <v>44032</v>
      </c>
      <c r="N291" s="146"/>
      <c r="O291" s="144">
        <v>44183</v>
      </c>
      <c r="P291" t="s">
        <v>71</v>
      </c>
      <c r="Q291" t="s">
        <v>120</v>
      </c>
      <c r="R291">
        <v>112158</v>
      </c>
      <c r="S291">
        <v>32.119151000000002</v>
      </c>
      <c r="T291">
        <v>20.059695000000001</v>
      </c>
      <c r="U291" t="s">
        <v>95</v>
      </c>
      <c r="V291">
        <v>162</v>
      </c>
    </row>
    <row r="292" spans="1:22">
      <c r="A292" t="s">
        <v>84</v>
      </c>
      <c r="B292" t="s">
        <v>118</v>
      </c>
      <c r="C292" t="s">
        <v>14</v>
      </c>
      <c r="D292" t="s">
        <v>96</v>
      </c>
      <c r="E292" t="s">
        <v>97</v>
      </c>
      <c r="F292" t="s">
        <v>163</v>
      </c>
      <c r="G292">
        <v>96613.862659595019</v>
      </c>
      <c r="H292">
        <v>96598.54757474472</v>
      </c>
      <c r="I292" t="s">
        <v>71</v>
      </c>
      <c r="J292" t="s">
        <v>72</v>
      </c>
      <c r="K292" s="144">
        <v>43817</v>
      </c>
      <c r="L292" t="s">
        <v>73</v>
      </c>
      <c r="M292" s="146">
        <v>43822</v>
      </c>
      <c r="N292" s="146"/>
      <c r="O292" s="144">
        <v>44032</v>
      </c>
      <c r="P292" t="s">
        <v>71</v>
      </c>
      <c r="Q292" t="s">
        <v>98</v>
      </c>
      <c r="R292">
        <v>112158</v>
      </c>
      <c r="S292">
        <v>32.115417000000001</v>
      </c>
      <c r="T292">
        <v>20.064722</v>
      </c>
      <c r="U292" t="s">
        <v>95</v>
      </c>
      <c r="V292">
        <v>215</v>
      </c>
    </row>
    <row r="293" spans="1:22">
      <c r="A293" t="s">
        <v>84</v>
      </c>
      <c r="B293" t="s">
        <v>118</v>
      </c>
      <c r="C293" t="s">
        <v>14</v>
      </c>
      <c r="D293" t="s">
        <v>96</v>
      </c>
      <c r="E293" t="s">
        <v>97</v>
      </c>
      <c r="F293" t="s">
        <v>163</v>
      </c>
      <c r="G293">
        <v>103199.24866404686</v>
      </c>
      <c r="H293">
        <v>102696.25008614082</v>
      </c>
      <c r="I293" t="s">
        <v>71</v>
      </c>
      <c r="J293" t="s">
        <v>72</v>
      </c>
      <c r="K293" s="144">
        <v>44000</v>
      </c>
      <c r="L293" t="s">
        <v>73</v>
      </c>
      <c r="M293" s="146">
        <v>44039</v>
      </c>
      <c r="N293" s="146"/>
      <c r="O293" s="144">
        <v>44118</v>
      </c>
      <c r="P293" t="s">
        <v>71</v>
      </c>
      <c r="Q293" t="s">
        <v>98</v>
      </c>
      <c r="R293">
        <v>112158</v>
      </c>
      <c r="S293">
        <v>32.143917000000002</v>
      </c>
      <c r="T293">
        <v>20.086722000000002</v>
      </c>
      <c r="U293" t="s">
        <v>94</v>
      </c>
      <c r="V293">
        <v>118</v>
      </c>
    </row>
    <row r="294" spans="1:22">
      <c r="A294" t="s">
        <v>84</v>
      </c>
      <c r="B294" t="s">
        <v>118</v>
      </c>
      <c r="C294" t="s">
        <v>14</v>
      </c>
      <c r="D294" t="s">
        <v>122</v>
      </c>
      <c r="E294" t="s">
        <v>132</v>
      </c>
      <c r="F294" t="s">
        <v>163</v>
      </c>
      <c r="G294">
        <v>818666.92989975319</v>
      </c>
      <c r="H294">
        <v>818666.92989975319</v>
      </c>
      <c r="I294" t="s">
        <v>71</v>
      </c>
      <c r="J294" t="s">
        <v>72</v>
      </c>
      <c r="K294" s="144">
        <v>43839</v>
      </c>
      <c r="L294" t="s">
        <v>73</v>
      </c>
      <c r="M294" s="146">
        <v>44011</v>
      </c>
      <c r="N294" s="146">
        <v>44059</v>
      </c>
      <c r="O294" s="144">
        <v>44357</v>
      </c>
      <c r="P294" t="s">
        <v>71</v>
      </c>
      <c r="Q294" t="s">
        <v>133</v>
      </c>
      <c r="R294">
        <v>112158</v>
      </c>
      <c r="U294" t="s">
        <v>95</v>
      </c>
      <c r="V294">
        <v>518</v>
      </c>
    </row>
    <row r="295" spans="1:22">
      <c r="A295" t="s">
        <v>84</v>
      </c>
      <c r="B295" t="s">
        <v>118</v>
      </c>
      <c r="C295" t="s">
        <v>14</v>
      </c>
      <c r="D295" t="s">
        <v>112</v>
      </c>
      <c r="E295" t="s">
        <v>119</v>
      </c>
      <c r="F295" t="s">
        <v>163</v>
      </c>
      <c r="G295">
        <v>264169.78245034296</v>
      </c>
      <c r="H295">
        <v>264137.23780999659</v>
      </c>
      <c r="I295" t="s">
        <v>71</v>
      </c>
      <c r="J295" t="s">
        <v>72</v>
      </c>
      <c r="K295" s="144">
        <v>44065</v>
      </c>
      <c r="L295" t="s">
        <v>73</v>
      </c>
      <c r="M295" s="146"/>
      <c r="N295" s="146">
        <v>44153</v>
      </c>
      <c r="O295" s="144">
        <v>44296</v>
      </c>
      <c r="P295" t="s">
        <v>71</v>
      </c>
      <c r="Q295" t="s">
        <v>120</v>
      </c>
      <c r="R295">
        <v>112158</v>
      </c>
      <c r="S295">
        <v>32.118155000000002</v>
      </c>
      <c r="T295">
        <v>20.057811000000001</v>
      </c>
      <c r="U295" t="s">
        <v>100</v>
      </c>
      <c r="V295">
        <v>231</v>
      </c>
    </row>
    <row r="296" spans="1:22">
      <c r="A296" t="s">
        <v>84</v>
      </c>
      <c r="B296" t="s">
        <v>118</v>
      </c>
      <c r="C296" t="s">
        <v>14</v>
      </c>
      <c r="D296" t="s">
        <v>4</v>
      </c>
      <c r="E296" t="s">
        <v>85</v>
      </c>
      <c r="F296" t="s">
        <v>163</v>
      </c>
      <c r="G296">
        <v>30429.825663468087</v>
      </c>
      <c r="H296">
        <v>30429.825663468087</v>
      </c>
      <c r="I296" t="s">
        <v>71</v>
      </c>
      <c r="J296" t="s">
        <v>72</v>
      </c>
      <c r="K296" s="144">
        <v>44170</v>
      </c>
      <c r="L296" t="s">
        <v>73</v>
      </c>
      <c r="M296" s="146">
        <v>44175</v>
      </c>
      <c r="N296" s="146"/>
      <c r="O296" s="144">
        <v>44238</v>
      </c>
      <c r="P296" t="s">
        <v>71</v>
      </c>
      <c r="Q296" t="s">
        <v>86</v>
      </c>
      <c r="R296">
        <v>98720</v>
      </c>
      <c r="U296" t="s">
        <v>89</v>
      </c>
      <c r="V296">
        <v>68</v>
      </c>
    </row>
    <row r="297" spans="1:22">
      <c r="A297" t="s">
        <v>84</v>
      </c>
      <c r="B297" t="s">
        <v>118</v>
      </c>
      <c r="C297" t="s">
        <v>14</v>
      </c>
      <c r="D297" t="s">
        <v>122</v>
      </c>
      <c r="E297" t="s">
        <v>123</v>
      </c>
      <c r="F297" t="s">
        <v>163</v>
      </c>
      <c r="G297">
        <v>64118.036389245215</v>
      </c>
      <c r="H297">
        <v>64118.036389245215</v>
      </c>
      <c r="I297" t="s">
        <v>71</v>
      </c>
      <c r="J297" t="s">
        <v>72</v>
      </c>
      <c r="K297" s="144">
        <v>44373</v>
      </c>
      <c r="L297" t="s">
        <v>73</v>
      </c>
      <c r="M297" s="146"/>
      <c r="N297" s="146">
        <v>44405</v>
      </c>
      <c r="O297" s="144">
        <v>44528</v>
      </c>
      <c r="P297" t="s">
        <v>71</v>
      </c>
      <c r="Q297" t="s">
        <v>124</v>
      </c>
      <c r="R297">
        <v>112158</v>
      </c>
      <c r="S297">
        <v>32.036241480000001</v>
      </c>
      <c r="T297">
        <v>20.044029139999999</v>
      </c>
      <c r="U297" t="s">
        <v>161</v>
      </c>
      <c r="V297">
        <v>155</v>
      </c>
    </row>
    <row r="298" spans="1:22">
      <c r="A298" t="s">
        <v>66</v>
      </c>
      <c r="B298" t="s">
        <v>118</v>
      </c>
      <c r="C298" t="s">
        <v>15</v>
      </c>
      <c r="D298" t="s">
        <v>4</v>
      </c>
      <c r="E298" t="s">
        <v>90</v>
      </c>
      <c r="F298" t="s">
        <v>162</v>
      </c>
      <c r="G298">
        <v>106921.78891122296</v>
      </c>
      <c r="H298">
        <v>94675.608176292793</v>
      </c>
      <c r="I298" t="s">
        <v>71</v>
      </c>
      <c r="J298" t="s">
        <v>72</v>
      </c>
      <c r="K298" s="144">
        <v>43851</v>
      </c>
      <c r="L298" t="s">
        <v>73</v>
      </c>
      <c r="M298" s="146"/>
      <c r="N298" s="146"/>
      <c r="O298" s="144">
        <v>44110</v>
      </c>
      <c r="P298" t="s">
        <v>71</v>
      </c>
      <c r="Q298" t="s">
        <v>91</v>
      </c>
      <c r="R298">
        <v>112158</v>
      </c>
      <c r="U298" t="s">
        <v>95</v>
      </c>
      <c r="V298">
        <v>259</v>
      </c>
    </row>
    <row r="299" spans="1:22">
      <c r="A299" t="s">
        <v>66</v>
      </c>
      <c r="B299" t="s">
        <v>118</v>
      </c>
      <c r="C299" t="s">
        <v>15</v>
      </c>
      <c r="D299" t="s">
        <v>68</v>
      </c>
      <c r="E299" t="s">
        <v>69</v>
      </c>
      <c r="F299" t="s">
        <v>162</v>
      </c>
      <c r="G299">
        <v>196928.78571960318</v>
      </c>
      <c r="H299">
        <v>148463.69005658987</v>
      </c>
      <c r="I299" t="s">
        <v>71</v>
      </c>
      <c r="J299" t="s">
        <v>72</v>
      </c>
      <c r="K299" s="144">
        <v>43984</v>
      </c>
      <c r="L299" t="s">
        <v>73</v>
      </c>
      <c r="M299" s="146"/>
      <c r="N299" s="146"/>
      <c r="O299" s="144">
        <v>44358</v>
      </c>
      <c r="P299" t="s">
        <v>71</v>
      </c>
      <c r="Q299" t="s">
        <v>74</v>
      </c>
      <c r="R299">
        <v>112158</v>
      </c>
      <c r="U299" t="s">
        <v>92</v>
      </c>
      <c r="V299">
        <v>374</v>
      </c>
    </row>
    <row r="300" spans="1:22">
      <c r="A300" t="s">
        <v>66</v>
      </c>
      <c r="B300" t="s">
        <v>118</v>
      </c>
      <c r="C300" t="s">
        <v>15</v>
      </c>
      <c r="D300" t="s">
        <v>112</v>
      </c>
      <c r="E300" t="s">
        <v>136</v>
      </c>
      <c r="F300" t="s">
        <v>162</v>
      </c>
      <c r="G300">
        <v>293705.4519690579</v>
      </c>
      <c r="H300">
        <v>235709.60060771939</v>
      </c>
      <c r="I300" t="s">
        <v>71</v>
      </c>
      <c r="J300" t="s">
        <v>72</v>
      </c>
      <c r="K300" s="144">
        <v>44007</v>
      </c>
      <c r="L300" t="s">
        <v>73</v>
      </c>
      <c r="M300" s="146"/>
      <c r="N300" s="146"/>
      <c r="O300" s="144">
        <v>44323</v>
      </c>
      <c r="P300" t="s">
        <v>71</v>
      </c>
      <c r="Q300" t="s">
        <v>137</v>
      </c>
      <c r="R300">
        <v>112158</v>
      </c>
      <c r="U300" t="s">
        <v>95</v>
      </c>
      <c r="V300">
        <v>316</v>
      </c>
    </row>
    <row r="301" spans="1:22">
      <c r="A301" t="s">
        <v>66</v>
      </c>
      <c r="B301" t="s">
        <v>118</v>
      </c>
      <c r="C301" t="s">
        <v>15</v>
      </c>
      <c r="D301" t="s">
        <v>81</v>
      </c>
      <c r="E301" t="s">
        <v>113</v>
      </c>
      <c r="F301" t="s">
        <v>162</v>
      </c>
      <c r="G301">
        <v>71783.943384292215</v>
      </c>
      <c r="H301">
        <v>59860.247955647887</v>
      </c>
      <c r="I301" t="s">
        <v>71</v>
      </c>
      <c r="J301" t="s">
        <v>72</v>
      </c>
      <c r="K301" s="144">
        <v>44007</v>
      </c>
      <c r="L301" t="s">
        <v>73</v>
      </c>
      <c r="M301" s="146"/>
      <c r="N301" s="146"/>
      <c r="O301" s="144">
        <v>44181</v>
      </c>
      <c r="P301" t="s">
        <v>71</v>
      </c>
      <c r="Q301" t="s">
        <v>114</v>
      </c>
      <c r="R301">
        <v>98720</v>
      </c>
      <c r="U301" t="s">
        <v>89</v>
      </c>
      <c r="V301">
        <v>174</v>
      </c>
    </row>
    <row r="302" spans="1:22">
      <c r="A302" t="s">
        <v>66</v>
      </c>
      <c r="B302" t="s">
        <v>118</v>
      </c>
      <c r="C302" t="s">
        <v>15</v>
      </c>
      <c r="D302" t="s">
        <v>4</v>
      </c>
      <c r="E302" t="s">
        <v>107</v>
      </c>
      <c r="F302" t="s">
        <v>162</v>
      </c>
      <c r="G302">
        <v>102649.1586881384</v>
      </c>
      <c r="H302">
        <v>38058.258875899781</v>
      </c>
      <c r="I302" t="s">
        <v>71</v>
      </c>
      <c r="J302" t="s">
        <v>72</v>
      </c>
      <c r="K302" s="144">
        <v>44007</v>
      </c>
      <c r="L302" t="s">
        <v>73</v>
      </c>
      <c r="M302" s="146"/>
      <c r="N302" s="146"/>
      <c r="O302" s="144">
        <v>44224</v>
      </c>
      <c r="P302" t="s">
        <v>71</v>
      </c>
      <c r="Q302" t="s">
        <v>105</v>
      </c>
      <c r="R302">
        <v>121748</v>
      </c>
      <c r="U302" t="s">
        <v>94</v>
      </c>
      <c r="V302">
        <v>217</v>
      </c>
    </row>
    <row r="303" spans="1:22">
      <c r="A303" t="s">
        <v>66</v>
      </c>
      <c r="B303" t="s">
        <v>118</v>
      </c>
      <c r="C303" t="s">
        <v>15</v>
      </c>
      <c r="D303" t="s">
        <v>81</v>
      </c>
      <c r="E303" t="s">
        <v>115</v>
      </c>
      <c r="F303" t="s">
        <v>162</v>
      </c>
      <c r="G303">
        <v>46922.936759543067</v>
      </c>
      <c r="H303">
        <v>41332.765996719951</v>
      </c>
      <c r="I303" t="s">
        <v>71</v>
      </c>
      <c r="J303" t="s">
        <v>72</v>
      </c>
      <c r="K303" s="144">
        <v>44299</v>
      </c>
      <c r="L303" t="s">
        <v>73</v>
      </c>
      <c r="M303" s="146"/>
      <c r="N303" s="146"/>
      <c r="O303" s="144">
        <v>44508</v>
      </c>
      <c r="P303" t="s">
        <v>71</v>
      </c>
      <c r="Q303" t="s">
        <v>111</v>
      </c>
      <c r="R303">
        <v>112158</v>
      </c>
      <c r="S303">
        <v>32.751951300000002</v>
      </c>
      <c r="T303">
        <v>22.640651999999999</v>
      </c>
      <c r="U303" t="s">
        <v>102</v>
      </c>
      <c r="V303">
        <v>209</v>
      </c>
    </row>
    <row r="304" spans="1:22">
      <c r="A304" t="s">
        <v>84</v>
      </c>
      <c r="B304" t="s">
        <v>118</v>
      </c>
      <c r="C304" t="s">
        <v>15</v>
      </c>
      <c r="D304" t="s">
        <v>112</v>
      </c>
      <c r="E304" t="s">
        <v>160</v>
      </c>
      <c r="F304" t="s">
        <v>162</v>
      </c>
      <c r="G304">
        <v>134233.8130461463</v>
      </c>
      <c r="H304">
        <v>0</v>
      </c>
      <c r="I304" t="s">
        <v>71</v>
      </c>
      <c r="J304" t="s">
        <v>72</v>
      </c>
      <c r="K304" s="144">
        <v>44734</v>
      </c>
      <c r="M304" s="146"/>
      <c r="N304" s="146"/>
      <c r="O304" s="144"/>
      <c r="P304" t="s">
        <v>165</v>
      </c>
      <c r="Q304" t="s">
        <v>120</v>
      </c>
      <c r="R304">
        <v>127766</v>
      </c>
      <c r="U304" t="s">
        <v>94</v>
      </c>
    </row>
    <row r="305" spans="1:22">
      <c r="A305" t="s">
        <v>84</v>
      </c>
      <c r="B305" t="s">
        <v>118</v>
      </c>
      <c r="C305" t="s">
        <v>15</v>
      </c>
      <c r="D305" t="s">
        <v>96</v>
      </c>
      <c r="E305" t="s">
        <v>97</v>
      </c>
      <c r="F305" t="s">
        <v>162</v>
      </c>
      <c r="G305">
        <v>87330.12851727067</v>
      </c>
      <c r="H305">
        <v>78586.938588797144</v>
      </c>
      <c r="I305" t="s">
        <v>71</v>
      </c>
      <c r="J305" t="s">
        <v>72</v>
      </c>
      <c r="K305" s="144">
        <v>44192</v>
      </c>
      <c r="L305" t="s">
        <v>73</v>
      </c>
      <c r="M305" s="146">
        <v>44221</v>
      </c>
      <c r="N305" s="146">
        <v>44247</v>
      </c>
      <c r="O305" s="144">
        <v>44391</v>
      </c>
      <c r="P305" t="s">
        <v>71</v>
      </c>
      <c r="Q305" t="s">
        <v>98</v>
      </c>
      <c r="R305">
        <v>112158</v>
      </c>
      <c r="U305" t="s">
        <v>161</v>
      </c>
      <c r="V305">
        <v>199</v>
      </c>
    </row>
    <row r="306" spans="1:22">
      <c r="A306" t="s">
        <v>66</v>
      </c>
      <c r="B306" t="s">
        <v>148</v>
      </c>
      <c r="C306" t="s">
        <v>16</v>
      </c>
      <c r="D306" t="s">
        <v>81</v>
      </c>
      <c r="E306" t="s">
        <v>82</v>
      </c>
      <c r="F306" t="s">
        <v>162</v>
      </c>
      <c r="G306">
        <v>363592.61379553337</v>
      </c>
      <c r="H306">
        <v>325946.04957098461</v>
      </c>
      <c r="I306" t="s">
        <v>71</v>
      </c>
      <c r="J306" t="s">
        <v>72</v>
      </c>
      <c r="K306" s="144">
        <v>43669</v>
      </c>
      <c r="L306" t="s">
        <v>73</v>
      </c>
      <c r="M306" s="146"/>
      <c r="N306" s="146"/>
      <c r="O306" s="144">
        <v>44147</v>
      </c>
      <c r="P306" t="s">
        <v>71</v>
      </c>
      <c r="Q306" t="s">
        <v>83</v>
      </c>
      <c r="R306">
        <v>112158</v>
      </c>
      <c r="S306">
        <v>24.958311111111112</v>
      </c>
      <c r="T306">
        <v>10.175558333333333</v>
      </c>
      <c r="U306" t="s">
        <v>94</v>
      </c>
      <c r="V306">
        <v>478</v>
      </c>
    </row>
    <row r="307" spans="1:22">
      <c r="A307" t="s">
        <v>66</v>
      </c>
      <c r="B307" t="s">
        <v>148</v>
      </c>
      <c r="C307" t="s">
        <v>16</v>
      </c>
      <c r="D307" t="s">
        <v>81</v>
      </c>
      <c r="E307" t="s">
        <v>82</v>
      </c>
      <c r="F307" t="s">
        <v>162</v>
      </c>
      <c r="G307">
        <v>374792.9015277173</v>
      </c>
      <c r="H307">
        <v>359748.23458418995</v>
      </c>
      <c r="I307" t="s">
        <v>71</v>
      </c>
      <c r="J307" t="s">
        <v>72</v>
      </c>
      <c r="K307" s="144">
        <v>43664</v>
      </c>
      <c r="L307" t="s">
        <v>73</v>
      </c>
      <c r="M307" s="146"/>
      <c r="N307" s="146"/>
      <c r="O307" s="144">
        <v>44026</v>
      </c>
      <c r="P307" t="s">
        <v>71</v>
      </c>
      <c r="Q307" t="s">
        <v>166</v>
      </c>
      <c r="R307">
        <v>112158</v>
      </c>
      <c r="S307">
        <v>24.958311111111112</v>
      </c>
      <c r="T307">
        <v>10.175558333333333</v>
      </c>
      <c r="U307" t="s">
        <v>95</v>
      </c>
      <c r="V307">
        <v>362</v>
      </c>
    </row>
    <row r="308" spans="1:22">
      <c r="A308" t="s">
        <v>66</v>
      </c>
      <c r="B308" t="s">
        <v>148</v>
      </c>
      <c r="C308" t="s">
        <v>16</v>
      </c>
      <c r="D308" t="s">
        <v>81</v>
      </c>
      <c r="E308" t="s">
        <v>129</v>
      </c>
      <c r="F308" t="s">
        <v>162</v>
      </c>
      <c r="G308">
        <v>201029.20987053539</v>
      </c>
      <c r="H308">
        <v>197214.49271966465</v>
      </c>
      <c r="I308" t="s">
        <v>71</v>
      </c>
      <c r="J308" t="s">
        <v>72</v>
      </c>
      <c r="K308" s="144">
        <v>43671</v>
      </c>
      <c r="L308" t="s">
        <v>73</v>
      </c>
      <c r="M308" s="146"/>
      <c r="N308" s="146"/>
      <c r="O308" s="144">
        <v>43817</v>
      </c>
      <c r="P308" t="s">
        <v>71</v>
      </c>
      <c r="Q308" t="s">
        <v>130</v>
      </c>
      <c r="R308">
        <v>112158</v>
      </c>
      <c r="S308">
        <v>24.958311111111112</v>
      </c>
      <c r="T308">
        <v>10.175558333333333</v>
      </c>
      <c r="U308" t="s">
        <v>106</v>
      </c>
      <c r="V308">
        <v>146</v>
      </c>
    </row>
    <row r="309" spans="1:22">
      <c r="A309" t="s">
        <v>66</v>
      </c>
      <c r="B309" t="s">
        <v>148</v>
      </c>
      <c r="C309" t="s">
        <v>16</v>
      </c>
      <c r="D309" t="s">
        <v>81</v>
      </c>
      <c r="E309" t="s">
        <v>113</v>
      </c>
      <c r="F309" t="s">
        <v>162</v>
      </c>
      <c r="G309">
        <v>97158.619482239461</v>
      </c>
      <c r="H309">
        <v>87511.67191516624</v>
      </c>
      <c r="I309" t="s">
        <v>71</v>
      </c>
      <c r="J309" t="s">
        <v>72</v>
      </c>
      <c r="K309" s="144">
        <v>43669</v>
      </c>
      <c r="L309" t="s">
        <v>73</v>
      </c>
      <c r="M309" s="146"/>
      <c r="N309" s="146"/>
      <c r="O309" s="144">
        <v>43908</v>
      </c>
      <c r="P309" t="s">
        <v>71</v>
      </c>
      <c r="Q309" t="s">
        <v>114</v>
      </c>
      <c r="R309">
        <v>112158</v>
      </c>
      <c r="S309">
        <v>24.975233333333332</v>
      </c>
      <c r="T309">
        <v>10.184888888888889</v>
      </c>
      <c r="U309" t="s">
        <v>10</v>
      </c>
      <c r="V309">
        <v>239</v>
      </c>
    </row>
    <row r="310" spans="1:22">
      <c r="A310" t="s">
        <v>66</v>
      </c>
      <c r="B310" t="s">
        <v>148</v>
      </c>
      <c r="C310" t="s">
        <v>16</v>
      </c>
      <c r="D310" t="s">
        <v>81</v>
      </c>
      <c r="E310" t="s">
        <v>107</v>
      </c>
      <c r="F310" t="s">
        <v>162</v>
      </c>
      <c r="G310">
        <v>172731.44414143253</v>
      </c>
      <c r="H310">
        <v>172934.26904145291</v>
      </c>
      <c r="I310" t="s">
        <v>71</v>
      </c>
      <c r="J310" t="s">
        <v>72</v>
      </c>
      <c r="K310" s="144">
        <v>43656</v>
      </c>
      <c r="L310" t="s">
        <v>73</v>
      </c>
      <c r="M310" s="146"/>
      <c r="N310" s="146"/>
      <c r="O310" s="144">
        <v>43906</v>
      </c>
      <c r="P310" t="s">
        <v>71</v>
      </c>
      <c r="Q310" t="s">
        <v>108</v>
      </c>
      <c r="R310">
        <v>112158</v>
      </c>
      <c r="S310" t="s">
        <v>167</v>
      </c>
      <c r="T310" t="s">
        <v>168</v>
      </c>
      <c r="U310" t="s">
        <v>95</v>
      </c>
      <c r="V310">
        <v>250</v>
      </c>
    </row>
    <row r="311" spans="1:22">
      <c r="A311" t="s">
        <v>66</v>
      </c>
      <c r="B311" t="s">
        <v>148</v>
      </c>
      <c r="C311" t="s">
        <v>16</v>
      </c>
      <c r="D311" t="s">
        <v>81</v>
      </c>
      <c r="E311" t="s">
        <v>134</v>
      </c>
      <c r="F311" t="s">
        <v>162</v>
      </c>
      <c r="G311">
        <v>55961.61058574175</v>
      </c>
      <c r="H311">
        <v>40306.270636521855</v>
      </c>
      <c r="I311" t="s">
        <v>71</v>
      </c>
      <c r="J311" t="s">
        <v>72</v>
      </c>
      <c r="K311" s="144">
        <v>43755</v>
      </c>
      <c r="L311" t="s">
        <v>73</v>
      </c>
      <c r="M311" s="146"/>
      <c r="N311" s="146"/>
      <c r="O311" s="144">
        <v>43996</v>
      </c>
      <c r="P311" t="s">
        <v>71</v>
      </c>
      <c r="Q311" t="s">
        <v>135</v>
      </c>
      <c r="R311">
        <v>112158</v>
      </c>
      <c r="S311" t="s">
        <v>169</v>
      </c>
      <c r="T311" t="s">
        <v>170</v>
      </c>
      <c r="U311" t="s">
        <v>10</v>
      </c>
      <c r="V311">
        <v>241</v>
      </c>
    </row>
    <row r="312" spans="1:22">
      <c r="A312" t="s">
        <v>66</v>
      </c>
      <c r="B312" t="s">
        <v>148</v>
      </c>
      <c r="C312" t="s">
        <v>16</v>
      </c>
      <c r="D312" t="s">
        <v>81</v>
      </c>
      <c r="E312" t="s">
        <v>115</v>
      </c>
      <c r="F312" t="s">
        <v>162</v>
      </c>
      <c r="G312">
        <v>27783.914004752005</v>
      </c>
      <c r="H312">
        <v>15823.082638499078</v>
      </c>
      <c r="I312" t="s">
        <v>71</v>
      </c>
      <c r="J312" t="s">
        <v>72</v>
      </c>
      <c r="K312" s="144">
        <v>43754</v>
      </c>
      <c r="L312" t="s">
        <v>73</v>
      </c>
      <c r="M312" s="146"/>
      <c r="N312" s="146"/>
      <c r="O312" s="144">
        <v>43996</v>
      </c>
      <c r="P312" t="s">
        <v>71</v>
      </c>
      <c r="Q312" t="s">
        <v>111</v>
      </c>
      <c r="R312">
        <v>112158</v>
      </c>
      <c r="S312">
        <v>24.973083333333332</v>
      </c>
      <c r="T312">
        <v>10.184699999999999</v>
      </c>
      <c r="U312" t="s">
        <v>95</v>
      </c>
      <c r="V312">
        <v>242</v>
      </c>
    </row>
    <row r="313" spans="1:22">
      <c r="A313" t="s">
        <v>66</v>
      </c>
      <c r="B313" t="s">
        <v>148</v>
      </c>
      <c r="C313" t="s">
        <v>16</v>
      </c>
      <c r="D313" t="s">
        <v>81</v>
      </c>
      <c r="E313" t="s">
        <v>134</v>
      </c>
      <c r="F313" t="s">
        <v>162</v>
      </c>
      <c r="G313">
        <v>128763.83339218603</v>
      </c>
      <c r="H313">
        <v>122346.09501813167</v>
      </c>
      <c r="I313" t="s">
        <v>71</v>
      </c>
      <c r="J313" t="s">
        <v>72</v>
      </c>
      <c r="K313" s="144">
        <v>43886</v>
      </c>
      <c r="L313" t="s">
        <v>73</v>
      </c>
      <c r="M313" s="146"/>
      <c r="N313" s="146"/>
      <c r="O313" s="144">
        <v>44111</v>
      </c>
      <c r="P313" t="s">
        <v>71</v>
      </c>
      <c r="Q313" t="s">
        <v>111</v>
      </c>
      <c r="R313">
        <v>112158</v>
      </c>
      <c r="S313" t="s">
        <v>171</v>
      </c>
      <c r="T313" t="s">
        <v>172</v>
      </c>
      <c r="U313" t="s">
        <v>94</v>
      </c>
      <c r="V313">
        <v>225</v>
      </c>
    </row>
    <row r="314" spans="1:22">
      <c r="A314" t="s">
        <v>66</v>
      </c>
      <c r="B314" t="s">
        <v>148</v>
      </c>
      <c r="C314" t="s">
        <v>16</v>
      </c>
      <c r="D314" t="s">
        <v>112</v>
      </c>
      <c r="E314" t="s">
        <v>173</v>
      </c>
      <c r="F314" t="s">
        <v>162</v>
      </c>
      <c r="G314">
        <v>41298.726342607966</v>
      </c>
      <c r="H314">
        <v>40612.655003207328</v>
      </c>
      <c r="I314" t="s">
        <v>71</v>
      </c>
      <c r="J314" t="s">
        <v>72</v>
      </c>
      <c r="K314" s="144">
        <v>43984</v>
      </c>
      <c r="L314" t="s">
        <v>73</v>
      </c>
      <c r="M314" s="146"/>
      <c r="N314" s="146"/>
      <c r="O314" s="144">
        <v>44297</v>
      </c>
      <c r="P314" t="s">
        <v>71</v>
      </c>
      <c r="Q314" t="s">
        <v>174</v>
      </c>
      <c r="R314">
        <v>98720</v>
      </c>
      <c r="S314">
        <v>24.973083333333332</v>
      </c>
      <c r="T314">
        <v>10.184699999999999</v>
      </c>
      <c r="U314" t="s">
        <v>89</v>
      </c>
      <c r="V314">
        <v>313</v>
      </c>
    </row>
    <row r="315" spans="1:22">
      <c r="A315" t="s">
        <v>66</v>
      </c>
      <c r="B315" t="s">
        <v>148</v>
      </c>
      <c r="C315" t="s">
        <v>16</v>
      </c>
      <c r="D315" t="s">
        <v>81</v>
      </c>
      <c r="E315" t="s">
        <v>107</v>
      </c>
      <c r="F315" t="s">
        <v>162</v>
      </c>
      <c r="G315">
        <v>97709.625897487087</v>
      </c>
      <c r="H315">
        <v>26098.807378586847</v>
      </c>
      <c r="I315" t="s">
        <v>71</v>
      </c>
      <c r="J315" t="s">
        <v>72</v>
      </c>
      <c r="K315" s="144">
        <v>43756</v>
      </c>
      <c r="L315" t="s">
        <v>73</v>
      </c>
      <c r="M315" s="146"/>
      <c r="N315" s="146"/>
      <c r="O315" s="144">
        <v>43908</v>
      </c>
      <c r="P315" t="s">
        <v>71</v>
      </c>
      <c r="Q315" t="s">
        <v>108</v>
      </c>
      <c r="R315">
        <v>112158</v>
      </c>
      <c r="S315">
        <v>24.973083333333332</v>
      </c>
      <c r="T315">
        <v>10.184699999999999</v>
      </c>
      <c r="U315" t="s">
        <v>10</v>
      </c>
      <c r="V315">
        <v>152</v>
      </c>
    </row>
    <row r="316" spans="1:22">
      <c r="A316" t="s">
        <v>66</v>
      </c>
      <c r="B316" t="s">
        <v>148</v>
      </c>
      <c r="C316" t="s">
        <v>16</v>
      </c>
      <c r="D316" t="s">
        <v>122</v>
      </c>
      <c r="E316" t="s">
        <v>144</v>
      </c>
      <c r="F316" t="s">
        <v>162</v>
      </c>
      <c r="G316">
        <v>117510.29659612413</v>
      </c>
      <c r="H316">
        <v>117510.29659612413</v>
      </c>
      <c r="I316" t="s">
        <v>71</v>
      </c>
      <c r="J316" t="s">
        <v>72</v>
      </c>
      <c r="K316" s="144">
        <v>43676</v>
      </c>
      <c r="L316" t="s">
        <v>73</v>
      </c>
      <c r="M316" s="146"/>
      <c r="N316" s="146"/>
      <c r="O316" s="144">
        <v>43731</v>
      </c>
      <c r="P316" t="s">
        <v>71</v>
      </c>
      <c r="Q316" t="s">
        <v>164</v>
      </c>
      <c r="R316">
        <v>112158</v>
      </c>
      <c r="S316">
        <v>24.964074999999998</v>
      </c>
      <c r="T316">
        <v>10.185791666666667</v>
      </c>
      <c r="U316" t="s">
        <v>106</v>
      </c>
      <c r="V316">
        <v>55</v>
      </c>
    </row>
    <row r="317" spans="1:22">
      <c r="A317" t="s">
        <v>66</v>
      </c>
      <c r="B317" t="s">
        <v>148</v>
      </c>
      <c r="C317" t="s">
        <v>16</v>
      </c>
      <c r="D317" t="s">
        <v>81</v>
      </c>
      <c r="E317" t="s">
        <v>175</v>
      </c>
      <c r="F317" t="s">
        <v>162</v>
      </c>
      <c r="G317">
        <v>2979.3836553796568</v>
      </c>
      <c r="H317">
        <v>2979.3836553796568</v>
      </c>
      <c r="I317" t="s">
        <v>71</v>
      </c>
      <c r="J317" t="s">
        <v>72</v>
      </c>
      <c r="K317" s="144">
        <v>44057</v>
      </c>
      <c r="L317" t="s">
        <v>73</v>
      </c>
      <c r="M317" s="146"/>
      <c r="N317" s="146"/>
      <c r="O317" s="144">
        <v>44327</v>
      </c>
      <c r="P317" t="s">
        <v>71</v>
      </c>
      <c r="Q317" t="s">
        <v>176</v>
      </c>
      <c r="R317">
        <v>112158</v>
      </c>
      <c r="S317">
        <v>24.973083333333332</v>
      </c>
      <c r="T317">
        <v>10.184699999999999</v>
      </c>
      <c r="U317" t="s">
        <v>95</v>
      </c>
      <c r="V317">
        <v>270</v>
      </c>
    </row>
    <row r="318" spans="1:22">
      <c r="A318" t="s">
        <v>66</v>
      </c>
      <c r="B318" t="s">
        <v>148</v>
      </c>
      <c r="C318" t="s">
        <v>16</v>
      </c>
      <c r="D318" t="s">
        <v>81</v>
      </c>
      <c r="E318" t="s">
        <v>134</v>
      </c>
      <c r="F318" t="s">
        <v>162</v>
      </c>
      <c r="G318">
        <v>35203.483487221602</v>
      </c>
      <c r="H318">
        <v>0</v>
      </c>
      <c r="I318" t="s">
        <v>93</v>
      </c>
      <c r="K318" s="144"/>
      <c r="M318" s="146"/>
      <c r="N318" s="146"/>
      <c r="O318" s="144"/>
      <c r="P318" t="s">
        <v>76</v>
      </c>
      <c r="Q318" t="s">
        <v>111</v>
      </c>
    </row>
    <row r="319" spans="1:22">
      <c r="A319" t="s">
        <v>66</v>
      </c>
      <c r="B319" t="s">
        <v>148</v>
      </c>
      <c r="C319" t="s">
        <v>16</v>
      </c>
      <c r="D319" t="s">
        <v>81</v>
      </c>
      <c r="E319" t="s">
        <v>177</v>
      </c>
      <c r="F319" t="s">
        <v>162</v>
      </c>
      <c r="G319">
        <v>6654.4724950659038</v>
      </c>
      <c r="H319">
        <v>0</v>
      </c>
      <c r="I319" t="s">
        <v>93</v>
      </c>
      <c r="K319" s="144"/>
      <c r="M319" s="146"/>
      <c r="N319" s="146"/>
      <c r="O319" s="144"/>
      <c r="P319" t="s">
        <v>76</v>
      </c>
      <c r="Q319" t="s">
        <v>178</v>
      </c>
    </row>
    <row r="320" spans="1:22">
      <c r="A320" t="s">
        <v>66</v>
      </c>
      <c r="B320" t="s">
        <v>148</v>
      </c>
      <c r="C320" t="s">
        <v>16</v>
      </c>
      <c r="D320" t="s">
        <v>81</v>
      </c>
      <c r="E320" t="s">
        <v>177</v>
      </c>
      <c r="F320" t="s">
        <v>162</v>
      </c>
      <c r="G320">
        <v>5362.0592602671504</v>
      </c>
      <c r="H320">
        <v>0</v>
      </c>
      <c r="I320" t="s">
        <v>93</v>
      </c>
      <c r="K320" s="144"/>
      <c r="M320" s="146"/>
      <c r="N320" s="146"/>
      <c r="O320" s="144"/>
      <c r="P320" t="s">
        <v>76</v>
      </c>
      <c r="Q320" t="s">
        <v>178</v>
      </c>
    </row>
    <row r="321" spans="1:22">
      <c r="A321" t="s">
        <v>84</v>
      </c>
      <c r="B321" t="s">
        <v>148</v>
      </c>
      <c r="C321" t="s">
        <v>18</v>
      </c>
      <c r="D321" t="s">
        <v>81</v>
      </c>
      <c r="E321" t="s">
        <v>179</v>
      </c>
      <c r="F321" t="s">
        <v>162</v>
      </c>
      <c r="G321">
        <v>136946.69751129189</v>
      </c>
      <c r="H321">
        <v>0</v>
      </c>
      <c r="I321" t="s">
        <v>71</v>
      </c>
      <c r="J321" t="s">
        <v>72</v>
      </c>
      <c r="K321" s="144"/>
      <c r="M321" s="146">
        <v>44286</v>
      </c>
      <c r="N321" s="146"/>
      <c r="O321" s="144"/>
      <c r="P321" t="s">
        <v>152</v>
      </c>
      <c r="Q321" t="s">
        <v>180</v>
      </c>
      <c r="R321">
        <v>112158</v>
      </c>
      <c r="S321" t="s">
        <v>181</v>
      </c>
      <c r="T321" t="s">
        <v>182</v>
      </c>
      <c r="U321" t="s">
        <v>10</v>
      </c>
    </row>
    <row r="322" spans="1:22">
      <c r="A322" t="s">
        <v>84</v>
      </c>
      <c r="B322" t="s">
        <v>148</v>
      </c>
      <c r="C322" t="s">
        <v>18</v>
      </c>
      <c r="D322" t="s">
        <v>122</v>
      </c>
      <c r="E322" t="s">
        <v>183</v>
      </c>
      <c r="F322" t="s">
        <v>162</v>
      </c>
      <c r="G322">
        <v>78366.39541472905</v>
      </c>
      <c r="H322">
        <v>0</v>
      </c>
      <c r="I322" t="s">
        <v>71</v>
      </c>
      <c r="K322" s="144">
        <v>44225</v>
      </c>
      <c r="M322" s="146">
        <v>44257</v>
      </c>
      <c r="N322" s="146"/>
      <c r="O322" s="144"/>
      <c r="P322" t="s">
        <v>76</v>
      </c>
      <c r="Q322" t="s">
        <v>184</v>
      </c>
      <c r="R322">
        <v>122619</v>
      </c>
    </row>
    <row r="323" spans="1:22">
      <c r="A323" t="s">
        <v>84</v>
      </c>
      <c r="B323" t="s">
        <v>148</v>
      </c>
      <c r="C323" t="s">
        <v>18</v>
      </c>
      <c r="D323" t="s">
        <v>112</v>
      </c>
      <c r="E323" t="s">
        <v>121</v>
      </c>
      <c r="F323" t="s">
        <v>162</v>
      </c>
      <c r="G323">
        <v>389741.5228644585</v>
      </c>
      <c r="H323">
        <v>0</v>
      </c>
      <c r="I323" t="s">
        <v>71</v>
      </c>
      <c r="K323" s="144"/>
      <c r="M323" s="146"/>
      <c r="N323" s="146"/>
      <c r="O323" s="144"/>
      <c r="P323" t="s">
        <v>76</v>
      </c>
      <c r="Q323" t="s">
        <v>120</v>
      </c>
      <c r="U323" t="s">
        <v>95</v>
      </c>
    </row>
    <row r="324" spans="1:22">
      <c r="A324" t="s">
        <v>84</v>
      </c>
      <c r="B324" t="s">
        <v>148</v>
      </c>
      <c r="C324" t="s">
        <v>18</v>
      </c>
      <c r="D324" t="s">
        <v>122</v>
      </c>
      <c r="E324" t="s">
        <v>132</v>
      </c>
      <c r="F324" t="s">
        <v>162</v>
      </c>
      <c r="G324">
        <v>491795.63956124231</v>
      </c>
      <c r="H324">
        <v>491795.63956124231</v>
      </c>
      <c r="I324" t="s">
        <v>71</v>
      </c>
      <c r="J324" t="s">
        <v>72</v>
      </c>
      <c r="K324" s="144">
        <v>44025</v>
      </c>
      <c r="L324" t="s">
        <v>73</v>
      </c>
      <c r="M324" s="146">
        <v>44116</v>
      </c>
      <c r="N324" s="146"/>
      <c r="O324" s="144">
        <v>44294</v>
      </c>
      <c r="P324" t="s">
        <v>71</v>
      </c>
      <c r="Q324" t="s">
        <v>133</v>
      </c>
      <c r="R324">
        <v>112158</v>
      </c>
      <c r="U324" t="s">
        <v>100</v>
      </c>
      <c r="V324">
        <v>269</v>
      </c>
    </row>
    <row r="325" spans="1:22">
      <c r="A325" t="s">
        <v>84</v>
      </c>
      <c r="B325" t="s">
        <v>148</v>
      </c>
      <c r="C325" t="s">
        <v>18</v>
      </c>
      <c r="D325" t="s">
        <v>112</v>
      </c>
      <c r="E325" t="s">
        <v>121</v>
      </c>
      <c r="F325" t="s">
        <v>162</v>
      </c>
      <c r="G325">
        <v>53506.22742793514</v>
      </c>
      <c r="H325">
        <v>0</v>
      </c>
      <c r="I325" t="s">
        <v>93</v>
      </c>
      <c r="K325" s="144"/>
      <c r="M325" s="146"/>
      <c r="N325" s="146"/>
      <c r="O325" s="144"/>
      <c r="P325" t="s">
        <v>76</v>
      </c>
      <c r="Q325" t="s">
        <v>120</v>
      </c>
      <c r="U325" t="s">
        <v>78</v>
      </c>
    </row>
    <row r="326" spans="1:22">
      <c r="A326" t="s">
        <v>66</v>
      </c>
      <c r="B326" t="s">
        <v>148</v>
      </c>
      <c r="C326" t="s">
        <v>18</v>
      </c>
      <c r="D326" t="s">
        <v>112</v>
      </c>
      <c r="E326" t="s">
        <v>136</v>
      </c>
      <c r="F326" t="s">
        <v>162</v>
      </c>
      <c r="G326">
        <v>105813.53549402022</v>
      </c>
      <c r="H326">
        <v>0</v>
      </c>
      <c r="I326" t="s">
        <v>93</v>
      </c>
      <c r="K326" s="144"/>
      <c r="M326" s="146"/>
      <c r="N326" s="146"/>
      <c r="O326" s="144"/>
      <c r="P326" t="s">
        <v>76</v>
      </c>
      <c r="Q326" t="s">
        <v>137</v>
      </c>
      <c r="U326" t="s">
        <v>78</v>
      </c>
    </row>
    <row r="327" spans="1:22">
      <c r="A327" t="s">
        <v>66</v>
      </c>
      <c r="B327" t="s">
        <v>148</v>
      </c>
      <c r="C327" t="s">
        <v>18</v>
      </c>
      <c r="D327" t="s">
        <v>112</v>
      </c>
      <c r="E327" t="s">
        <v>129</v>
      </c>
      <c r="F327" t="s">
        <v>162</v>
      </c>
      <c r="G327">
        <v>109731.3276774133</v>
      </c>
      <c r="H327">
        <v>83759.588024524797</v>
      </c>
      <c r="I327" t="s">
        <v>71</v>
      </c>
      <c r="J327" t="s">
        <v>72</v>
      </c>
      <c r="K327" s="144">
        <v>43971</v>
      </c>
      <c r="L327" t="s">
        <v>73</v>
      </c>
      <c r="M327" s="146"/>
      <c r="N327" s="146"/>
      <c r="O327" s="144">
        <v>44341</v>
      </c>
      <c r="P327" t="s">
        <v>71</v>
      </c>
      <c r="Q327" t="s">
        <v>176</v>
      </c>
      <c r="R327">
        <v>112158</v>
      </c>
      <c r="U327" t="s">
        <v>95</v>
      </c>
      <c r="V327">
        <v>370</v>
      </c>
    </row>
    <row r="328" spans="1:22">
      <c r="A328" t="s">
        <v>84</v>
      </c>
      <c r="B328" t="s">
        <v>148</v>
      </c>
      <c r="C328" t="s">
        <v>18</v>
      </c>
      <c r="D328" t="s">
        <v>96</v>
      </c>
      <c r="E328" t="s">
        <v>97</v>
      </c>
      <c r="F328" t="s">
        <v>162</v>
      </c>
      <c r="G328">
        <v>59891.71107047746</v>
      </c>
      <c r="H328">
        <v>0</v>
      </c>
      <c r="I328" t="s">
        <v>75</v>
      </c>
      <c r="K328" s="144"/>
      <c r="M328" s="146"/>
      <c r="N328" s="146"/>
      <c r="O328" s="144"/>
      <c r="P328" t="s">
        <v>76</v>
      </c>
      <c r="Q328" t="s">
        <v>98</v>
      </c>
    </row>
    <row r="329" spans="1:22">
      <c r="A329" t="s">
        <v>84</v>
      </c>
      <c r="B329" t="s">
        <v>148</v>
      </c>
      <c r="C329" t="s">
        <v>18</v>
      </c>
      <c r="D329" t="s">
        <v>96</v>
      </c>
      <c r="E329" t="s">
        <v>97</v>
      </c>
      <c r="F329" t="s">
        <v>162</v>
      </c>
      <c r="G329">
        <v>80002.680816186825</v>
      </c>
      <c r="H329">
        <v>0</v>
      </c>
      <c r="I329" t="s">
        <v>75</v>
      </c>
      <c r="K329" s="144"/>
      <c r="M329" s="146"/>
      <c r="N329" s="146"/>
      <c r="O329" s="144"/>
      <c r="P329" t="s">
        <v>76</v>
      </c>
      <c r="Q329" t="s">
        <v>98</v>
      </c>
    </row>
    <row r="330" spans="1:22">
      <c r="A330" t="s">
        <v>84</v>
      </c>
      <c r="B330" t="s">
        <v>148</v>
      </c>
      <c r="C330" t="s">
        <v>20</v>
      </c>
      <c r="D330" t="s">
        <v>96</v>
      </c>
      <c r="E330" t="s">
        <v>97</v>
      </c>
      <c r="F330" t="s">
        <v>163</v>
      </c>
      <c r="G330">
        <v>170476.07019042224</v>
      </c>
      <c r="H330">
        <v>169882.55480907368</v>
      </c>
      <c r="I330" t="s">
        <v>71</v>
      </c>
      <c r="J330" t="s">
        <v>72</v>
      </c>
      <c r="K330" s="144">
        <v>43811</v>
      </c>
      <c r="L330" t="s">
        <v>73</v>
      </c>
      <c r="M330" s="146">
        <v>43838</v>
      </c>
      <c r="N330" s="146"/>
      <c r="O330" s="144">
        <v>44070</v>
      </c>
      <c r="P330" t="s">
        <v>71</v>
      </c>
      <c r="Q330" t="s">
        <v>98</v>
      </c>
      <c r="R330">
        <v>112158</v>
      </c>
      <c r="S330" t="s">
        <v>186</v>
      </c>
      <c r="T330" t="s">
        <v>187</v>
      </c>
      <c r="U330" t="s">
        <v>95</v>
      </c>
      <c r="V330">
        <v>259</v>
      </c>
    </row>
    <row r="331" spans="1:22">
      <c r="A331" t="s">
        <v>84</v>
      </c>
      <c r="B331" t="s">
        <v>148</v>
      </c>
      <c r="C331" t="s">
        <v>20</v>
      </c>
      <c r="D331" t="s">
        <v>96</v>
      </c>
      <c r="E331" t="s">
        <v>97</v>
      </c>
      <c r="F331" t="s">
        <v>163</v>
      </c>
      <c r="G331">
        <v>171275.01554943994</v>
      </c>
      <c r="H331">
        <v>171211.74978954491</v>
      </c>
      <c r="I331" t="s">
        <v>71</v>
      </c>
      <c r="J331" t="s">
        <v>72</v>
      </c>
      <c r="K331" s="144">
        <v>43755</v>
      </c>
      <c r="L331" t="s">
        <v>73</v>
      </c>
      <c r="M331" s="146">
        <v>43769</v>
      </c>
      <c r="N331" s="146"/>
      <c r="O331" s="144">
        <v>43962</v>
      </c>
      <c r="P331" t="s">
        <v>71</v>
      </c>
      <c r="Q331" t="s">
        <v>98</v>
      </c>
      <c r="R331">
        <v>112158</v>
      </c>
      <c r="S331" t="s">
        <v>188</v>
      </c>
      <c r="T331" t="s">
        <v>189</v>
      </c>
      <c r="U331" t="s">
        <v>10</v>
      </c>
      <c r="V331">
        <v>207</v>
      </c>
    </row>
    <row r="332" spans="1:22">
      <c r="A332" t="s">
        <v>84</v>
      </c>
      <c r="B332" t="s">
        <v>148</v>
      </c>
      <c r="C332" t="s">
        <v>20</v>
      </c>
      <c r="D332" t="s">
        <v>112</v>
      </c>
      <c r="E332" t="s">
        <v>119</v>
      </c>
      <c r="F332" t="s">
        <v>163</v>
      </c>
      <c r="G332">
        <v>120593.64901211183</v>
      </c>
      <c r="H332">
        <v>119637.38057557635</v>
      </c>
      <c r="I332" t="s">
        <v>71</v>
      </c>
      <c r="J332" t="s">
        <v>72</v>
      </c>
      <c r="K332" s="144">
        <v>43783</v>
      </c>
      <c r="L332" t="s">
        <v>73</v>
      </c>
      <c r="M332" s="146"/>
      <c r="N332" s="146">
        <v>43781</v>
      </c>
      <c r="O332" s="144">
        <v>44382</v>
      </c>
      <c r="P332" t="s">
        <v>71</v>
      </c>
      <c r="Q332" t="s">
        <v>120</v>
      </c>
      <c r="R332">
        <v>112158</v>
      </c>
      <c r="S332">
        <v>27.046119444444447</v>
      </c>
      <c r="T332">
        <v>14.420391666666665</v>
      </c>
      <c r="U332" t="s">
        <v>94</v>
      </c>
      <c r="V332">
        <v>599</v>
      </c>
    </row>
    <row r="333" spans="1:22">
      <c r="A333" t="s">
        <v>84</v>
      </c>
      <c r="B333" t="s">
        <v>148</v>
      </c>
      <c r="C333" t="s">
        <v>20</v>
      </c>
      <c r="D333" t="s">
        <v>96</v>
      </c>
      <c r="E333" t="s">
        <v>97</v>
      </c>
      <c r="F333" t="s">
        <v>163</v>
      </c>
      <c r="G333">
        <v>88464.452172734978</v>
      </c>
      <c r="H333">
        <v>0</v>
      </c>
      <c r="I333" t="s">
        <v>71</v>
      </c>
      <c r="J333" t="s">
        <v>72</v>
      </c>
      <c r="K333" s="144">
        <v>44783</v>
      </c>
      <c r="L333" t="s">
        <v>190</v>
      </c>
      <c r="M333" s="146">
        <v>44794</v>
      </c>
      <c r="N333" s="146"/>
      <c r="O333" s="144"/>
      <c r="P333" t="s">
        <v>165</v>
      </c>
      <c r="Q333" t="s">
        <v>98</v>
      </c>
      <c r="R333">
        <v>112158</v>
      </c>
      <c r="S333" t="s">
        <v>191</v>
      </c>
      <c r="T333" t="s">
        <v>192</v>
      </c>
      <c r="U333" t="s">
        <v>103</v>
      </c>
    </row>
    <row r="334" spans="1:22">
      <c r="A334" t="s">
        <v>84</v>
      </c>
      <c r="B334" t="s">
        <v>148</v>
      </c>
      <c r="C334" t="s">
        <v>20</v>
      </c>
      <c r="D334" t="s">
        <v>96</v>
      </c>
      <c r="E334" t="s">
        <v>97</v>
      </c>
      <c r="F334" t="s">
        <v>163</v>
      </c>
      <c r="G334">
        <v>93331.958902569284</v>
      </c>
      <c r="H334">
        <v>93217.413598324871</v>
      </c>
      <c r="I334" t="s">
        <v>71</v>
      </c>
      <c r="J334" t="s">
        <v>72</v>
      </c>
      <c r="K334" s="144">
        <v>43875</v>
      </c>
      <c r="L334" t="s">
        <v>73</v>
      </c>
      <c r="M334" s="146">
        <v>44075</v>
      </c>
      <c r="N334" s="146">
        <v>44082</v>
      </c>
      <c r="O334" s="144">
        <v>44217</v>
      </c>
      <c r="P334" t="s">
        <v>71</v>
      </c>
      <c r="Q334" t="s">
        <v>98</v>
      </c>
      <c r="R334">
        <v>112158</v>
      </c>
      <c r="S334" t="s">
        <v>193</v>
      </c>
      <c r="T334" t="s">
        <v>194</v>
      </c>
      <c r="U334" t="s">
        <v>94</v>
      </c>
      <c r="V334">
        <v>342</v>
      </c>
    </row>
    <row r="335" spans="1:22">
      <c r="A335" t="s">
        <v>84</v>
      </c>
      <c r="B335" t="s">
        <v>148</v>
      </c>
      <c r="C335" t="s">
        <v>20</v>
      </c>
      <c r="D335" t="s">
        <v>96</v>
      </c>
      <c r="E335" t="s">
        <v>97</v>
      </c>
      <c r="F335" t="s">
        <v>163</v>
      </c>
      <c r="G335">
        <v>42699.429804191357</v>
      </c>
      <c r="H335">
        <v>42684.226866763805</v>
      </c>
      <c r="I335" t="s">
        <v>71</v>
      </c>
      <c r="J335" t="s">
        <v>72</v>
      </c>
      <c r="K335" s="144">
        <v>43917</v>
      </c>
      <c r="L335" t="s">
        <v>73</v>
      </c>
      <c r="M335" s="146">
        <v>44103</v>
      </c>
      <c r="N335" s="146"/>
      <c r="O335" s="144">
        <v>44321</v>
      </c>
      <c r="P335" t="s">
        <v>71</v>
      </c>
      <c r="Q335" t="s">
        <v>98</v>
      </c>
      <c r="R335">
        <v>112158</v>
      </c>
      <c r="S335">
        <v>26.4385805555556</v>
      </c>
      <c r="T335">
        <v>14.2735527777778</v>
      </c>
      <c r="U335" t="s">
        <v>95</v>
      </c>
      <c r="V335">
        <v>404</v>
      </c>
    </row>
    <row r="336" spans="1:22">
      <c r="A336" t="s">
        <v>84</v>
      </c>
      <c r="B336" t="s">
        <v>148</v>
      </c>
      <c r="C336" t="s">
        <v>20</v>
      </c>
      <c r="D336" t="s">
        <v>4</v>
      </c>
      <c r="E336" t="s">
        <v>85</v>
      </c>
      <c r="F336" t="s">
        <v>163</v>
      </c>
      <c r="G336">
        <v>79220.105225240928</v>
      </c>
      <c r="H336">
        <v>0</v>
      </c>
      <c r="I336" t="s">
        <v>71</v>
      </c>
      <c r="J336" t="s">
        <v>72</v>
      </c>
      <c r="K336" s="144">
        <v>44581</v>
      </c>
      <c r="L336" t="s">
        <v>195</v>
      </c>
      <c r="M336" s="146">
        <v>44593</v>
      </c>
      <c r="N336" s="146"/>
      <c r="O336" s="144"/>
      <c r="P336" t="s">
        <v>165</v>
      </c>
      <c r="Q336" t="s">
        <v>86</v>
      </c>
      <c r="R336">
        <v>122619</v>
      </c>
      <c r="S336">
        <v>27.0658944444444</v>
      </c>
      <c r="T336">
        <v>14.419680555555599</v>
      </c>
      <c r="U336" t="s">
        <v>10</v>
      </c>
    </row>
    <row r="337" spans="1:22">
      <c r="A337" t="s">
        <v>84</v>
      </c>
      <c r="B337" t="s">
        <v>148</v>
      </c>
      <c r="C337" t="s">
        <v>20</v>
      </c>
      <c r="D337" t="s">
        <v>4</v>
      </c>
      <c r="E337" t="s">
        <v>85</v>
      </c>
      <c r="F337" t="s">
        <v>163</v>
      </c>
      <c r="G337">
        <v>172061.01019604574</v>
      </c>
      <c r="H337">
        <v>172060.57730921044</v>
      </c>
      <c r="I337" t="s">
        <v>71</v>
      </c>
      <c r="J337" t="s">
        <v>72</v>
      </c>
      <c r="K337" s="144">
        <v>43842</v>
      </c>
      <c r="L337" t="s">
        <v>73</v>
      </c>
      <c r="M337" s="146">
        <v>43850</v>
      </c>
      <c r="N337" s="146"/>
      <c r="O337" s="144">
        <v>44067</v>
      </c>
      <c r="P337" t="s">
        <v>71</v>
      </c>
      <c r="Q337" t="s">
        <v>86</v>
      </c>
      <c r="R337">
        <v>112158</v>
      </c>
      <c r="S337">
        <v>27.013533333333299</v>
      </c>
      <c r="T337">
        <v>14.4407833333333</v>
      </c>
      <c r="U337" t="s">
        <v>103</v>
      </c>
      <c r="V337">
        <v>225</v>
      </c>
    </row>
    <row r="338" spans="1:22">
      <c r="A338" t="s">
        <v>84</v>
      </c>
      <c r="B338" t="s">
        <v>148</v>
      </c>
      <c r="C338" t="s">
        <v>20</v>
      </c>
      <c r="D338" t="s">
        <v>4</v>
      </c>
      <c r="E338" t="s">
        <v>85</v>
      </c>
      <c r="F338" t="s">
        <v>163</v>
      </c>
      <c r="G338">
        <v>30876.748367873861</v>
      </c>
      <c r="H338">
        <v>30853.978601918341</v>
      </c>
      <c r="I338" t="s">
        <v>71</v>
      </c>
      <c r="J338" t="s">
        <v>72</v>
      </c>
      <c r="K338" s="144">
        <v>43804</v>
      </c>
      <c r="L338" t="s">
        <v>73</v>
      </c>
      <c r="M338" s="146">
        <v>43832</v>
      </c>
      <c r="N338" s="146"/>
      <c r="O338" s="144">
        <v>43954</v>
      </c>
      <c r="P338" t="s">
        <v>71</v>
      </c>
      <c r="Q338" t="s">
        <v>86</v>
      </c>
      <c r="R338">
        <v>112158</v>
      </c>
      <c r="S338">
        <v>27.036100000000001</v>
      </c>
      <c r="T338">
        <v>14.4159555555556</v>
      </c>
      <c r="U338" t="s">
        <v>10</v>
      </c>
      <c r="V338">
        <v>150</v>
      </c>
    </row>
    <row r="339" spans="1:22">
      <c r="A339" t="s">
        <v>84</v>
      </c>
      <c r="B339" t="s">
        <v>148</v>
      </c>
      <c r="C339" t="s">
        <v>20</v>
      </c>
      <c r="D339" t="s">
        <v>4</v>
      </c>
      <c r="E339" t="s">
        <v>85</v>
      </c>
      <c r="F339" t="s">
        <v>163</v>
      </c>
      <c r="G339">
        <v>52846.931761998188</v>
      </c>
      <c r="H339">
        <v>52828.777508375511</v>
      </c>
      <c r="I339" t="s">
        <v>71</v>
      </c>
      <c r="J339" t="s">
        <v>72</v>
      </c>
      <c r="K339" s="144">
        <v>43805</v>
      </c>
      <c r="L339" t="s">
        <v>73</v>
      </c>
      <c r="M339" s="146">
        <v>43849</v>
      </c>
      <c r="N339" s="146">
        <v>43856</v>
      </c>
      <c r="O339" s="144">
        <v>44206</v>
      </c>
      <c r="P339" t="s">
        <v>71</v>
      </c>
      <c r="Q339" t="s">
        <v>86</v>
      </c>
      <c r="R339">
        <v>112158</v>
      </c>
      <c r="S339">
        <v>27.0421333333333</v>
      </c>
      <c r="T339">
        <v>14.403741666666701</v>
      </c>
      <c r="U339" t="s">
        <v>94</v>
      </c>
      <c r="V339">
        <v>401</v>
      </c>
    </row>
    <row r="340" spans="1:22">
      <c r="A340" t="s">
        <v>84</v>
      </c>
      <c r="B340" t="s">
        <v>148</v>
      </c>
      <c r="C340" t="s">
        <v>20</v>
      </c>
      <c r="D340" t="s">
        <v>4</v>
      </c>
      <c r="E340" t="s">
        <v>85</v>
      </c>
      <c r="F340" t="s">
        <v>163</v>
      </c>
      <c r="G340">
        <v>48509.438132206182</v>
      </c>
      <c r="H340">
        <v>49516.06429364904</v>
      </c>
      <c r="I340" t="s">
        <v>71</v>
      </c>
      <c r="J340" t="s">
        <v>72</v>
      </c>
      <c r="K340" s="144">
        <v>44008</v>
      </c>
      <c r="L340" t="s">
        <v>73</v>
      </c>
      <c r="M340" s="146">
        <v>44080</v>
      </c>
      <c r="N340" s="146">
        <v>44084</v>
      </c>
      <c r="O340" s="144">
        <v>44201</v>
      </c>
      <c r="P340" t="s">
        <v>71</v>
      </c>
      <c r="Q340" t="s">
        <v>86</v>
      </c>
      <c r="R340">
        <v>112158</v>
      </c>
      <c r="S340" t="s">
        <v>196</v>
      </c>
      <c r="T340" t="s">
        <v>197</v>
      </c>
      <c r="U340" t="s">
        <v>95</v>
      </c>
      <c r="V340">
        <v>193</v>
      </c>
    </row>
    <row r="341" spans="1:22">
      <c r="A341" t="s">
        <v>66</v>
      </c>
      <c r="B341" t="s">
        <v>148</v>
      </c>
      <c r="C341" t="s">
        <v>20</v>
      </c>
      <c r="D341" t="s">
        <v>4</v>
      </c>
      <c r="E341" t="s">
        <v>90</v>
      </c>
      <c r="F341" t="s">
        <v>163</v>
      </c>
      <c r="G341">
        <v>44323.003087040364</v>
      </c>
      <c r="H341">
        <v>31062.069006020189</v>
      </c>
      <c r="I341" t="s">
        <v>71</v>
      </c>
      <c r="J341" t="s">
        <v>72</v>
      </c>
      <c r="K341" s="144">
        <v>43731</v>
      </c>
      <c r="L341" t="s">
        <v>73</v>
      </c>
      <c r="M341" s="146"/>
      <c r="N341" s="146"/>
      <c r="O341" s="144">
        <v>43902</v>
      </c>
      <c r="P341" t="s">
        <v>71</v>
      </c>
      <c r="Q341" t="s">
        <v>91</v>
      </c>
      <c r="R341">
        <v>112158</v>
      </c>
      <c r="S341">
        <v>26.439502777777779</v>
      </c>
      <c r="T341">
        <v>14.274486111111113</v>
      </c>
      <c r="U341" t="s">
        <v>92</v>
      </c>
      <c r="V341">
        <v>171</v>
      </c>
    </row>
    <row r="342" spans="1:22">
      <c r="A342" t="s">
        <v>84</v>
      </c>
      <c r="B342" t="s">
        <v>148</v>
      </c>
      <c r="C342" t="s">
        <v>20</v>
      </c>
      <c r="D342" t="s">
        <v>4</v>
      </c>
      <c r="E342" t="s">
        <v>85</v>
      </c>
      <c r="F342" t="s">
        <v>163</v>
      </c>
      <c r="G342">
        <v>37043.185362136443</v>
      </c>
      <c r="H342">
        <v>35793.871417613438</v>
      </c>
      <c r="I342" t="s">
        <v>71</v>
      </c>
      <c r="J342" t="s">
        <v>72</v>
      </c>
      <c r="K342" s="144">
        <v>43811</v>
      </c>
      <c r="L342" t="s">
        <v>73</v>
      </c>
      <c r="M342" s="146">
        <v>43824</v>
      </c>
      <c r="N342" s="146">
        <v>43832</v>
      </c>
      <c r="O342" s="144">
        <v>44318</v>
      </c>
      <c r="P342" t="s">
        <v>71</v>
      </c>
      <c r="Q342" t="s">
        <v>86</v>
      </c>
      <c r="R342">
        <v>98720</v>
      </c>
      <c r="S342">
        <v>26.878575000000001</v>
      </c>
      <c r="T342">
        <v>14.427144444444444</v>
      </c>
      <c r="U342" t="s">
        <v>95</v>
      </c>
      <c r="V342">
        <v>507</v>
      </c>
    </row>
    <row r="343" spans="1:22">
      <c r="A343" t="s">
        <v>66</v>
      </c>
      <c r="B343" t="s">
        <v>148</v>
      </c>
      <c r="C343" t="s">
        <v>20</v>
      </c>
      <c r="D343" t="s">
        <v>81</v>
      </c>
      <c r="E343" t="s">
        <v>82</v>
      </c>
      <c r="F343" t="s">
        <v>163</v>
      </c>
      <c r="G343">
        <v>322136.18399690837</v>
      </c>
      <c r="H343">
        <v>263166.26884292084</v>
      </c>
      <c r="I343" t="s">
        <v>71</v>
      </c>
      <c r="J343" t="s">
        <v>72</v>
      </c>
      <c r="K343" s="144">
        <v>43650</v>
      </c>
      <c r="L343" t="s">
        <v>73</v>
      </c>
      <c r="M343" s="146"/>
      <c r="N343" s="146"/>
      <c r="O343" s="144">
        <v>44034</v>
      </c>
      <c r="P343" t="s">
        <v>71</v>
      </c>
      <c r="Q343" t="s">
        <v>83</v>
      </c>
      <c r="R343">
        <v>112158</v>
      </c>
      <c r="S343">
        <v>27.038219444444447</v>
      </c>
      <c r="T343">
        <v>14.431683333333332</v>
      </c>
      <c r="U343" t="s">
        <v>95</v>
      </c>
      <c r="V343">
        <v>384</v>
      </c>
    </row>
    <row r="344" spans="1:22">
      <c r="A344" t="s">
        <v>66</v>
      </c>
      <c r="B344" t="s">
        <v>148</v>
      </c>
      <c r="C344" t="s">
        <v>20</v>
      </c>
      <c r="D344" t="s">
        <v>81</v>
      </c>
      <c r="E344" t="s">
        <v>134</v>
      </c>
      <c r="F344" t="s">
        <v>163</v>
      </c>
      <c r="G344">
        <v>152954.54836553778</v>
      </c>
      <c r="H344">
        <v>105231.36657539313</v>
      </c>
      <c r="I344" t="s">
        <v>71</v>
      </c>
      <c r="J344" t="s">
        <v>72</v>
      </c>
      <c r="K344" s="144">
        <v>43739</v>
      </c>
      <c r="L344" t="s">
        <v>73</v>
      </c>
      <c r="M344" s="146"/>
      <c r="N344" s="146"/>
      <c r="O344" s="144">
        <v>44034</v>
      </c>
      <c r="P344" t="s">
        <v>71</v>
      </c>
      <c r="Q344" t="s">
        <v>135</v>
      </c>
      <c r="R344">
        <v>112158</v>
      </c>
      <c r="S344">
        <v>27.038219444444447</v>
      </c>
      <c r="T344">
        <v>14.431683333333332</v>
      </c>
      <c r="U344" t="s">
        <v>10</v>
      </c>
      <c r="V344">
        <v>295</v>
      </c>
    </row>
    <row r="345" spans="1:22">
      <c r="A345" t="s">
        <v>84</v>
      </c>
      <c r="B345" t="s">
        <v>148</v>
      </c>
      <c r="C345" t="s">
        <v>20</v>
      </c>
      <c r="D345" t="s">
        <v>81</v>
      </c>
      <c r="E345" t="s">
        <v>107</v>
      </c>
      <c r="F345" t="s">
        <v>163</v>
      </c>
      <c r="G345">
        <v>34072.903041563499</v>
      </c>
      <c r="H345">
        <v>34061.465732610137</v>
      </c>
      <c r="I345" t="s">
        <v>71</v>
      </c>
      <c r="J345" t="s">
        <v>72</v>
      </c>
      <c r="K345" s="144">
        <v>44003</v>
      </c>
      <c r="L345" t="s">
        <v>73</v>
      </c>
      <c r="M345" s="146">
        <v>44077</v>
      </c>
      <c r="N345" s="146">
        <v>44092</v>
      </c>
      <c r="O345" s="144">
        <v>44185</v>
      </c>
      <c r="P345" t="s">
        <v>71</v>
      </c>
      <c r="Q345" t="s">
        <v>120</v>
      </c>
      <c r="R345">
        <v>112158</v>
      </c>
      <c r="S345" t="s">
        <v>150</v>
      </c>
      <c r="T345" t="s">
        <v>150</v>
      </c>
      <c r="U345" t="s">
        <v>95</v>
      </c>
      <c r="V345">
        <v>182</v>
      </c>
    </row>
    <row r="346" spans="1:22">
      <c r="A346" t="s">
        <v>84</v>
      </c>
      <c r="B346" t="s">
        <v>148</v>
      </c>
      <c r="C346" t="s">
        <v>20</v>
      </c>
      <c r="D346" t="s">
        <v>122</v>
      </c>
      <c r="E346" t="s">
        <v>132</v>
      </c>
      <c r="F346" t="s">
        <v>163</v>
      </c>
      <c r="G346">
        <v>1985669.6753965092</v>
      </c>
      <c r="H346">
        <v>1985669.6753965092</v>
      </c>
      <c r="I346" t="s">
        <v>71</v>
      </c>
      <c r="J346" t="s">
        <v>72</v>
      </c>
      <c r="K346" s="144">
        <v>43893</v>
      </c>
      <c r="L346" t="s">
        <v>73</v>
      </c>
      <c r="M346" s="146">
        <v>44168</v>
      </c>
      <c r="N346" s="146">
        <v>44175</v>
      </c>
      <c r="O346" s="144">
        <v>44553</v>
      </c>
      <c r="P346" t="s">
        <v>71</v>
      </c>
      <c r="Q346" t="s">
        <v>133</v>
      </c>
      <c r="R346">
        <v>112158</v>
      </c>
      <c r="S346" t="s">
        <v>150</v>
      </c>
      <c r="T346" t="s">
        <v>150</v>
      </c>
      <c r="U346" t="s">
        <v>95</v>
      </c>
      <c r="V346">
        <v>660</v>
      </c>
    </row>
    <row r="347" spans="1:22">
      <c r="A347" t="s">
        <v>84</v>
      </c>
      <c r="B347" t="s">
        <v>148</v>
      </c>
      <c r="C347" t="s">
        <v>20</v>
      </c>
      <c r="D347" t="s">
        <v>112</v>
      </c>
      <c r="E347" t="s">
        <v>121</v>
      </c>
      <c r="F347" t="s">
        <v>163</v>
      </c>
      <c r="G347">
        <v>536641.91090231563</v>
      </c>
      <c r="H347">
        <v>0</v>
      </c>
      <c r="I347" t="s">
        <v>71</v>
      </c>
      <c r="K347" s="144">
        <v>43932</v>
      </c>
      <c r="M347" s="146"/>
      <c r="N347" s="146"/>
      <c r="O347" s="144"/>
      <c r="P347" t="s">
        <v>76</v>
      </c>
      <c r="Q347" t="s">
        <v>120</v>
      </c>
      <c r="S347">
        <v>27.026555555555554</v>
      </c>
      <c r="T347">
        <v>14.457522222222222</v>
      </c>
      <c r="U347" t="s">
        <v>95</v>
      </c>
    </row>
    <row r="348" spans="1:22">
      <c r="A348" t="s">
        <v>84</v>
      </c>
      <c r="B348" t="s">
        <v>148</v>
      </c>
      <c r="C348" t="s">
        <v>20</v>
      </c>
      <c r="D348" t="s">
        <v>112</v>
      </c>
      <c r="E348" t="s">
        <v>119</v>
      </c>
      <c r="F348" t="s">
        <v>163</v>
      </c>
      <c r="G348">
        <v>78290.273392365139</v>
      </c>
      <c r="H348">
        <v>22795.910822927377</v>
      </c>
      <c r="I348" t="s">
        <v>71</v>
      </c>
      <c r="J348" t="s">
        <v>72</v>
      </c>
      <c r="K348" s="144">
        <v>44328</v>
      </c>
      <c r="L348" t="s">
        <v>195</v>
      </c>
      <c r="M348" s="146">
        <v>44454</v>
      </c>
      <c r="N348" s="146">
        <v>44494</v>
      </c>
      <c r="O348" s="144"/>
      <c r="P348" t="s">
        <v>165</v>
      </c>
      <c r="Q348" t="s">
        <v>120</v>
      </c>
      <c r="R348">
        <v>122619</v>
      </c>
      <c r="S348">
        <v>27.008616666666665</v>
      </c>
      <c r="T348">
        <v>14.438472222222222</v>
      </c>
      <c r="U348" t="s">
        <v>10</v>
      </c>
    </row>
    <row r="349" spans="1:22">
      <c r="A349" t="s">
        <v>66</v>
      </c>
      <c r="B349" t="s">
        <v>148</v>
      </c>
      <c r="C349" t="s">
        <v>20</v>
      </c>
      <c r="D349" t="s">
        <v>122</v>
      </c>
      <c r="E349" t="s">
        <v>144</v>
      </c>
      <c r="F349" t="s">
        <v>163</v>
      </c>
      <c r="G349">
        <v>72812.154849544124</v>
      </c>
      <c r="H349">
        <v>72812.154849544124</v>
      </c>
      <c r="I349" t="s">
        <v>71</v>
      </c>
      <c r="J349" t="s">
        <v>72</v>
      </c>
      <c r="K349" s="144">
        <v>43676</v>
      </c>
      <c r="L349" t="s">
        <v>73</v>
      </c>
      <c r="M349" s="146"/>
      <c r="N349" s="146"/>
      <c r="O349" s="144">
        <v>43716</v>
      </c>
      <c r="P349" t="s">
        <v>71</v>
      </c>
      <c r="Q349" t="s">
        <v>164</v>
      </c>
      <c r="R349">
        <v>112158</v>
      </c>
      <c r="S349">
        <v>27.002497222222221</v>
      </c>
      <c r="T349">
        <v>14.461269444444444</v>
      </c>
      <c r="U349" t="s">
        <v>106</v>
      </c>
      <c r="V349">
        <v>40</v>
      </c>
    </row>
    <row r="350" spans="1:22">
      <c r="A350" t="s">
        <v>84</v>
      </c>
      <c r="B350" t="s">
        <v>67</v>
      </c>
      <c r="C350" t="s">
        <v>21</v>
      </c>
      <c r="D350" t="s">
        <v>96</v>
      </c>
      <c r="E350" t="s">
        <v>97</v>
      </c>
      <c r="F350" t="s">
        <v>163</v>
      </c>
      <c r="G350">
        <v>201438.71870254274</v>
      </c>
      <c r="H350">
        <v>176856.97659010172</v>
      </c>
      <c r="I350" t="s">
        <v>71</v>
      </c>
      <c r="J350" t="s">
        <v>72</v>
      </c>
      <c r="K350" s="144">
        <v>43936</v>
      </c>
      <c r="L350" t="s">
        <v>73</v>
      </c>
      <c r="M350" s="146">
        <v>43947</v>
      </c>
      <c r="N350" s="146"/>
      <c r="O350" s="144">
        <v>44132</v>
      </c>
      <c r="P350" t="s">
        <v>71</v>
      </c>
      <c r="Q350" t="s">
        <v>98</v>
      </c>
      <c r="R350">
        <v>112158</v>
      </c>
      <c r="S350">
        <v>31.199928</v>
      </c>
      <c r="T350">
        <v>16.608343999999999</v>
      </c>
      <c r="U350" t="s">
        <v>95</v>
      </c>
      <c r="V350">
        <v>196</v>
      </c>
    </row>
    <row r="351" spans="1:22">
      <c r="A351" t="s">
        <v>84</v>
      </c>
      <c r="B351" t="s">
        <v>67</v>
      </c>
      <c r="C351" t="s">
        <v>21</v>
      </c>
      <c r="D351" t="s">
        <v>96</v>
      </c>
      <c r="E351" t="s">
        <v>97</v>
      </c>
      <c r="F351" t="s">
        <v>163</v>
      </c>
      <c r="G351">
        <v>97582.51470223369</v>
      </c>
      <c r="H351">
        <v>87824.263232010329</v>
      </c>
      <c r="I351" t="s">
        <v>71</v>
      </c>
      <c r="J351" t="s">
        <v>72</v>
      </c>
      <c r="K351" s="144">
        <v>44426</v>
      </c>
      <c r="L351" t="s">
        <v>73</v>
      </c>
      <c r="M351" s="146"/>
      <c r="N351" s="146"/>
      <c r="O351" s="144">
        <v>44617</v>
      </c>
      <c r="P351" t="s">
        <v>71</v>
      </c>
      <c r="Q351" t="s">
        <v>98</v>
      </c>
      <c r="R351">
        <v>122619</v>
      </c>
      <c r="S351">
        <v>31.209361111111111</v>
      </c>
      <c r="T351">
        <v>16.586055555555554</v>
      </c>
      <c r="U351" t="s">
        <v>10</v>
      </c>
      <c r="V351">
        <v>191</v>
      </c>
    </row>
    <row r="352" spans="1:22">
      <c r="A352" t="s">
        <v>84</v>
      </c>
      <c r="B352" t="s">
        <v>67</v>
      </c>
      <c r="C352" t="s">
        <v>21</v>
      </c>
      <c r="D352" t="s">
        <v>96</v>
      </c>
      <c r="E352" t="s">
        <v>97</v>
      </c>
      <c r="F352" t="s">
        <v>163</v>
      </c>
      <c r="G352">
        <v>120496.62969384427</v>
      </c>
      <c r="H352">
        <v>120496.62969384427</v>
      </c>
      <c r="I352" t="s">
        <v>71</v>
      </c>
      <c r="J352" t="s">
        <v>72</v>
      </c>
      <c r="K352" s="144">
        <v>44141</v>
      </c>
      <c r="L352" t="s">
        <v>73</v>
      </c>
      <c r="M352" s="146">
        <v>44151</v>
      </c>
      <c r="N352" s="146"/>
      <c r="O352" s="144">
        <v>44301</v>
      </c>
      <c r="P352" t="s">
        <v>71</v>
      </c>
      <c r="Q352" t="s">
        <v>98</v>
      </c>
      <c r="R352">
        <v>122619</v>
      </c>
      <c r="S352">
        <v>31.208055555555553</v>
      </c>
      <c r="T352">
        <v>16.566030555555557</v>
      </c>
      <c r="U352" t="s">
        <v>10</v>
      </c>
      <c r="V352">
        <v>160</v>
      </c>
    </row>
    <row r="353" spans="1:22">
      <c r="A353" t="s">
        <v>84</v>
      </c>
      <c r="B353" t="s">
        <v>67</v>
      </c>
      <c r="C353" t="s">
        <v>21</v>
      </c>
      <c r="D353" t="s">
        <v>96</v>
      </c>
      <c r="E353" t="s">
        <v>97</v>
      </c>
      <c r="F353" t="s">
        <v>163</v>
      </c>
      <c r="G353">
        <v>588620.00479777146</v>
      </c>
      <c r="H353">
        <v>0</v>
      </c>
      <c r="I353" t="s">
        <v>75</v>
      </c>
      <c r="K353" s="144"/>
      <c r="M353" s="146"/>
      <c r="N353" s="146"/>
      <c r="O353" s="144"/>
      <c r="P353" t="s">
        <v>76</v>
      </c>
      <c r="Q353" t="s">
        <v>98</v>
      </c>
    </row>
    <row r="354" spans="1:22">
      <c r="A354" t="s">
        <v>66</v>
      </c>
      <c r="B354" t="s">
        <v>67</v>
      </c>
      <c r="C354" t="s">
        <v>21</v>
      </c>
      <c r="D354" t="s">
        <v>4</v>
      </c>
      <c r="E354" t="s">
        <v>107</v>
      </c>
      <c r="F354" t="s">
        <v>163</v>
      </c>
      <c r="G354">
        <v>81271.160217572615</v>
      </c>
      <c r="H354">
        <v>0</v>
      </c>
      <c r="I354" t="s">
        <v>71</v>
      </c>
      <c r="K354" s="144">
        <v>44657</v>
      </c>
      <c r="M354" s="146"/>
      <c r="N354" s="146"/>
      <c r="O354" s="144"/>
      <c r="P354" t="s">
        <v>165</v>
      </c>
      <c r="Q354" t="s">
        <v>108</v>
      </c>
      <c r="R354">
        <v>122619</v>
      </c>
      <c r="U354" t="s">
        <v>10</v>
      </c>
    </row>
    <row r="355" spans="1:22">
      <c r="A355" t="s">
        <v>66</v>
      </c>
      <c r="B355" t="s">
        <v>67</v>
      </c>
      <c r="C355" t="s">
        <v>21</v>
      </c>
      <c r="D355" t="s">
        <v>81</v>
      </c>
      <c r="E355" t="s">
        <v>107</v>
      </c>
      <c r="F355" t="s">
        <v>163</v>
      </c>
      <c r="G355">
        <v>66857.558648991995</v>
      </c>
      <c r="H355">
        <v>0</v>
      </c>
      <c r="I355" t="s">
        <v>71</v>
      </c>
      <c r="K355" s="144"/>
      <c r="M355" s="146"/>
      <c r="N355" s="146"/>
      <c r="O355" s="144"/>
      <c r="P355" t="s">
        <v>76</v>
      </c>
      <c r="Q355" t="s">
        <v>176</v>
      </c>
      <c r="U355" t="s">
        <v>78</v>
      </c>
    </row>
    <row r="356" spans="1:22">
      <c r="A356" t="s">
        <v>66</v>
      </c>
      <c r="B356" t="s">
        <v>67</v>
      </c>
      <c r="C356" t="s">
        <v>21</v>
      </c>
      <c r="D356" t="s">
        <v>81</v>
      </c>
      <c r="E356" t="s">
        <v>107</v>
      </c>
      <c r="F356" t="s">
        <v>163</v>
      </c>
      <c r="G356">
        <v>102899.67516428774</v>
      </c>
      <c r="H356">
        <v>0</v>
      </c>
      <c r="I356" t="s">
        <v>71</v>
      </c>
      <c r="K356" s="144">
        <v>44657</v>
      </c>
      <c r="M356" s="146"/>
      <c r="N356" s="146"/>
      <c r="O356" s="144"/>
      <c r="P356" t="s">
        <v>165</v>
      </c>
      <c r="Q356" t="s">
        <v>108</v>
      </c>
      <c r="R356">
        <v>122619</v>
      </c>
      <c r="U356" t="s">
        <v>10</v>
      </c>
    </row>
    <row r="357" spans="1:22">
      <c r="A357" t="s">
        <v>66</v>
      </c>
      <c r="B357" t="s">
        <v>67</v>
      </c>
      <c r="C357" t="s">
        <v>21</v>
      </c>
      <c r="D357" t="s">
        <v>81</v>
      </c>
      <c r="E357" t="s">
        <v>115</v>
      </c>
      <c r="F357" t="s">
        <v>163</v>
      </c>
      <c r="G357">
        <v>38263.757329319495</v>
      </c>
      <c r="H357">
        <v>0</v>
      </c>
      <c r="I357" t="s">
        <v>71</v>
      </c>
      <c r="J357" t="s">
        <v>72</v>
      </c>
      <c r="K357" s="144">
        <v>44763</v>
      </c>
      <c r="M357" s="146"/>
      <c r="N357" s="146"/>
      <c r="O357" s="144"/>
      <c r="P357" t="s">
        <v>165</v>
      </c>
      <c r="Q357" t="s">
        <v>111</v>
      </c>
      <c r="R357">
        <v>112158</v>
      </c>
      <c r="U357" t="s">
        <v>92</v>
      </c>
    </row>
    <row r="358" spans="1:22">
      <c r="A358" t="s">
        <v>66</v>
      </c>
      <c r="B358" t="s">
        <v>67</v>
      </c>
      <c r="C358" t="s">
        <v>21</v>
      </c>
      <c r="D358" t="s">
        <v>112</v>
      </c>
      <c r="E358" t="s">
        <v>107</v>
      </c>
      <c r="F358" t="s">
        <v>163</v>
      </c>
      <c r="G358">
        <v>88872.90099949349</v>
      </c>
      <c r="H358">
        <v>0</v>
      </c>
      <c r="I358" t="s">
        <v>71</v>
      </c>
      <c r="K358" s="144">
        <v>44657</v>
      </c>
      <c r="M358" s="146"/>
      <c r="N358" s="146"/>
      <c r="O358" s="144"/>
      <c r="P358" t="s">
        <v>165</v>
      </c>
      <c r="Q358" t="s">
        <v>130</v>
      </c>
      <c r="R358">
        <v>112158</v>
      </c>
      <c r="U358" t="s">
        <v>198</v>
      </c>
    </row>
    <row r="359" spans="1:22">
      <c r="A359" t="s">
        <v>66</v>
      </c>
      <c r="B359" t="s">
        <v>67</v>
      </c>
      <c r="C359" t="s">
        <v>21</v>
      </c>
      <c r="D359" t="s">
        <v>112</v>
      </c>
      <c r="E359" t="s">
        <v>107</v>
      </c>
      <c r="F359" t="s">
        <v>163</v>
      </c>
      <c r="G359">
        <v>82658.733285820301</v>
      </c>
      <c r="H359">
        <v>0</v>
      </c>
      <c r="I359" t="s">
        <v>71</v>
      </c>
      <c r="K359" s="144">
        <v>44657</v>
      </c>
      <c r="M359" s="146"/>
      <c r="N359" s="146"/>
      <c r="O359" s="144"/>
      <c r="P359" t="s">
        <v>165</v>
      </c>
      <c r="Q359" t="s">
        <v>114</v>
      </c>
      <c r="R359">
        <v>98720</v>
      </c>
      <c r="U359" t="s">
        <v>100</v>
      </c>
    </row>
    <row r="360" spans="1:22">
      <c r="A360" t="s">
        <v>66</v>
      </c>
      <c r="B360" t="s">
        <v>67</v>
      </c>
      <c r="C360" t="s">
        <v>21</v>
      </c>
      <c r="D360" t="s">
        <v>112</v>
      </c>
      <c r="E360" t="s">
        <v>107</v>
      </c>
      <c r="F360" t="s">
        <v>163</v>
      </c>
      <c r="G360">
        <v>104407.68169948194</v>
      </c>
      <c r="H360">
        <v>0</v>
      </c>
      <c r="I360" t="s">
        <v>93</v>
      </c>
      <c r="K360" s="144"/>
      <c r="M360" s="146"/>
      <c r="N360" s="146"/>
      <c r="O360" s="144"/>
      <c r="P360" t="s">
        <v>76</v>
      </c>
      <c r="Q360" t="s">
        <v>130</v>
      </c>
    </row>
    <row r="361" spans="1:22">
      <c r="A361" t="s">
        <v>84</v>
      </c>
      <c r="B361" t="s">
        <v>67</v>
      </c>
      <c r="C361" t="s">
        <v>21</v>
      </c>
      <c r="D361" t="s">
        <v>112</v>
      </c>
      <c r="E361" t="s">
        <v>119</v>
      </c>
      <c r="F361" t="s">
        <v>163</v>
      </c>
      <c r="G361">
        <v>45237.432020595486</v>
      </c>
      <c r="H361">
        <v>45205.035234661831</v>
      </c>
      <c r="I361" t="s">
        <v>71</v>
      </c>
      <c r="J361" t="s">
        <v>72</v>
      </c>
      <c r="K361" s="144">
        <v>44303</v>
      </c>
      <c r="L361" t="s">
        <v>73</v>
      </c>
      <c r="M361" s="146">
        <v>44308</v>
      </c>
      <c r="N361" s="146">
        <v>44315</v>
      </c>
      <c r="O361" s="144">
        <v>44453</v>
      </c>
      <c r="P361" t="s">
        <v>71</v>
      </c>
      <c r="Q361" t="s">
        <v>120</v>
      </c>
      <c r="R361">
        <v>122619</v>
      </c>
      <c r="S361">
        <v>31.210583333333332</v>
      </c>
      <c r="T361">
        <v>16.586722222222221</v>
      </c>
      <c r="U361" t="s">
        <v>10</v>
      </c>
      <c r="V361">
        <v>150</v>
      </c>
    </row>
    <row r="362" spans="1:22">
      <c r="A362" t="s">
        <v>66</v>
      </c>
      <c r="B362" t="s">
        <v>67</v>
      </c>
      <c r="C362" t="s">
        <v>21</v>
      </c>
      <c r="D362" t="s">
        <v>4</v>
      </c>
      <c r="E362" t="s">
        <v>107</v>
      </c>
      <c r="F362" t="s">
        <v>163</v>
      </c>
      <c r="G362">
        <v>119327.89275319611</v>
      </c>
      <c r="H362">
        <v>0</v>
      </c>
      <c r="I362" t="s">
        <v>71</v>
      </c>
      <c r="K362" s="144"/>
      <c r="M362" s="146"/>
      <c r="N362" s="146"/>
      <c r="O362" s="144"/>
      <c r="P362" t="s">
        <v>76</v>
      </c>
      <c r="Q362" t="s">
        <v>108</v>
      </c>
    </row>
    <row r="363" spans="1:22">
      <c r="A363" t="s">
        <v>84</v>
      </c>
      <c r="B363" t="s">
        <v>67</v>
      </c>
      <c r="C363" t="s">
        <v>21</v>
      </c>
      <c r="D363" t="s">
        <v>96</v>
      </c>
      <c r="E363" t="s">
        <v>97</v>
      </c>
      <c r="F363" t="s">
        <v>163</v>
      </c>
      <c r="G363">
        <v>137591.97310304779</v>
      </c>
      <c r="H363">
        <v>0</v>
      </c>
      <c r="I363" t="s">
        <v>71</v>
      </c>
      <c r="J363" t="s">
        <v>72</v>
      </c>
      <c r="K363" s="144">
        <v>44807</v>
      </c>
      <c r="L363" t="s">
        <v>199</v>
      </c>
      <c r="M363" s="146">
        <v>44808</v>
      </c>
      <c r="N363" s="146"/>
      <c r="O363" s="144"/>
      <c r="P363" t="s">
        <v>165</v>
      </c>
      <c r="Q363" t="s">
        <v>98</v>
      </c>
      <c r="R363">
        <v>127766</v>
      </c>
      <c r="S363">
        <v>31.195222222222224</v>
      </c>
      <c r="T363">
        <v>16.576666666666668</v>
      </c>
      <c r="U363" t="s">
        <v>94</v>
      </c>
    </row>
    <row r="364" spans="1:22">
      <c r="A364" t="s">
        <v>66</v>
      </c>
      <c r="B364" t="s">
        <v>67</v>
      </c>
      <c r="C364" t="s">
        <v>21</v>
      </c>
      <c r="D364" t="s">
        <v>4</v>
      </c>
      <c r="E364" t="s">
        <v>90</v>
      </c>
      <c r="F364" t="s">
        <v>163</v>
      </c>
      <c r="G364">
        <v>71745.301755874389</v>
      </c>
      <c r="H364">
        <v>0</v>
      </c>
      <c r="I364" t="s">
        <v>71</v>
      </c>
      <c r="K364" s="144">
        <v>44657</v>
      </c>
      <c r="M364" s="146"/>
      <c r="N364" s="146"/>
      <c r="O364" s="144"/>
      <c r="P364" t="s">
        <v>165</v>
      </c>
      <c r="Q364" t="s">
        <v>91</v>
      </c>
      <c r="R364">
        <v>127766</v>
      </c>
      <c r="U364" t="s">
        <v>94</v>
      </c>
    </row>
    <row r="365" spans="1:22">
      <c r="A365" t="s">
        <v>66</v>
      </c>
      <c r="B365" t="s">
        <v>67</v>
      </c>
      <c r="C365" t="s">
        <v>22</v>
      </c>
      <c r="D365" t="s">
        <v>4</v>
      </c>
      <c r="E365" t="s">
        <v>90</v>
      </c>
      <c r="F365" t="s">
        <v>162</v>
      </c>
      <c r="G365">
        <v>39020.110436383191</v>
      </c>
      <c r="H365">
        <v>0</v>
      </c>
      <c r="I365" t="s">
        <v>71</v>
      </c>
      <c r="J365" t="s">
        <v>72</v>
      </c>
      <c r="K365" s="144">
        <v>43435</v>
      </c>
      <c r="L365" t="s">
        <v>73</v>
      </c>
      <c r="M365" s="146"/>
      <c r="N365" s="146"/>
      <c r="O365" s="144">
        <v>43705</v>
      </c>
      <c r="P365" t="s">
        <v>71</v>
      </c>
      <c r="Q365" t="s">
        <v>91</v>
      </c>
      <c r="R365">
        <v>112158</v>
      </c>
      <c r="V365">
        <v>270</v>
      </c>
    </row>
    <row r="366" spans="1:22">
      <c r="A366" t="s">
        <v>84</v>
      </c>
      <c r="B366" t="s">
        <v>67</v>
      </c>
      <c r="C366" t="s">
        <v>22</v>
      </c>
      <c r="D366" t="s">
        <v>122</v>
      </c>
      <c r="E366" t="s">
        <v>132</v>
      </c>
      <c r="F366" t="s">
        <v>162</v>
      </c>
      <c r="G366">
        <v>70864.459388234056</v>
      </c>
      <c r="H366">
        <v>70864.459388234056</v>
      </c>
      <c r="I366" t="s">
        <v>71</v>
      </c>
      <c r="J366" t="s">
        <v>72</v>
      </c>
      <c r="K366" s="144">
        <v>43711</v>
      </c>
      <c r="L366" t="s">
        <v>73</v>
      </c>
      <c r="M366" s="146"/>
      <c r="N366" s="146"/>
      <c r="O366" s="144">
        <v>43853</v>
      </c>
      <c r="P366" t="s">
        <v>71</v>
      </c>
      <c r="Q366" t="s">
        <v>133</v>
      </c>
      <c r="R366">
        <v>112158</v>
      </c>
      <c r="U366" t="s">
        <v>10</v>
      </c>
      <c r="V366">
        <v>142</v>
      </c>
    </row>
    <row r="367" spans="1:22">
      <c r="A367" t="s">
        <v>84</v>
      </c>
      <c r="B367" t="s">
        <v>67</v>
      </c>
      <c r="C367" t="s">
        <v>22</v>
      </c>
      <c r="D367" t="s">
        <v>96</v>
      </c>
      <c r="E367" t="s">
        <v>97</v>
      </c>
      <c r="F367" t="s">
        <v>162</v>
      </c>
      <c r="G367">
        <v>71058.616373744808</v>
      </c>
      <c r="H367">
        <v>71058.616373744808</v>
      </c>
      <c r="I367" t="s">
        <v>71</v>
      </c>
      <c r="J367" t="s">
        <v>72</v>
      </c>
      <c r="K367" s="144">
        <v>43840</v>
      </c>
      <c r="L367" t="s">
        <v>73</v>
      </c>
      <c r="M367" s="146">
        <v>43963</v>
      </c>
      <c r="N367" s="146"/>
      <c r="O367" s="144">
        <v>44019</v>
      </c>
      <c r="P367" t="s">
        <v>71</v>
      </c>
      <c r="Q367" t="s">
        <v>98</v>
      </c>
      <c r="R367">
        <v>112158</v>
      </c>
      <c r="U367" t="s">
        <v>95</v>
      </c>
      <c r="V367">
        <v>179</v>
      </c>
    </row>
    <row r="368" spans="1:22">
      <c r="A368" t="s">
        <v>84</v>
      </c>
      <c r="B368" t="s">
        <v>67</v>
      </c>
      <c r="C368" t="s">
        <v>22</v>
      </c>
      <c r="D368" t="s">
        <v>96</v>
      </c>
      <c r="E368" t="s">
        <v>97</v>
      </c>
      <c r="F368" t="s">
        <v>162</v>
      </c>
      <c r="G368">
        <v>49876.224349751952</v>
      </c>
      <c r="H368">
        <v>49868.226712600757</v>
      </c>
      <c r="I368" t="s">
        <v>71</v>
      </c>
      <c r="J368" t="s">
        <v>72</v>
      </c>
      <c r="K368" s="144">
        <v>43860</v>
      </c>
      <c r="L368" t="s">
        <v>73</v>
      </c>
      <c r="M368" s="146">
        <v>43963</v>
      </c>
      <c r="N368" s="146"/>
      <c r="O368" s="144">
        <v>44039</v>
      </c>
      <c r="P368" t="s">
        <v>71</v>
      </c>
      <c r="Q368" t="s">
        <v>98</v>
      </c>
      <c r="R368">
        <v>112158</v>
      </c>
      <c r="U368" t="s">
        <v>95</v>
      </c>
      <c r="V368">
        <v>179</v>
      </c>
    </row>
    <row r="369" spans="1:22">
      <c r="A369" t="s">
        <v>84</v>
      </c>
      <c r="B369" t="s">
        <v>67</v>
      </c>
      <c r="C369" t="s">
        <v>22</v>
      </c>
      <c r="D369" t="s">
        <v>96</v>
      </c>
      <c r="E369" t="s">
        <v>97</v>
      </c>
      <c r="F369" t="s">
        <v>162</v>
      </c>
      <c r="G369">
        <v>51601.346094715598</v>
      </c>
      <c r="H369">
        <v>51582.361462871719</v>
      </c>
      <c r="I369" t="s">
        <v>71</v>
      </c>
      <c r="J369" t="s">
        <v>72</v>
      </c>
      <c r="K369" s="144">
        <v>43851</v>
      </c>
      <c r="L369" t="s">
        <v>73</v>
      </c>
      <c r="M369" s="146">
        <v>43963</v>
      </c>
      <c r="N369" s="146">
        <v>43967</v>
      </c>
      <c r="O369" s="144">
        <v>44076</v>
      </c>
      <c r="P369" t="s">
        <v>71</v>
      </c>
      <c r="Q369" t="s">
        <v>98</v>
      </c>
      <c r="R369">
        <v>112158</v>
      </c>
      <c r="U369" t="s">
        <v>95</v>
      </c>
      <c r="V369">
        <v>225</v>
      </c>
    </row>
    <row r="370" spans="1:22">
      <c r="A370" t="s">
        <v>66</v>
      </c>
      <c r="B370" t="s">
        <v>67</v>
      </c>
      <c r="C370" t="s">
        <v>22</v>
      </c>
      <c r="D370" t="s">
        <v>112</v>
      </c>
      <c r="E370" t="s">
        <v>200</v>
      </c>
      <c r="F370" t="s">
        <v>162</v>
      </c>
      <c r="G370">
        <v>23771.756903088215</v>
      </c>
      <c r="H370">
        <v>23771.756903088215</v>
      </c>
      <c r="I370" t="s">
        <v>71</v>
      </c>
      <c r="J370" t="s">
        <v>72</v>
      </c>
      <c r="K370" s="144">
        <v>43950</v>
      </c>
      <c r="L370" t="s">
        <v>73</v>
      </c>
      <c r="M370" s="146"/>
      <c r="N370" s="146"/>
      <c r="O370" s="144">
        <v>44135</v>
      </c>
      <c r="P370" t="s">
        <v>71</v>
      </c>
      <c r="Q370" t="s">
        <v>139</v>
      </c>
      <c r="R370">
        <v>112158</v>
      </c>
      <c r="U370" t="s">
        <v>100</v>
      </c>
      <c r="V370">
        <v>185</v>
      </c>
    </row>
    <row r="371" spans="1:22">
      <c r="A371" t="s">
        <v>84</v>
      </c>
      <c r="B371" t="s">
        <v>67</v>
      </c>
      <c r="C371" t="s">
        <v>22</v>
      </c>
      <c r="D371" t="s">
        <v>112</v>
      </c>
      <c r="E371" t="s">
        <v>119</v>
      </c>
      <c r="F371" t="s">
        <v>162</v>
      </c>
      <c r="G371">
        <v>5900.5733973308816</v>
      </c>
      <c r="H371">
        <v>5828.0996196768692</v>
      </c>
      <c r="I371" t="s">
        <v>71</v>
      </c>
      <c r="J371" t="s">
        <v>72</v>
      </c>
      <c r="K371" s="144">
        <v>44069</v>
      </c>
      <c r="L371" t="s">
        <v>73</v>
      </c>
      <c r="M371" s="146">
        <v>44076</v>
      </c>
      <c r="N371" s="146">
        <v>44076</v>
      </c>
      <c r="O371" s="144">
        <v>44087</v>
      </c>
      <c r="P371" t="s">
        <v>71</v>
      </c>
      <c r="Q371" t="s">
        <v>120</v>
      </c>
      <c r="R371">
        <v>112158</v>
      </c>
      <c r="U371" t="s">
        <v>95</v>
      </c>
      <c r="V371">
        <v>18</v>
      </c>
    </row>
    <row r="372" spans="1:22">
      <c r="A372" t="s">
        <v>84</v>
      </c>
      <c r="B372" t="s">
        <v>67</v>
      </c>
      <c r="C372" t="s">
        <v>22</v>
      </c>
      <c r="D372" t="s">
        <v>122</v>
      </c>
      <c r="E372" t="s">
        <v>132</v>
      </c>
      <c r="F372" t="s">
        <v>162</v>
      </c>
      <c r="G372">
        <v>286228.13634702389</v>
      </c>
      <c r="H372">
        <v>286228.13634702389</v>
      </c>
      <c r="I372" t="s">
        <v>71</v>
      </c>
      <c r="J372" t="s">
        <v>72</v>
      </c>
      <c r="K372" s="144">
        <v>44151</v>
      </c>
      <c r="L372" t="s">
        <v>73</v>
      </c>
      <c r="M372" s="146">
        <v>44182</v>
      </c>
      <c r="N372" s="146"/>
      <c r="O372" s="144">
        <v>44431</v>
      </c>
      <c r="P372" t="s">
        <v>71</v>
      </c>
      <c r="Q372" t="s">
        <v>133</v>
      </c>
      <c r="R372">
        <v>122619</v>
      </c>
      <c r="U372" t="s">
        <v>10</v>
      </c>
      <c r="V372">
        <v>280</v>
      </c>
    </row>
    <row r="373" spans="1:22">
      <c r="A373" t="s">
        <v>66</v>
      </c>
      <c r="B373" t="s">
        <v>67</v>
      </c>
      <c r="C373" t="s">
        <v>22</v>
      </c>
      <c r="D373" t="s">
        <v>81</v>
      </c>
      <c r="E373" t="s">
        <v>82</v>
      </c>
      <c r="F373" t="s">
        <v>162</v>
      </c>
      <c r="G373">
        <v>112989.88250103978</v>
      </c>
      <c r="H373">
        <v>110121.55588123699</v>
      </c>
      <c r="I373" t="s">
        <v>71</v>
      </c>
      <c r="J373" t="s">
        <v>72</v>
      </c>
      <c r="K373" s="144">
        <v>44196</v>
      </c>
      <c r="L373" t="s">
        <v>73</v>
      </c>
      <c r="M373" s="146"/>
      <c r="N373" s="146"/>
      <c r="O373" s="144">
        <v>44642</v>
      </c>
      <c r="P373" t="s">
        <v>71</v>
      </c>
      <c r="Q373" t="s">
        <v>83</v>
      </c>
      <c r="R373">
        <v>112158</v>
      </c>
      <c r="U373" t="s">
        <v>161</v>
      </c>
      <c r="V373">
        <v>446</v>
      </c>
    </row>
    <row r="374" spans="1:22">
      <c r="A374" t="s">
        <v>66</v>
      </c>
      <c r="B374" t="s">
        <v>67</v>
      </c>
      <c r="C374" t="s">
        <v>22</v>
      </c>
      <c r="D374" t="s">
        <v>81</v>
      </c>
      <c r="E374" t="s">
        <v>185</v>
      </c>
      <c r="F374" t="s">
        <v>162</v>
      </c>
      <c r="G374">
        <v>65857.641341904629</v>
      </c>
      <c r="H374">
        <v>54251.781600838149</v>
      </c>
      <c r="I374" t="s">
        <v>71</v>
      </c>
      <c r="J374" t="s">
        <v>72</v>
      </c>
      <c r="K374" s="144">
        <v>44196</v>
      </c>
      <c r="L374" t="s">
        <v>73</v>
      </c>
      <c r="M374" s="146"/>
      <c r="N374" s="146"/>
      <c r="O374" s="144">
        <v>44642</v>
      </c>
      <c r="P374" t="s">
        <v>71</v>
      </c>
      <c r="Q374" t="s">
        <v>166</v>
      </c>
      <c r="R374">
        <v>112158</v>
      </c>
      <c r="U374" t="s">
        <v>161</v>
      </c>
      <c r="V374">
        <v>446</v>
      </c>
    </row>
    <row r="375" spans="1:22">
      <c r="A375" t="s">
        <v>66</v>
      </c>
      <c r="B375" t="s">
        <v>67</v>
      </c>
      <c r="C375" t="s">
        <v>22</v>
      </c>
      <c r="D375" t="s">
        <v>81</v>
      </c>
      <c r="E375" t="s">
        <v>113</v>
      </c>
      <c r="F375" t="s">
        <v>162</v>
      </c>
      <c r="G375">
        <v>64524.110737314491</v>
      </c>
      <c r="H375">
        <v>54309.060289657427</v>
      </c>
      <c r="I375" t="s">
        <v>71</v>
      </c>
      <c r="J375" t="s">
        <v>72</v>
      </c>
      <c r="K375" s="144">
        <v>44196</v>
      </c>
      <c r="L375" t="s">
        <v>73</v>
      </c>
      <c r="M375" s="146"/>
      <c r="N375" s="146"/>
      <c r="O375" s="144">
        <v>44447</v>
      </c>
      <c r="P375" t="s">
        <v>71</v>
      </c>
      <c r="Q375" t="s">
        <v>114</v>
      </c>
      <c r="R375">
        <v>112158</v>
      </c>
      <c r="U375" t="s">
        <v>161</v>
      </c>
      <c r="V375">
        <v>251</v>
      </c>
    </row>
    <row r="376" spans="1:22">
      <c r="A376" t="s">
        <v>84</v>
      </c>
      <c r="B376" t="s">
        <v>67</v>
      </c>
      <c r="C376" t="s">
        <v>22</v>
      </c>
      <c r="D376" t="s">
        <v>4</v>
      </c>
      <c r="E376" t="s">
        <v>85</v>
      </c>
      <c r="F376" t="s">
        <v>162</v>
      </c>
      <c r="G376">
        <v>138433.25971593393</v>
      </c>
      <c r="H376">
        <v>0</v>
      </c>
      <c r="I376" t="s">
        <v>71</v>
      </c>
      <c r="J376" t="s">
        <v>72</v>
      </c>
      <c r="K376" s="144">
        <v>44583</v>
      </c>
      <c r="L376" t="s">
        <v>201</v>
      </c>
      <c r="M376" s="146">
        <v>44595</v>
      </c>
      <c r="N376" s="146"/>
      <c r="O376" s="144"/>
      <c r="P376" t="s">
        <v>165</v>
      </c>
      <c r="Q376" t="s">
        <v>86</v>
      </c>
      <c r="R376">
        <v>122619</v>
      </c>
      <c r="U376" t="s">
        <v>10</v>
      </c>
    </row>
    <row r="377" spans="1:22">
      <c r="A377" t="s">
        <v>84</v>
      </c>
      <c r="B377" t="s">
        <v>67</v>
      </c>
      <c r="C377" t="s">
        <v>22</v>
      </c>
      <c r="D377" t="s">
        <v>112</v>
      </c>
      <c r="E377" t="s">
        <v>202</v>
      </c>
      <c r="F377" t="s">
        <v>162</v>
      </c>
      <c r="G377">
        <v>98419.046007414698</v>
      </c>
      <c r="H377">
        <v>98419.046007414698</v>
      </c>
      <c r="I377" t="s">
        <v>71</v>
      </c>
      <c r="J377" t="s">
        <v>72</v>
      </c>
      <c r="K377" s="144">
        <v>44319</v>
      </c>
      <c r="L377" t="s">
        <v>73</v>
      </c>
      <c r="M377" s="146">
        <v>44356</v>
      </c>
      <c r="N377" s="146"/>
      <c r="O377" s="144">
        <v>44433</v>
      </c>
      <c r="P377" t="s">
        <v>71</v>
      </c>
      <c r="Q377" t="s">
        <v>203</v>
      </c>
      <c r="R377">
        <v>112158</v>
      </c>
      <c r="U377" t="s">
        <v>102</v>
      </c>
      <c r="V377">
        <v>114</v>
      </c>
    </row>
    <row r="378" spans="1:22">
      <c r="A378" t="s">
        <v>84</v>
      </c>
      <c r="B378" t="s">
        <v>67</v>
      </c>
      <c r="C378" t="s">
        <v>22</v>
      </c>
      <c r="D378" t="s">
        <v>81</v>
      </c>
      <c r="E378" t="s">
        <v>115</v>
      </c>
      <c r="F378" t="s">
        <v>162</v>
      </c>
      <c r="G378">
        <v>218721.20290400481</v>
      </c>
      <c r="H378">
        <v>0</v>
      </c>
      <c r="I378" t="s">
        <v>71</v>
      </c>
      <c r="J378" t="s">
        <v>72</v>
      </c>
      <c r="K378" s="144">
        <v>44726</v>
      </c>
      <c r="L378" t="s">
        <v>199</v>
      </c>
      <c r="M378" s="146">
        <v>44734</v>
      </c>
      <c r="N378" s="146"/>
      <c r="O378" s="144"/>
      <c r="P378" t="s">
        <v>165</v>
      </c>
      <c r="Q378" t="s">
        <v>178</v>
      </c>
      <c r="R378">
        <v>112158</v>
      </c>
      <c r="U378" t="s">
        <v>161</v>
      </c>
    </row>
    <row r="379" spans="1:22">
      <c r="A379" t="s">
        <v>66</v>
      </c>
      <c r="B379" t="s">
        <v>67</v>
      </c>
      <c r="C379" t="s">
        <v>23</v>
      </c>
      <c r="D379" t="s">
        <v>68</v>
      </c>
      <c r="E379" t="s">
        <v>204</v>
      </c>
      <c r="F379" t="s">
        <v>163</v>
      </c>
      <c r="G379">
        <v>1715388.5235139194</v>
      </c>
      <c r="H379">
        <v>1543358.5026330671</v>
      </c>
      <c r="I379" t="s">
        <v>71</v>
      </c>
      <c r="J379" t="s">
        <v>72</v>
      </c>
      <c r="K379" s="144">
        <v>43671</v>
      </c>
      <c r="L379" t="s">
        <v>73</v>
      </c>
      <c r="M379" s="146"/>
      <c r="N379" s="146"/>
      <c r="O379" s="144">
        <v>43927</v>
      </c>
      <c r="P379" t="s">
        <v>71</v>
      </c>
      <c r="Q379" t="s">
        <v>205</v>
      </c>
      <c r="R379">
        <v>112158</v>
      </c>
      <c r="U379" t="s">
        <v>95</v>
      </c>
      <c r="V379">
        <v>256</v>
      </c>
    </row>
    <row r="380" spans="1:22">
      <c r="A380" t="s">
        <v>66</v>
      </c>
      <c r="B380" t="s">
        <v>67</v>
      </c>
      <c r="C380" t="s">
        <v>23</v>
      </c>
      <c r="D380" t="s">
        <v>68</v>
      </c>
      <c r="E380" t="s">
        <v>204</v>
      </c>
      <c r="F380" t="s">
        <v>163</v>
      </c>
      <c r="G380">
        <v>566802.26412543003</v>
      </c>
      <c r="H380">
        <v>520509.77664050896</v>
      </c>
      <c r="I380" t="s">
        <v>71</v>
      </c>
      <c r="J380" t="s">
        <v>72</v>
      </c>
      <c r="K380" s="144">
        <v>43790</v>
      </c>
      <c r="L380" t="s">
        <v>73</v>
      </c>
      <c r="M380" s="146"/>
      <c r="N380" s="146"/>
      <c r="O380" s="144">
        <v>44013</v>
      </c>
      <c r="P380" t="s">
        <v>71</v>
      </c>
      <c r="Q380" t="s">
        <v>205</v>
      </c>
      <c r="R380">
        <v>112158</v>
      </c>
      <c r="U380" t="s">
        <v>10</v>
      </c>
      <c r="V380">
        <v>223</v>
      </c>
    </row>
    <row r="381" spans="1:22">
      <c r="A381" t="s">
        <v>84</v>
      </c>
      <c r="B381" t="s">
        <v>67</v>
      </c>
      <c r="C381" t="s">
        <v>23</v>
      </c>
      <c r="D381" t="s">
        <v>112</v>
      </c>
      <c r="E381" t="s">
        <v>206</v>
      </c>
      <c r="F381" t="s">
        <v>163</v>
      </c>
      <c r="G381">
        <v>227413.89479230426</v>
      </c>
      <c r="H381">
        <v>0</v>
      </c>
      <c r="I381" t="s">
        <v>71</v>
      </c>
      <c r="J381" t="s">
        <v>72</v>
      </c>
      <c r="K381" s="144">
        <v>44512</v>
      </c>
      <c r="M381" s="146"/>
      <c r="N381" s="146"/>
      <c r="O381" s="144"/>
      <c r="P381" t="s">
        <v>165</v>
      </c>
      <c r="Q381" t="s">
        <v>207</v>
      </c>
      <c r="R381">
        <v>127766</v>
      </c>
      <c r="U381" t="s">
        <v>94</v>
      </c>
    </row>
    <row r="382" spans="1:22">
      <c r="A382" t="s">
        <v>84</v>
      </c>
      <c r="B382" t="s">
        <v>67</v>
      </c>
      <c r="C382" t="s">
        <v>23</v>
      </c>
      <c r="D382" t="s">
        <v>112</v>
      </c>
      <c r="E382" t="s">
        <v>121</v>
      </c>
      <c r="F382" t="s">
        <v>163</v>
      </c>
      <c r="G382">
        <v>651825.18005150836</v>
      </c>
      <c r="H382">
        <v>361881.24380400323</v>
      </c>
      <c r="I382" t="s">
        <v>71</v>
      </c>
      <c r="J382" t="s">
        <v>72</v>
      </c>
      <c r="K382" s="144">
        <v>44367</v>
      </c>
      <c r="L382" t="s">
        <v>195</v>
      </c>
      <c r="M382" s="146">
        <v>44468</v>
      </c>
      <c r="N382" s="146"/>
      <c r="O382" s="144"/>
      <c r="P382" t="s">
        <v>165</v>
      </c>
      <c r="Q382" t="s">
        <v>120</v>
      </c>
      <c r="R382">
        <v>112158</v>
      </c>
      <c r="U382" t="s">
        <v>161</v>
      </c>
    </row>
    <row r="383" spans="1:22">
      <c r="A383" t="s">
        <v>84</v>
      </c>
      <c r="B383" t="s">
        <v>67</v>
      </c>
      <c r="C383" t="s">
        <v>23</v>
      </c>
      <c r="D383" t="s">
        <v>112</v>
      </c>
      <c r="E383" t="s">
        <v>202</v>
      </c>
      <c r="F383" t="s">
        <v>163</v>
      </c>
      <c r="G383">
        <v>46816.139623175091</v>
      </c>
      <c r="H383">
        <v>46816.139623175091</v>
      </c>
      <c r="I383" t="s">
        <v>71</v>
      </c>
      <c r="J383" t="s">
        <v>72</v>
      </c>
      <c r="K383" s="144">
        <v>44195</v>
      </c>
      <c r="L383" t="s">
        <v>73</v>
      </c>
      <c r="M383" s="146"/>
      <c r="N383" s="146"/>
      <c r="O383" s="144">
        <v>44286</v>
      </c>
      <c r="P383" t="s">
        <v>71</v>
      </c>
      <c r="Q383" t="s">
        <v>203</v>
      </c>
      <c r="R383">
        <v>112158</v>
      </c>
      <c r="U383" t="s">
        <v>161</v>
      </c>
      <c r="V383">
        <v>91</v>
      </c>
    </row>
    <row r="384" spans="1:22">
      <c r="A384" t="s">
        <v>84</v>
      </c>
      <c r="B384" t="s">
        <v>67</v>
      </c>
      <c r="C384" t="s">
        <v>23</v>
      </c>
      <c r="D384" t="s">
        <v>112</v>
      </c>
      <c r="E384" t="s">
        <v>202</v>
      </c>
      <c r="F384" t="s">
        <v>163</v>
      </c>
      <c r="G384">
        <v>107037.36735165121</v>
      </c>
      <c r="H384">
        <v>56749.187720644055</v>
      </c>
      <c r="I384" t="s">
        <v>71</v>
      </c>
      <c r="J384" t="s">
        <v>72</v>
      </c>
      <c r="K384" s="144">
        <v>44294</v>
      </c>
      <c r="L384" t="s">
        <v>73</v>
      </c>
      <c r="M384" s="146"/>
      <c r="N384" s="146"/>
      <c r="O384" s="144">
        <v>44782</v>
      </c>
      <c r="P384" t="s">
        <v>71</v>
      </c>
      <c r="Q384" t="s">
        <v>203</v>
      </c>
      <c r="R384">
        <v>112158</v>
      </c>
      <c r="U384" t="s">
        <v>102</v>
      </c>
      <c r="V384">
        <v>488</v>
      </c>
    </row>
    <row r="385" spans="1:22">
      <c r="A385" t="s">
        <v>84</v>
      </c>
      <c r="B385" t="s">
        <v>148</v>
      </c>
      <c r="C385" t="s">
        <v>24</v>
      </c>
      <c r="D385" t="s">
        <v>96</v>
      </c>
      <c r="E385" t="s">
        <v>146</v>
      </c>
      <c r="F385" t="s">
        <v>163</v>
      </c>
      <c r="G385">
        <v>173128.65632526705</v>
      </c>
      <c r="H385">
        <v>0</v>
      </c>
      <c r="I385" t="s">
        <v>71</v>
      </c>
      <c r="K385" s="144"/>
      <c r="M385" s="146"/>
      <c r="N385" s="146"/>
      <c r="O385" s="144"/>
      <c r="P385" t="s">
        <v>76</v>
      </c>
      <c r="Q385" t="s">
        <v>147</v>
      </c>
      <c r="S385">
        <v>26.58968611111111</v>
      </c>
      <c r="T385">
        <v>12.768408333333333</v>
      </c>
      <c r="U385" t="s">
        <v>95</v>
      </c>
    </row>
    <row r="386" spans="1:22">
      <c r="A386" t="s">
        <v>84</v>
      </c>
      <c r="B386" t="s">
        <v>148</v>
      </c>
      <c r="C386" t="s">
        <v>24</v>
      </c>
      <c r="D386" t="s">
        <v>96</v>
      </c>
      <c r="E386" t="s">
        <v>146</v>
      </c>
      <c r="F386" t="s">
        <v>163</v>
      </c>
      <c r="G386">
        <v>155825.38967907982</v>
      </c>
      <c r="H386">
        <v>155781.17903716743</v>
      </c>
      <c r="I386" t="s">
        <v>71</v>
      </c>
      <c r="J386" t="s">
        <v>72</v>
      </c>
      <c r="K386" s="144">
        <v>43809</v>
      </c>
      <c r="L386" t="s">
        <v>73</v>
      </c>
      <c r="M386" s="146"/>
      <c r="N386" s="146">
        <v>43823</v>
      </c>
      <c r="O386" s="144">
        <v>44108</v>
      </c>
      <c r="P386" t="s">
        <v>71</v>
      </c>
      <c r="Q386" t="s">
        <v>147</v>
      </c>
      <c r="R386">
        <v>112158</v>
      </c>
      <c r="S386">
        <v>26.590294444444442</v>
      </c>
      <c r="T386">
        <v>12.768519444444445</v>
      </c>
      <c r="U386" t="s">
        <v>103</v>
      </c>
      <c r="V386">
        <v>299</v>
      </c>
    </row>
    <row r="387" spans="1:22">
      <c r="A387" t="s">
        <v>84</v>
      </c>
      <c r="B387" t="s">
        <v>148</v>
      </c>
      <c r="C387" t="s">
        <v>24</v>
      </c>
      <c r="D387" t="s">
        <v>112</v>
      </c>
      <c r="E387" t="s">
        <v>119</v>
      </c>
      <c r="F387" t="s">
        <v>163</v>
      </c>
      <c r="G387">
        <v>345994.70885321079</v>
      </c>
      <c r="H387">
        <v>345414.14888730255</v>
      </c>
      <c r="I387" t="s">
        <v>71</v>
      </c>
      <c r="J387" t="s">
        <v>72</v>
      </c>
      <c r="K387" s="144">
        <v>43770</v>
      </c>
      <c r="L387" t="s">
        <v>73</v>
      </c>
      <c r="M387" s="146">
        <v>43779</v>
      </c>
      <c r="N387" s="146"/>
      <c r="O387" s="144">
        <v>44108</v>
      </c>
      <c r="P387" t="s">
        <v>71</v>
      </c>
      <c r="Q387" t="s">
        <v>120</v>
      </c>
      <c r="R387">
        <v>112158</v>
      </c>
      <c r="S387">
        <v>26.595944444444442</v>
      </c>
      <c r="T387">
        <v>12.779847222222223</v>
      </c>
      <c r="U387" t="s">
        <v>10</v>
      </c>
      <c r="V387">
        <v>338</v>
      </c>
    </row>
    <row r="388" spans="1:22">
      <c r="A388" t="s">
        <v>84</v>
      </c>
      <c r="B388" t="s">
        <v>148</v>
      </c>
      <c r="C388" t="s">
        <v>24</v>
      </c>
      <c r="D388" t="s">
        <v>122</v>
      </c>
      <c r="E388" t="s">
        <v>132</v>
      </c>
      <c r="F388" t="s">
        <v>163</v>
      </c>
      <c r="G388">
        <v>1000517.4705709225</v>
      </c>
      <c r="H388">
        <v>1000517.4705709225</v>
      </c>
      <c r="I388" t="s">
        <v>71</v>
      </c>
      <c r="J388" t="s">
        <v>72</v>
      </c>
      <c r="K388" s="144">
        <v>43839</v>
      </c>
      <c r="L388" t="s">
        <v>73</v>
      </c>
      <c r="M388" s="146"/>
      <c r="N388" s="146">
        <v>43936</v>
      </c>
      <c r="O388" s="144">
        <v>44161</v>
      </c>
      <c r="P388" t="s">
        <v>71</v>
      </c>
      <c r="Q388" t="s">
        <v>133</v>
      </c>
      <c r="R388">
        <v>112158</v>
      </c>
      <c r="S388">
        <v>26.589583333333334</v>
      </c>
      <c r="T388">
        <v>12.77493888888889</v>
      </c>
      <c r="U388" t="s">
        <v>95</v>
      </c>
      <c r="V388">
        <v>322</v>
      </c>
    </row>
    <row r="389" spans="1:22">
      <c r="A389" t="s">
        <v>84</v>
      </c>
      <c r="B389" t="s">
        <v>148</v>
      </c>
      <c r="C389" t="s">
        <v>24</v>
      </c>
      <c r="D389" t="s">
        <v>112</v>
      </c>
      <c r="E389" t="s">
        <v>121</v>
      </c>
      <c r="F389" t="s">
        <v>163</v>
      </c>
      <c r="G389">
        <v>224228.6432625005</v>
      </c>
      <c r="H389">
        <v>201800.14668821488</v>
      </c>
      <c r="I389" t="s">
        <v>71</v>
      </c>
      <c r="J389" t="s">
        <v>72</v>
      </c>
      <c r="K389" s="144">
        <v>44189</v>
      </c>
      <c r="L389" t="s">
        <v>73</v>
      </c>
      <c r="M389" s="146"/>
      <c r="N389" s="146">
        <v>44292</v>
      </c>
      <c r="O389" s="144">
        <v>44647</v>
      </c>
      <c r="P389" t="s">
        <v>71</v>
      </c>
      <c r="Q389" t="s">
        <v>120</v>
      </c>
      <c r="R389">
        <v>112158</v>
      </c>
      <c r="S389">
        <v>26.587658333333334</v>
      </c>
      <c r="T389">
        <v>12.777083333333334</v>
      </c>
      <c r="U389" t="s">
        <v>161</v>
      </c>
      <c r="V389">
        <v>458</v>
      </c>
    </row>
    <row r="390" spans="1:22">
      <c r="A390" t="s">
        <v>84</v>
      </c>
      <c r="B390" t="s">
        <v>148</v>
      </c>
      <c r="C390" t="s">
        <v>24</v>
      </c>
      <c r="D390" t="s">
        <v>112</v>
      </c>
      <c r="E390" t="s">
        <v>121</v>
      </c>
      <c r="F390" t="s">
        <v>163</v>
      </c>
      <c r="G390">
        <v>20417.950616733593</v>
      </c>
      <c r="H390">
        <v>20410.838118384891</v>
      </c>
      <c r="I390" t="s">
        <v>71</v>
      </c>
      <c r="J390" t="s">
        <v>72</v>
      </c>
      <c r="K390" s="144">
        <v>44233</v>
      </c>
      <c r="L390" t="s">
        <v>73</v>
      </c>
      <c r="M390" s="146"/>
      <c r="N390" s="146">
        <v>44248</v>
      </c>
      <c r="O390" s="144">
        <v>44437</v>
      </c>
      <c r="P390" t="s">
        <v>71</v>
      </c>
      <c r="Q390" t="s">
        <v>120</v>
      </c>
      <c r="R390">
        <v>112158</v>
      </c>
      <c r="U390" t="s">
        <v>92</v>
      </c>
      <c r="V390">
        <v>204</v>
      </c>
    </row>
    <row r="391" spans="1:22">
      <c r="A391" t="s">
        <v>84</v>
      </c>
      <c r="B391" t="s">
        <v>148</v>
      </c>
      <c r="C391" t="s">
        <v>24</v>
      </c>
      <c r="D391" t="s">
        <v>96</v>
      </c>
      <c r="E391" t="s">
        <v>146</v>
      </c>
      <c r="F391" t="s">
        <v>163</v>
      </c>
      <c r="G391">
        <v>470870.24180339952</v>
      </c>
      <c r="H391">
        <v>236025.34609727858</v>
      </c>
      <c r="I391" t="s">
        <v>71</v>
      </c>
      <c r="J391" t="s">
        <v>72</v>
      </c>
      <c r="K391" s="144">
        <v>44098</v>
      </c>
      <c r="L391" t="s">
        <v>208</v>
      </c>
      <c r="M391" s="146">
        <v>44130</v>
      </c>
      <c r="N391" s="146">
        <v>44228</v>
      </c>
      <c r="O391" s="144"/>
      <c r="P391" t="s">
        <v>165</v>
      </c>
      <c r="Q391" t="s">
        <v>147</v>
      </c>
      <c r="R391">
        <v>112158</v>
      </c>
      <c r="U391" t="s">
        <v>102</v>
      </c>
    </row>
    <row r="392" spans="1:22">
      <c r="A392" t="s">
        <v>66</v>
      </c>
      <c r="B392" t="s">
        <v>67</v>
      </c>
      <c r="C392" t="s">
        <v>23</v>
      </c>
      <c r="D392" t="s">
        <v>212</v>
      </c>
      <c r="E392" t="s">
        <v>213</v>
      </c>
      <c r="F392" t="s">
        <v>163</v>
      </c>
      <c r="G392">
        <v>13470.584670415587</v>
      </c>
      <c r="H392">
        <v>13470.584670415587</v>
      </c>
      <c r="I392" t="s">
        <v>71</v>
      </c>
      <c r="J392" t="s">
        <v>72</v>
      </c>
      <c r="K392" s="144">
        <v>43804</v>
      </c>
      <c r="L392" t="s">
        <v>73</v>
      </c>
      <c r="M392" s="146"/>
      <c r="N392" s="146"/>
      <c r="O392" s="144">
        <v>44074</v>
      </c>
      <c r="P392" t="s">
        <v>71</v>
      </c>
      <c r="R392">
        <v>112158</v>
      </c>
      <c r="U392" t="s">
        <v>95</v>
      </c>
      <c r="V392">
        <v>270</v>
      </c>
    </row>
    <row r="393" spans="1:22">
      <c r="A393" t="s">
        <v>66</v>
      </c>
      <c r="B393" t="s">
        <v>67</v>
      </c>
      <c r="C393" t="s">
        <v>23</v>
      </c>
      <c r="D393" t="s">
        <v>212</v>
      </c>
      <c r="E393" t="s">
        <v>213</v>
      </c>
      <c r="F393" t="s">
        <v>163</v>
      </c>
      <c r="G393">
        <v>86742.223050294197</v>
      </c>
      <c r="H393">
        <v>0</v>
      </c>
      <c r="I393" t="s">
        <v>71</v>
      </c>
      <c r="J393" t="s">
        <v>72</v>
      </c>
      <c r="K393" s="144">
        <v>43661</v>
      </c>
      <c r="L393" t="s">
        <v>73</v>
      </c>
      <c r="M393" s="146"/>
      <c r="N393" s="146"/>
      <c r="O393" s="144">
        <v>43931</v>
      </c>
      <c r="P393" t="s">
        <v>71</v>
      </c>
      <c r="V393">
        <v>270</v>
      </c>
    </row>
    <row r="394" spans="1:22">
      <c r="A394" t="s">
        <v>66</v>
      </c>
      <c r="B394" t="s">
        <v>67</v>
      </c>
      <c r="C394" t="s">
        <v>23</v>
      </c>
      <c r="D394" t="s">
        <v>212</v>
      </c>
      <c r="E394" t="s">
        <v>213</v>
      </c>
      <c r="F394" t="s">
        <v>163</v>
      </c>
      <c r="G394">
        <v>0</v>
      </c>
      <c r="H394">
        <v>0</v>
      </c>
      <c r="I394" t="s">
        <v>71</v>
      </c>
      <c r="J394" t="s">
        <v>72</v>
      </c>
      <c r="K394" s="144">
        <v>43849</v>
      </c>
      <c r="L394" t="s">
        <v>73</v>
      </c>
      <c r="M394" s="146"/>
      <c r="N394" s="146"/>
      <c r="O394" s="144">
        <v>44119</v>
      </c>
      <c r="P394" t="s">
        <v>71</v>
      </c>
      <c r="V394">
        <v>270</v>
      </c>
    </row>
    <row r="395" spans="1:22">
      <c r="A395" t="s">
        <v>66</v>
      </c>
      <c r="B395" t="s">
        <v>67</v>
      </c>
      <c r="C395" t="s">
        <v>23</v>
      </c>
      <c r="D395" t="s">
        <v>212</v>
      </c>
      <c r="E395" t="s">
        <v>213</v>
      </c>
      <c r="F395" t="s">
        <v>163</v>
      </c>
      <c r="G395">
        <v>59106.778260451574</v>
      </c>
      <c r="H395">
        <v>0</v>
      </c>
      <c r="I395" t="s">
        <v>71</v>
      </c>
      <c r="J395" t="s">
        <v>215</v>
      </c>
      <c r="K395" s="144"/>
      <c r="M395" s="146"/>
      <c r="N395" s="146"/>
      <c r="O395" s="144"/>
      <c r="P395" t="s">
        <v>152</v>
      </c>
      <c r="U395" t="s">
        <v>94</v>
      </c>
    </row>
    <row r="396" spans="1:22">
      <c r="A396" t="s">
        <v>84</v>
      </c>
      <c r="B396" t="s">
        <v>148</v>
      </c>
      <c r="C396" t="s">
        <v>18</v>
      </c>
      <c r="D396" t="s">
        <v>212</v>
      </c>
      <c r="E396" t="s">
        <v>214</v>
      </c>
      <c r="F396" t="s">
        <v>162</v>
      </c>
      <c r="G396">
        <v>21792.579108129008</v>
      </c>
      <c r="H396">
        <v>21074.136717383579</v>
      </c>
      <c r="I396" t="s">
        <v>71</v>
      </c>
      <c r="J396" t="s">
        <v>72</v>
      </c>
      <c r="K396" s="144">
        <v>44231</v>
      </c>
      <c r="L396" t="s">
        <v>73</v>
      </c>
      <c r="M396" s="146">
        <v>44242</v>
      </c>
      <c r="N396" s="146">
        <v>44255</v>
      </c>
      <c r="O396" s="144">
        <v>44412</v>
      </c>
      <c r="P396" t="s">
        <v>71</v>
      </c>
      <c r="Q396" t="s">
        <v>110</v>
      </c>
      <c r="R396">
        <v>122619</v>
      </c>
      <c r="U396" t="s">
        <v>10</v>
      </c>
      <c r="V396">
        <v>181</v>
      </c>
    </row>
    <row r="397" spans="1:22">
      <c r="A397" t="s">
        <v>66</v>
      </c>
      <c r="B397" t="s">
        <v>148</v>
      </c>
      <c r="C397" t="s">
        <v>16</v>
      </c>
      <c r="D397" t="s">
        <v>212</v>
      </c>
      <c r="E397" t="s">
        <v>213</v>
      </c>
      <c r="F397" t="s">
        <v>162</v>
      </c>
      <c r="G397">
        <v>63416.038861796573</v>
      </c>
      <c r="H397">
        <v>0</v>
      </c>
      <c r="I397" t="s">
        <v>71</v>
      </c>
      <c r="J397" t="s">
        <v>72</v>
      </c>
      <c r="K397" s="144">
        <v>43927</v>
      </c>
      <c r="L397" t="s">
        <v>73</v>
      </c>
      <c r="M397" s="146"/>
      <c r="N397" s="146"/>
      <c r="O397" s="144">
        <v>44197</v>
      </c>
      <c r="P397" t="s">
        <v>71</v>
      </c>
      <c r="Q397" t="s">
        <v>126</v>
      </c>
      <c r="U397" t="s">
        <v>95</v>
      </c>
      <c r="V397">
        <v>270</v>
      </c>
    </row>
    <row r="398" spans="1:22">
      <c r="A398" t="s">
        <v>84</v>
      </c>
      <c r="B398" t="s">
        <v>118</v>
      </c>
      <c r="C398" t="s">
        <v>15</v>
      </c>
      <c r="D398" t="s">
        <v>212</v>
      </c>
      <c r="E398" t="s">
        <v>214</v>
      </c>
      <c r="F398" t="s">
        <v>162</v>
      </c>
      <c r="G398">
        <v>163477.91622516923</v>
      </c>
      <c r="H398">
        <v>0</v>
      </c>
      <c r="I398" t="s">
        <v>71</v>
      </c>
      <c r="J398" t="s">
        <v>72</v>
      </c>
      <c r="K398" s="144">
        <v>44533</v>
      </c>
      <c r="L398" t="s">
        <v>201</v>
      </c>
      <c r="M398" s="146">
        <v>44548</v>
      </c>
      <c r="N398" s="146"/>
      <c r="O398" s="144"/>
      <c r="P398" t="s">
        <v>165</v>
      </c>
      <c r="Q398" t="s">
        <v>110</v>
      </c>
      <c r="R398">
        <v>127766</v>
      </c>
      <c r="U398" t="s">
        <v>94</v>
      </c>
    </row>
    <row r="399" spans="1:22">
      <c r="A399" t="s">
        <v>66</v>
      </c>
      <c r="B399" t="s">
        <v>148</v>
      </c>
      <c r="C399" t="s">
        <v>20</v>
      </c>
      <c r="D399" t="s">
        <v>212</v>
      </c>
      <c r="E399" t="s">
        <v>213</v>
      </c>
      <c r="F399" t="s">
        <v>163</v>
      </c>
      <c r="G399">
        <v>87511.288385377498</v>
      </c>
      <c r="H399">
        <v>74622.432379440652</v>
      </c>
      <c r="I399" t="s">
        <v>71</v>
      </c>
      <c r="J399" t="s">
        <v>72</v>
      </c>
      <c r="K399" s="144">
        <v>43985</v>
      </c>
      <c r="L399" t="s">
        <v>73</v>
      </c>
      <c r="M399" s="146"/>
      <c r="N399" s="146"/>
      <c r="O399" s="144">
        <v>44255</v>
      </c>
      <c r="P399" t="s">
        <v>71</v>
      </c>
      <c r="R399">
        <v>98720</v>
      </c>
      <c r="U399" t="s">
        <v>100</v>
      </c>
      <c r="V399">
        <v>270</v>
      </c>
    </row>
    <row r="400" spans="1:22">
      <c r="A400" t="s">
        <v>66</v>
      </c>
      <c r="B400" t="s">
        <v>118</v>
      </c>
      <c r="C400" t="s">
        <v>12</v>
      </c>
      <c r="D400" t="s">
        <v>212</v>
      </c>
      <c r="E400" t="s">
        <v>213</v>
      </c>
      <c r="F400" t="s">
        <v>162</v>
      </c>
      <c r="G400">
        <v>127602.96233698342</v>
      </c>
      <c r="H400">
        <v>100640.11905764022</v>
      </c>
      <c r="I400" t="s">
        <v>71</v>
      </c>
      <c r="J400" t="s">
        <v>72</v>
      </c>
      <c r="K400" s="144">
        <v>43972</v>
      </c>
      <c r="L400" t="s">
        <v>73</v>
      </c>
      <c r="M400" s="146"/>
      <c r="N400" s="146"/>
      <c r="O400" s="144">
        <v>44242</v>
      </c>
      <c r="P400" t="s">
        <v>71</v>
      </c>
      <c r="R400">
        <v>98720</v>
      </c>
      <c r="U400" t="s">
        <v>100</v>
      </c>
      <c r="V400">
        <v>270</v>
      </c>
    </row>
    <row r="401" spans="1:22">
      <c r="A401" t="s">
        <v>66</v>
      </c>
      <c r="B401" t="s">
        <v>67</v>
      </c>
      <c r="C401" t="s">
        <v>23</v>
      </c>
      <c r="D401" t="s">
        <v>212</v>
      </c>
      <c r="E401" t="s">
        <v>213</v>
      </c>
      <c r="F401" t="s">
        <v>163</v>
      </c>
      <c r="G401">
        <v>0</v>
      </c>
      <c r="H401">
        <v>0</v>
      </c>
      <c r="I401" t="s">
        <v>71</v>
      </c>
      <c r="J401" t="s">
        <v>72</v>
      </c>
      <c r="K401" s="144">
        <v>43952</v>
      </c>
      <c r="L401" t="s">
        <v>73</v>
      </c>
      <c r="M401" s="146"/>
      <c r="N401" s="146"/>
      <c r="O401" s="144">
        <v>44222</v>
      </c>
      <c r="P401" t="s">
        <v>71</v>
      </c>
      <c r="V401">
        <v>270</v>
      </c>
    </row>
    <row r="402" spans="1:22">
      <c r="A402" t="s">
        <v>66</v>
      </c>
      <c r="B402" t="s">
        <v>67</v>
      </c>
      <c r="C402" t="s">
        <v>23</v>
      </c>
      <c r="D402" t="s">
        <v>212</v>
      </c>
      <c r="E402" t="s">
        <v>213</v>
      </c>
      <c r="F402" t="s">
        <v>163</v>
      </c>
      <c r="G402">
        <v>147392.84447992657</v>
      </c>
      <c r="H402">
        <v>146918.6854319761</v>
      </c>
      <c r="I402" t="s">
        <v>71</v>
      </c>
      <c r="J402" t="s">
        <v>72</v>
      </c>
      <c r="K402" s="144">
        <v>44148</v>
      </c>
      <c r="L402" t="s">
        <v>73</v>
      </c>
      <c r="M402" s="146"/>
      <c r="N402" s="146"/>
      <c r="O402" s="144">
        <v>44418</v>
      </c>
      <c r="P402" t="s">
        <v>71</v>
      </c>
      <c r="R402">
        <v>112158</v>
      </c>
      <c r="U402" t="s">
        <v>95</v>
      </c>
      <c r="V402">
        <v>270</v>
      </c>
    </row>
    <row r="403" spans="1:22">
      <c r="A403" t="s">
        <v>84</v>
      </c>
      <c r="B403" t="s">
        <v>67</v>
      </c>
      <c r="C403" t="s">
        <v>23</v>
      </c>
      <c r="D403" t="s">
        <v>212</v>
      </c>
      <c r="E403" t="s">
        <v>214</v>
      </c>
      <c r="F403" t="s">
        <v>163</v>
      </c>
      <c r="G403">
        <v>206275.31893161123</v>
      </c>
      <c r="H403">
        <v>206275.31893161123</v>
      </c>
      <c r="I403" t="s">
        <v>71</v>
      </c>
      <c r="J403" t="s">
        <v>72</v>
      </c>
      <c r="K403" s="144">
        <v>44402</v>
      </c>
      <c r="L403" t="s">
        <v>73</v>
      </c>
      <c r="M403" s="146"/>
      <c r="N403" s="146"/>
      <c r="O403" s="144">
        <v>44518</v>
      </c>
      <c r="P403" t="s">
        <v>71</v>
      </c>
      <c r="Q403" t="s">
        <v>126</v>
      </c>
      <c r="R403">
        <v>127766</v>
      </c>
      <c r="U403" t="s">
        <v>94</v>
      </c>
      <c r="V403">
        <v>116</v>
      </c>
    </row>
    <row r="404" spans="1:22">
      <c r="A404" t="s">
        <v>84</v>
      </c>
      <c r="B404" t="s">
        <v>67</v>
      </c>
      <c r="C404" t="s">
        <v>23</v>
      </c>
      <c r="D404" t="s">
        <v>212</v>
      </c>
      <c r="E404" t="s">
        <v>214</v>
      </c>
      <c r="F404" t="s">
        <v>163</v>
      </c>
      <c r="G404">
        <v>238260.03266238049</v>
      </c>
      <c r="H404">
        <v>0</v>
      </c>
      <c r="I404" t="s">
        <v>75</v>
      </c>
      <c r="K404" s="144"/>
      <c r="M404" s="146"/>
      <c r="N404" s="146"/>
      <c r="O404" s="144"/>
      <c r="P404" t="s">
        <v>76</v>
      </c>
      <c r="Q404" t="s">
        <v>126</v>
      </c>
    </row>
  </sheetData>
  <phoneticPr fontId="1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7B88F-8B8B-412A-ACAE-75225FEA23FD}">
  <dimension ref="A1:B13"/>
  <sheetViews>
    <sheetView workbookViewId="0">
      <selection activeCell="H12" sqref="H12"/>
    </sheetView>
  </sheetViews>
  <sheetFormatPr defaultRowHeight="15"/>
  <cols>
    <col min="1" max="1" width="15.28515625" bestFit="1" customWidth="1"/>
    <col min="2" max="2" width="11.7109375" bestFit="1" customWidth="1"/>
  </cols>
  <sheetData>
    <row r="1" spans="1:2">
      <c r="A1" t="s">
        <v>217</v>
      </c>
      <c r="B1" t="s">
        <v>218</v>
      </c>
    </row>
    <row r="2" spans="1:2">
      <c r="A2" t="s">
        <v>219</v>
      </c>
      <c r="B2" t="s">
        <v>92</v>
      </c>
    </row>
    <row r="3" spans="1:2">
      <c r="A3" t="s">
        <v>220</v>
      </c>
      <c r="B3" t="s">
        <v>99</v>
      </c>
    </row>
    <row r="4" spans="1:2">
      <c r="A4" t="s">
        <v>221</v>
      </c>
      <c r="B4" t="s">
        <v>95</v>
      </c>
    </row>
    <row r="5" spans="1:2">
      <c r="A5" t="s">
        <v>222</v>
      </c>
      <c r="B5" t="s">
        <v>95</v>
      </c>
    </row>
    <row r="6" spans="1:2">
      <c r="A6" t="s">
        <v>223</v>
      </c>
      <c r="B6" t="s">
        <v>95</v>
      </c>
    </row>
    <row r="7" spans="1:2">
      <c r="A7" t="s">
        <v>224</v>
      </c>
      <c r="B7" t="s">
        <v>95</v>
      </c>
    </row>
    <row r="8" spans="1:2">
      <c r="A8" t="s">
        <v>225</v>
      </c>
      <c r="B8" t="s">
        <v>161</v>
      </c>
    </row>
    <row r="9" spans="1:2">
      <c r="A9" t="s">
        <v>226</v>
      </c>
      <c r="B9" t="s">
        <v>95</v>
      </c>
    </row>
    <row r="10" spans="1:2">
      <c r="A10" t="s">
        <v>227</v>
      </c>
      <c r="B10" t="s">
        <v>94</v>
      </c>
    </row>
    <row r="11" spans="1:2">
      <c r="A11" t="s">
        <v>228</v>
      </c>
      <c r="B11" t="s">
        <v>10</v>
      </c>
    </row>
    <row r="12" spans="1:2">
      <c r="A12" t="s">
        <v>229</v>
      </c>
      <c r="B12" t="s">
        <v>102</v>
      </c>
    </row>
    <row r="13" spans="1:2">
      <c r="A13" t="s">
        <v>230</v>
      </c>
      <c r="B13" t="s">
        <v>106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00B050"/>
    <pageSetUpPr autoPageBreaks="0" fitToPage="1"/>
  </sheetPr>
  <dimension ref="A1:AL481"/>
  <sheetViews>
    <sheetView zoomScale="80" zoomScaleNormal="80" zoomScaleSheetLayoutView="100" zoomScalePageLayoutView="125" workbookViewId="0">
      <pane xSplit="6" ySplit="1" topLeftCell="M148" activePane="bottomRight" state="frozen"/>
      <selection pane="topRight" activeCell="H6" sqref="H6"/>
      <selection pane="bottomLeft" activeCell="H6" sqref="H6"/>
      <selection pane="bottomRight" activeCell="P424" sqref="P424"/>
    </sheetView>
  </sheetViews>
  <sheetFormatPr defaultColWidth="9.140625" defaultRowHeight="28.5" customHeight="1" outlineLevelCol="3"/>
  <cols>
    <col min="1" max="1" width="9.140625" hidden="1" customWidth="1"/>
    <col min="2" max="2" width="15.85546875" bestFit="1" customWidth="1"/>
    <col min="3" max="3" width="15" customWidth="1"/>
    <col min="4" max="4" width="17.28515625" customWidth="1"/>
    <col min="5" max="5" width="16.42578125" customWidth="1"/>
    <col min="6" max="6" width="59.28515625" customWidth="1"/>
    <col min="7" max="7" width="24.5703125" customWidth="1" outlineLevel="2"/>
    <col min="8" max="9" width="21.28515625" customWidth="1" outlineLevel="2"/>
    <col min="10" max="11" width="17.140625" customWidth="1" outlineLevel="2"/>
    <col min="12" max="12" width="16.7109375" customWidth="1" outlineLevel="2"/>
    <col min="13" max="13" width="22.85546875" customWidth="1" outlineLevel="2"/>
    <col min="14" max="14" width="19.5703125" customWidth="1" outlineLevel="3"/>
    <col min="15" max="15" width="21" customWidth="1" outlineLevel="2"/>
    <col min="16" max="17" width="19.85546875" customWidth="1" outlineLevel="2"/>
    <col min="18" max="18" width="20.7109375" customWidth="1" outlineLevel="1"/>
    <col min="19" max="19" width="20.140625" customWidth="1"/>
    <col min="20" max="20" width="24.140625" customWidth="1"/>
    <col min="21" max="21" width="20.28515625" customWidth="1"/>
    <col min="22" max="24" width="23" customWidth="1" outlineLevel="2"/>
    <col min="25" max="27" width="17" customWidth="1" outlineLevel="1"/>
    <col min="28" max="29" width="21.5703125" customWidth="1"/>
    <col min="30" max="30" width="18.85546875" customWidth="1"/>
    <col min="31" max="32" width="19.5703125" customWidth="1"/>
    <col min="33" max="34" width="14.28515625" customWidth="1"/>
    <col min="35" max="35" width="17.5703125" customWidth="1"/>
    <col min="36" max="36" width="22.85546875" customWidth="1"/>
    <col min="37" max="38" width="20.28515625" customWidth="1"/>
    <col min="42" max="42" width="11.7109375" bestFit="1" customWidth="1"/>
    <col min="44" max="44" width="11.7109375" bestFit="1" customWidth="1"/>
  </cols>
  <sheetData>
    <row r="1" spans="1:32" s="16" customFormat="1" ht="72">
      <c r="A1" s="16" t="s">
        <v>1</v>
      </c>
      <c r="B1" s="48" t="s">
        <v>47</v>
      </c>
      <c r="C1" s="48" t="s">
        <v>48</v>
      </c>
      <c r="D1" s="48" t="s">
        <v>2</v>
      </c>
      <c r="E1" s="48" t="s">
        <v>49</v>
      </c>
      <c r="F1" s="48" t="s">
        <v>50</v>
      </c>
      <c r="G1" s="48" t="s">
        <v>51</v>
      </c>
      <c r="H1" s="68" t="s">
        <v>231</v>
      </c>
      <c r="I1" s="68" t="s">
        <v>52</v>
      </c>
      <c r="J1" s="49" t="s">
        <v>232</v>
      </c>
      <c r="K1" s="49" t="s">
        <v>53</v>
      </c>
      <c r="L1" s="48" t="s">
        <v>54</v>
      </c>
      <c r="M1" s="48" t="s">
        <v>55</v>
      </c>
      <c r="N1" s="48" t="s">
        <v>56</v>
      </c>
      <c r="O1" s="108" t="s">
        <v>57</v>
      </c>
      <c r="P1" s="48" t="s">
        <v>58</v>
      </c>
      <c r="Q1" s="48" t="s">
        <v>59</v>
      </c>
      <c r="R1" s="48" t="s">
        <v>60</v>
      </c>
      <c r="S1" s="48" t="s">
        <v>61</v>
      </c>
      <c r="T1" s="48" t="s">
        <v>233</v>
      </c>
      <c r="U1" s="50" t="s">
        <v>234</v>
      </c>
      <c r="V1" s="48" t="s">
        <v>235</v>
      </c>
      <c r="W1" s="48" t="s">
        <v>62</v>
      </c>
      <c r="X1" s="48" t="s">
        <v>236</v>
      </c>
      <c r="Y1" s="51" t="s">
        <v>237</v>
      </c>
      <c r="Z1" s="48" t="s">
        <v>238</v>
      </c>
      <c r="AA1" s="48" t="s">
        <v>63</v>
      </c>
      <c r="AB1" s="103" t="s">
        <v>40</v>
      </c>
      <c r="AC1" s="103" t="s">
        <v>41</v>
      </c>
      <c r="AE1" s="16" t="s">
        <v>239</v>
      </c>
      <c r="AF1" s="16" t="s">
        <v>240</v>
      </c>
    </row>
    <row r="2" spans="1:32" s="16" customFormat="1" ht="28.5" customHeight="1">
      <c r="A2" s="96">
        <v>1</v>
      </c>
      <c r="B2" s="17"/>
      <c r="C2" s="17"/>
      <c r="D2" s="17" t="s">
        <v>21</v>
      </c>
      <c r="E2" s="17" t="s">
        <v>68</v>
      </c>
      <c r="F2" s="18"/>
      <c r="G2" s="5" t="s">
        <v>70</v>
      </c>
      <c r="H2" s="58"/>
      <c r="I2" s="58">
        <f>Table1[[#This Row],[Contracted Amount]]*AF2</f>
        <v>0</v>
      </c>
      <c r="J2" s="59"/>
      <c r="K2" s="59">
        <f>Table1[[#This Row],[Actual Expenditure (including admin fees)]]*AF2</f>
        <v>0</v>
      </c>
      <c r="L2" s="103"/>
      <c r="M2" s="42"/>
      <c r="N2" s="42"/>
      <c r="O2" s="109"/>
      <c r="P2" s="41"/>
      <c r="Q2" s="41"/>
      <c r="R2" s="93"/>
      <c r="S2" s="103"/>
      <c r="T2" s="88"/>
      <c r="U2" s="31"/>
      <c r="V2" s="117"/>
      <c r="W2" s="117"/>
      <c r="X2" s="139"/>
      <c r="Y2" s="25"/>
      <c r="Z2" s="34" t="str">
        <f>IF(ISERROR(VLOOKUP(Y2,'Data inputs '!$N$4:$O$23,2,0)),"",(VLOOKUP(Y2,'Data inputs '!$N$4:$O$23,2,0)))</f>
        <v/>
      </c>
      <c r="AA2" s="34"/>
      <c r="AB2" s="5"/>
      <c r="AC2" s="5"/>
      <c r="AE2" s="16" cm="1">
        <f t="array" aca="1" ref="AE2:AE471" ca="1">_xlfn.RANDARRAY(470,,0.5,0.75,FALSE)</f>
        <v>0.5074963143697423</v>
      </c>
      <c r="AF2" s="16">
        <v>0.52262410172895202</v>
      </c>
    </row>
    <row r="3" spans="1:32" s="16" customFormat="1" ht="25.5">
      <c r="A3" s="96">
        <v>2</v>
      </c>
      <c r="B3" s="5" t="s">
        <v>66</v>
      </c>
      <c r="C3" s="5" t="s">
        <v>67</v>
      </c>
      <c r="D3" s="5" t="s">
        <v>21</v>
      </c>
      <c r="E3" s="5" t="s">
        <v>68</v>
      </c>
      <c r="F3" s="5" t="s">
        <v>69</v>
      </c>
      <c r="G3" s="35" t="s">
        <v>70</v>
      </c>
      <c r="H3" s="44">
        <f>(877005.42/9)*8+36458.33+(43952.54/5)*4</f>
        <v>851180.73533333337</v>
      </c>
      <c r="I3" s="44">
        <f>Table1[[#This Row],[Contracted Amount]]*AF3</f>
        <v>592330.75584795116</v>
      </c>
      <c r="J3" s="44">
        <f>(877005.42/9)*8+36458.33+(44415.21/5)*4</f>
        <v>851550.87133333331</v>
      </c>
      <c r="K3" s="44">
        <f>Table1[[#This Row],[Actual Expenditure (including admin fees)]]*AF3</f>
        <v>592588.3309169648</v>
      </c>
      <c r="L3" s="35" t="s">
        <v>71</v>
      </c>
      <c r="M3" s="42" t="s">
        <v>72</v>
      </c>
      <c r="N3" s="42">
        <v>43009</v>
      </c>
      <c r="O3" s="100" t="s">
        <v>73</v>
      </c>
      <c r="P3" s="42"/>
      <c r="Q3" s="42"/>
      <c r="R3" s="42">
        <v>43305</v>
      </c>
      <c r="S3" s="36" t="s">
        <v>71</v>
      </c>
      <c r="T3" s="89" t="s">
        <v>241</v>
      </c>
      <c r="U3" s="9"/>
      <c r="V3" s="118" t="s">
        <v>71</v>
      </c>
      <c r="W3" s="118" t="s">
        <v>74</v>
      </c>
      <c r="X3" s="136">
        <v>8</v>
      </c>
      <c r="Y3" s="23" t="s">
        <v>242</v>
      </c>
      <c r="Z3" s="34" t="s">
        <v>243</v>
      </c>
      <c r="AA3" s="34">
        <v>98720</v>
      </c>
      <c r="AB3" s="5">
        <v>31.210313888888887</v>
      </c>
      <c r="AC3" s="5">
        <v>16.492316666666667</v>
      </c>
      <c r="AE3" s="16">
        <f ca="1"/>
        <v>0.57161933813620691</v>
      </c>
      <c r="AF3" s="16">
        <v>0.69589304745717351</v>
      </c>
    </row>
    <row r="4" spans="1:32" s="16" customFormat="1" ht="28.5" customHeight="1">
      <c r="A4" s="96">
        <v>3</v>
      </c>
      <c r="B4" s="5" t="s">
        <v>66</v>
      </c>
      <c r="C4" s="5" t="s">
        <v>67</v>
      </c>
      <c r="D4" s="5" t="s">
        <v>21</v>
      </c>
      <c r="E4" s="5" t="s">
        <v>68</v>
      </c>
      <c r="F4" s="5" t="s">
        <v>69</v>
      </c>
      <c r="G4" s="35" t="s">
        <v>70</v>
      </c>
      <c r="H4" s="44">
        <f>8*150000</f>
        <v>1200000</v>
      </c>
      <c r="I4" s="44">
        <f>Table1[[#This Row],[Contracted Amount]]*AF4</f>
        <v>885386.38948647538</v>
      </c>
      <c r="J4" s="44"/>
      <c r="K4" s="44">
        <f>Table1[[#This Row],[Actual Expenditure (including admin fees)]]*AF4</f>
        <v>0</v>
      </c>
      <c r="L4" s="35" t="s">
        <v>75</v>
      </c>
      <c r="M4" s="42"/>
      <c r="N4" s="42"/>
      <c r="O4" s="100"/>
      <c r="P4" s="42"/>
      <c r="Q4" s="42"/>
      <c r="R4" s="93"/>
      <c r="S4" s="36" t="s">
        <v>76</v>
      </c>
      <c r="T4" s="89" t="s">
        <v>244</v>
      </c>
      <c r="U4" s="9">
        <v>43875</v>
      </c>
      <c r="V4" s="118" t="s">
        <v>245</v>
      </c>
      <c r="W4" s="118" t="s">
        <v>77</v>
      </c>
      <c r="X4" s="136">
        <v>8</v>
      </c>
      <c r="Y4" s="23"/>
      <c r="Z4" s="34" t="str">
        <f>IF(ISERROR(VLOOKUP(Y4,'Data inputs '!$N$4:$O$23,2,0)),"",(VLOOKUP(Y4,'Data inputs '!$N$4:$O$23,2,0)))</f>
        <v/>
      </c>
      <c r="AA4" s="34"/>
      <c r="AB4" s="5"/>
      <c r="AC4" s="5"/>
      <c r="AE4" s="16">
        <f ca="1"/>
        <v>0.72236716904126186</v>
      </c>
      <c r="AF4" s="16">
        <v>0.73782199123872949</v>
      </c>
    </row>
    <row r="5" spans="1:32" s="16" customFormat="1" ht="28.5" customHeight="1">
      <c r="A5" s="96">
        <v>4</v>
      </c>
      <c r="B5" s="5" t="s">
        <v>66</v>
      </c>
      <c r="C5" s="5" t="s">
        <v>67</v>
      </c>
      <c r="D5" s="5" t="s">
        <v>21</v>
      </c>
      <c r="E5" s="5" t="s">
        <v>68</v>
      </c>
      <c r="F5" s="5" t="s">
        <v>69</v>
      </c>
      <c r="G5" s="35" t="s">
        <v>70</v>
      </c>
      <c r="H5" s="44">
        <f>8*100000</f>
        <v>800000</v>
      </c>
      <c r="I5" s="44">
        <f>Table1[[#This Row],[Contracted Amount]]*AF5</f>
        <v>505202.56740248943</v>
      </c>
      <c r="J5" s="44"/>
      <c r="K5" s="44">
        <f>Table1[[#This Row],[Actual Expenditure (including admin fees)]]*AF5</f>
        <v>0</v>
      </c>
      <c r="L5" s="35" t="s">
        <v>75</v>
      </c>
      <c r="M5" s="42"/>
      <c r="N5" s="42"/>
      <c r="O5" s="100"/>
      <c r="P5" s="42"/>
      <c r="Q5" s="42"/>
      <c r="R5" s="93"/>
      <c r="S5" s="36" t="s">
        <v>76</v>
      </c>
      <c r="T5" s="89" t="s">
        <v>244</v>
      </c>
      <c r="U5" s="9">
        <v>43875</v>
      </c>
      <c r="V5" s="118" t="s">
        <v>245</v>
      </c>
      <c r="W5" s="118" t="s">
        <v>74</v>
      </c>
      <c r="X5" s="136">
        <v>8</v>
      </c>
      <c r="Y5" s="23"/>
      <c r="Z5" s="34" t="str">
        <f>IF(ISERROR(VLOOKUP(Y5,'Data inputs '!$N$4:$O$23,2,0)),"",(VLOOKUP(Y5,'Data inputs '!$N$4:$O$23,2,0)))</f>
        <v/>
      </c>
      <c r="AA5" s="34"/>
      <c r="AB5" s="5"/>
      <c r="AC5" s="5"/>
      <c r="AE5" s="16">
        <f ca="1"/>
        <v>0.65970292519623175</v>
      </c>
      <c r="AF5" s="16">
        <v>0.63150320925311176</v>
      </c>
    </row>
    <row r="6" spans="1:32" s="16" customFormat="1" ht="28.5" customHeight="1">
      <c r="A6" s="96">
        <v>5</v>
      </c>
      <c r="B6" s="5" t="s">
        <v>66</v>
      </c>
      <c r="C6" s="5" t="s">
        <v>67</v>
      </c>
      <c r="D6" s="5" t="s">
        <v>21</v>
      </c>
      <c r="E6" s="5" t="s">
        <v>68</v>
      </c>
      <c r="F6" s="5" t="s">
        <v>69</v>
      </c>
      <c r="G6" s="35" t="s">
        <v>70</v>
      </c>
      <c r="H6" s="44">
        <f>10*150000</f>
        <v>1500000</v>
      </c>
      <c r="I6" s="44">
        <f>Table1[[#This Row],[Contracted Amount]]*AF6</f>
        <v>794730.15345923114</v>
      </c>
      <c r="J6" s="44"/>
      <c r="K6" s="44">
        <f>Table1[[#This Row],[Actual Expenditure (including admin fees)]]*AF6</f>
        <v>0</v>
      </c>
      <c r="L6" s="35" t="s">
        <v>75</v>
      </c>
      <c r="M6" s="42"/>
      <c r="N6" s="42"/>
      <c r="O6" s="100"/>
      <c r="P6" s="42"/>
      <c r="Q6" s="42"/>
      <c r="R6" s="93"/>
      <c r="S6" s="36" t="s">
        <v>76</v>
      </c>
      <c r="T6" s="89" t="s">
        <v>244</v>
      </c>
      <c r="U6" s="9">
        <v>43875</v>
      </c>
      <c r="V6" s="118" t="s">
        <v>245</v>
      </c>
      <c r="W6" s="118" t="s">
        <v>77</v>
      </c>
      <c r="X6" s="136">
        <v>10</v>
      </c>
      <c r="Y6" s="23"/>
      <c r="Z6" s="34" t="str">
        <f>IF(ISERROR(VLOOKUP(Y6,'Data inputs '!$N$4:$O$23,2,0)),"",(VLOOKUP(Y6,'Data inputs '!$N$4:$O$23,2,0)))</f>
        <v/>
      </c>
      <c r="AA6" s="34"/>
      <c r="AB6" s="5"/>
      <c r="AC6" s="5"/>
      <c r="AE6" s="16">
        <f ca="1"/>
        <v>0.74352381853264071</v>
      </c>
      <c r="AF6" s="16">
        <v>0.52982010230615406</v>
      </c>
    </row>
    <row r="7" spans="1:32" s="16" customFormat="1" ht="28.5" customHeight="1">
      <c r="A7" s="96">
        <v>6</v>
      </c>
      <c r="B7" s="5" t="s">
        <v>66</v>
      </c>
      <c r="C7" s="5" t="s">
        <v>67</v>
      </c>
      <c r="D7" s="5" t="s">
        <v>21</v>
      </c>
      <c r="E7" s="5" t="s">
        <v>68</v>
      </c>
      <c r="F7" s="5" t="s">
        <v>79</v>
      </c>
      <c r="G7" s="35" t="s">
        <v>70</v>
      </c>
      <c r="H7" s="44">
        <f>72204+18714.12</f>
        <v>90918.12</v>
      </c>
      <c r="I7" s="44">
        <f>Table1[[#This Row],[Contracted Amount]]*AF7</f>
        <v>48357.867473610117</v>
      </c>
      <c r="J7" s="44">
        <f>72204+18714.12</f>
        <v>90918.12</v>
      </c>
      <c r="K7" s="44">
        <f>Table1[[#This Row],[Actual Expenditure (including admin fees)]]*AF7</f>
        <v>48357.867473610117</v>
      </c>
      <c r="L7" s="35" t="s">
        <v>71</v>
      </c>
      <c r="M7" s="42" t="s">
        <v>72</v>
      </c>
      <c r="N7" s="42">
        <v>43009</v>
      </c>
      <c r="O7" s="100" t="s">
        <v>73</v>
      </c>
      <c r="P7" s="42"/>
      <c r="Q7" s="42"/>
      <c r="R7" s="42">
        <v>43307</v>
      </c>
      <c r="S7" s="36" t="s">
        <v>71</v>
      </c>
      <c r="T7" s="89" t="s">
        <v>246</v>
      </c>
      <c r="U7" s="9"/>
      <c r="V7" s="118" t="s">
        <v>71</v>
      </c>
      <c r="W7" s="118" t="s">
        <v>80</v>
      </c>
      <c r="X7" s="136">
        <v>200</v>
      </c>
      <c r="Y7" s="23" t="s">
        <v>242</v>
      </c>
      <c r="Z7" s="34" t="s">
        <v>243</v>
      </c>
      <c r="AA7" s="34">
        <v>98720</v>
      </c>
      <c r="AB7" s="5">
        <v>31.209630555555556</v>
      </c>
      <c r="AC7" s="5">
        <v>16.492458333333335</v>
      </c>
      <c r="AE7" s="16">
        <f ca="1"/>
        <v>0.629793329089672</v>
      </c>
      <c r="AF7" s="16">
        <v>0.53188371551908598</v>
      </c>
    </row>
    <row r="8" spans="1:32" s="16" customFormat="1" ht="28.5" customHeight="1">
      <c r="A8" s="96">
        <v>7</v>
      </c>
      <c r="B8" s="5" t="s">
        <v>66</v>
      </c>
      <c r="C8" s="5" t="s">
        <v>67</v>
      </c>
      <c r="D8" s="5" t="s">
        <v>21</v>
      </c>
      <c r="E8" s="5" t="s">
        <v>68</v>
      </c>
      <c r="F8" s="5" t="s">
        <v>79</v>
      </c>
      <c r="G8" s="35" t="s">
        <v>70</v>
      </c>
      <c r="H8" s="44">
        <f>80*500</f>
        <v>40000</v>
      </c>
      <c r="I8" s="44">
        <f>Table1[[#This Row],[Contracted Amount]]*AF8</f>
        <v>26331.570253090238</v>
      </c>
      <c r="J8" s="60"/>
      <c r="K8" s="60">
        <f>Table1[[#This Row],[Actual Expenditure (including admin fees)]]*AF8</f>
        <v>0</v>
      </c>
      <c r="L8" s="35" t="s">
        <v>75</v>
      </c>
      <c r="M8" s="42"/>
      <c r="N8" s="42"/>
      <c r="O8" s="100"/>
      <c r="P8" s="42"/>
      <c r="Q8" s="42"/>
      <c r="R8" s="93"/>
      <c r="S8" s="36" t="s">
        <v>76</v>
      </c>
      <c r="T8" s="89" t="s">
        <v>244</v>
      </c>
      <c r="U8" s="9">
        <v>43875</v>
      </c>
      <c r="V8" s="118" t="s">
        <v>245</v>
      </c>
      <c r="W8" s="118" t="s">
        <v>80</v>
      </c>
      <c r="X8" s="136">
        <v>80</v>
      </c>
      <c r="Y8" s="23"/>
      <c r="Z8" s="34" t="str">
        <f>IF(ISERROR(VLOOKUP(Y8,'Data inputs '!$N$4:$O$23,2,0)),"",(VLOOKUP(Y8,'Data inputs '!$N$4:$O$23,2,0)))</f>
        <v/>
      </c>
      <c r="AA8" s="34"/>
      <c r="AB8" s="5"/>
      <c r="AC8" s="5"/>
      <c r="AE8" s="16">
        <f ca="1"/>
        <v>0.68524828438924323</v>
      </c>
      <c r="AF8" s="16">
        <v>0.65828925632725599</v>
      </c>
    </row>
    <row r="9" spans="1:32" s="16" customFormat="1" ht="28.5" customHeight="1">
      <c r="A9" s="96">
        <v>8</v>
      </c>
      <c r="B9" s="5" t="s">
        <v>66</v>
      </c>
      <c r="C9" s="5" t="s">
        <v>67</v>
      </c>
      <c r="D9" s="5" t="s">
        <v>21</v>
      </c>
      <c r="E9" s="5" t="s">
        <v>81</v>
      </c>
      <c r="F9" s="5" t="s">
        <v>82</v>
      </c>
      <c r="G9" s="35" t="s">
        <v>70</v>
      </c>
      <c r="H9" s="44">
        <v>300000</v>
      </c>
      <c r="I9" s="44">
        <f>Table1[[#This Row],[Contracted Amount]]*AF9</f>
        <v>222241.09191087386</v>
      </c>
      <c r="J9" s="44"/>
      <c r="K9" s="44">
        <f>Table1[[#This Row],[Actual Expenditure (including admin fees)]]*AF9</f>
        <v>0</v>
      </c>
      <c r="L9" s="35" t="s">
        <v>75</v>
      </c>
      <c r="M9" s="42"/>
      <c r="N9" s="42"/>
      <c r="O9" s="100"/>
      <c r="P9" s="42"/>
      <c r="Q9" s="42"/>
      <c r="R9" s="93"/>
      <c r="S9" s="36" t="s">
        <v>76</v>
      </c>
      <c r="T9" s="89" t="s">
        <v>244</v>
      </c>
      <c r="U9" s="9">
        <v>43875</v>
      </c>
      <c r="V9" s="118" t="s">
        <v>245</v>
      </c>
      <c r="W9" s="118" t="s">
        <v>83</v>
      </c>
      <c r="X9" s="136">
        <v>2</v>
      </c>
      <c r="Y9" s="23"/>
      <c r="Z9" s="34" t="str">
        <f>IF(ISERROR(VLOOKUP(Y9,'Data inputs '!$N$4:$O$23,2,0)),"",(VLOOKUP(Y9,'Data inputs '!$N$4:$O$23,2,0)))</f>
        <v/>
      </c>
      <c r="AA9" s="34"/>
      <c r="AB9" s="5"/>
      <c r="AC9" s="5"/>
      <c r="AE9" s="16">
        <f ca="1"/>
        <v>0.57228490261092957</v>
      </c>
      <c r="AF9" s="16">
        <v>0.74080363970291285</v>
      </c>
    </row>
    <row r="10" spans="1:32" s="16" customFormat="1" ht="28.5" customHeight="1">
      <c r="A10" s="96">
        <v>9</v>
      </c>
      <c r="B10" s="38"/>
      <c r="C10" s="38"/>
      <c r="D10" s="17" t="s">
        <v>21</v>
      </c>
      <c r="E10" s="17" t="s">
        <v>81</v>
      </c>
      <c r="F10" s="17"/>
      <c r="G10" s="35" t="s">
        <v>70</v>
      </c>
      <c r="H10" s="44"/>
      <c r="I10" s="44">
        <f>Table1[[#This Row],[Contracted Amount]]*AF10</f>
        <v>0</v>
      </c>
      <c r="J10" s="44"/>
      <c r="K10" s="44">
        <f>Table1[[#This Row],[Actual Expenditure (including admin fees)]]*AF10</f>
        <v>0</v>
      </c>
      <c r="L10" s="35"/>
      <c r="M10" s="42"/>
      <c r="N10" s="42"/>
      <c r="O10" s="100"/>
      <c r="P10" s="42"/>
      <c r="Q10" s="42"/>
      <c r="R10" s="93"/>
      <c r="S10" s="35"/>
      <c r="T10" s="89"/>
      <c r="U10" s="9"/>
      <c r="V10" s="117"/>
      <c r="W10" s="117"/>
      <c r="X10" s="117"/>
      <c r="Y10" s="23"/>
      <c r="Z10" s="34" t="str">
        <f>IF(ISERROR(VLOOKUP(Y10,'Data inputs '!$N$4:$O$23,2,0)),"",(VLOOKUP(Y10,'Data inputs '!$N$4:$O$23,2,0)))</f>
        <v/>
      </c>
      <c r="AA10" s="34"/>
      <c r="AB10" s="5"/>
      <c r="AC10" s="5"/>
      <c r="AE10" s="16">
        <f ca="1"/>
        <v>0.64054550935959176</v>
      </c>
      <c r="AF10" s="16">
        <v>0.65721632748509484</v>
      </c>
    </row>
    <row r="11" spans="1:32" s="16" customFormat="1" ht="28.5" customHeight="1">
      <c r="A11" s="96">
        <v>10</v>
      </c>
      <c r="B11" s="17"/>
      <c r="C11" s="17"/>
      <c r="D11" s="17" t="s">
        <v>21</v>
      </c>
      <c r="E11" s="17" t="s">
        <v>4</v>
      </c>
      <c r="F11" s="17"/>
      <c r="G11" s="35" t="s">
        <v>70</v>
      </c>
      <c r="H11" s="44"/>
      <c r="I11" s="44">
        <f>Table1[[#This Row],[Contracted Amount]]*AF11</f>
        <v>0</v>
      </c>
      <c r="J11" s="44"/>
      <c r="K11" s="44">
        <f>Table1[[#This Row],[Actual Expenditure (including admin fees)]]*AF11</f>
        <v>0</v>
      </c>
      <c r="L11" s="35"/>
      <c r="M11" s="42"/>
      <c r="N11" s="42"/>
      <c r="O11" s="100"/>
      <c r="P11" s="42"/>
      <c r="Q11" s="42"/>
      <c r="R11" s="93"/>
      <c r="S11" s="35"/>
      <c r="T11" s="89"/>
      <c r="U11" s="9"/>
      <c r="V11" s="117"/>
      <c r="W11" s="117"/>
      <c r="X11" s="117"/>
      <c r="Y11" s="23"/>
      <c r="Z11" s="34" t="str">
        <f>IF(ISERROR(VLOOKUP(Y11,'Data inputs '!$N$4:$O$23,2,0)),"",(VLOOKUP(Y11,'Data inputs '!$N$4:$O$23,2,0)))</f>
        <v/>
      </c>
      <c r="AA11" s="34"/>
      <c r="AB11" s="5"/>
      <c r="AC11" s="5"/>
      <c r="AE11" s="16">
        <f ca="1"/>
        <v>0.58882269302522272</v>
      </c>
      <c r="AF11" s="16">
        <v>0.72689463906403906</v>
      </c>
    </row>
    <row r="12" spans="1:32" s="10" customFormat="1" ht="28.5" customHeight="1">
      <c r="A12" s="96">
        <v>11</v>
      </c>
      <c r="B12" s="5" t="s">
        <v>84</v>
      </c>
      <c r="C12" s="5" t="s">
        <v>67</v>
      </c>
      <c r="D12" s="5" t="s">
        <v>21</v>
      </c>
      <c r="E12" s="5" t="s">
        <v>4</v>
      </c>
      <c r="F12" s="5" t="s">
        <v>85</v>
      </c>
      <c r="G12" s="35" t="s">
        <v>70</v>
      </c>
      <c r="H12" s="44">
        <v>133063</v>
      </c>
      <c r="I12" s="44">
        <f>Table1[[#This Row],[Contracted Amount]]*AF12</f>
        <v>83941.108908932816</v>
      </c>
      <c r="J12" s="44">
        <v>133063</v>
      </c>
      <c r="K12" s="44">
        <f>Table1[[#This Row],[Actual Expenditure (including admin fees)]]*AF12</f>
        <v>83941.108908932816</v>
      </c>
      <c r="L12" s="35" t="s">
        <v>71</v>
      </c>
      <c r="M12" s="42" t="s">
        <v>72</v>
      </c>
      <c r="N12" s="42">
        <v>43188</v>
      </c>
      <c r="O12" s="100" t="s">
        <v>73</v>
      </c>
      <c r="P12" s="42">
        <v>43199</v>
      </c>
      <c r="Q12" s="42">
        <f>Table1[[#This Row],[Site handover date]]+7</f>
        <v>43206</v>
      </c>
      <c r="R12" s="42">
        <v>43340</v>
      </c>
      <c r="S12" s="36" t="s">
        <v>71</v>
      </c>
      <c r="T12" s="89" t="s">
        <v>247</v>
      </c>
      <c r="U12" s="9"/>
      <c r="V12" s="118" t="s">
        <v>71</v>
      </c>
      <c r="W12" s="118" t="s">
        <v>86</v>
      </c>
      <c r="X12" s="136">
        <v>1</v>
      </c>
      <c r="Y12" s="23" t="s">
        <v>248</v>
      </c>
      <c r="Z12" s="34" t="s">
        <v>249</v>
      </c>
      <c r="AA12" s="34">
        <v>98720</v>
      </c>
      <c r="AB12" s="5">
        <v>31.198044444444445</v>
      </c>
      <c r="AC12" s="5">
        <v>16.575966666666666</v>
      </c>
      <c r="AE12" s="10">
        <f ca="1"/>
        <v>0.5770761726853787</v>
      </c>
      <c r="AF12" s="10">
        <v>0.63083733952287879</v>
      </c>
    </row>
    <row r="13" spans="1:32" s="10" customFormat="1" ht="28.5" customHeight="1">
      <c r="A13" s="96">
        <v>12</v>
      </c>
      <c r="B13" s="5" t="s">
        <v>66</v>
      </c>
      <c r="C13" s="5" t="s">
        <v>67</v>
      </c>
      <c r="D13" s="5" t="s">
        <v>21</v>
      </c>
      <c r="E13" s="5" t="s">
        <v>4</v>
      </c>
      <c r="F13" s="5" t="s">
        <v>87</v>
      </c>
      <c r="G13" s="35" t="s">
        <v>70</v>
      </c>
      <c r="H13" s="44">
        <v>70018</v>
      </c>
      <c r="I13" s="44">
        <f>Table1[[#This Row],[Contracted Amount]]*AF13</f>
        <v>48281.907203722913</v>
      </c>
      <c r="J13" s="44">
        <f>47000.7+16015.5+7001.8</f>
        <v>70018</v>
      </c>
      <c r="K13" s="44">
        <f>Table1[[#This Row],[Actual Expenditure (including admin fees)]]*AF13</f>
        <v>48281.907203722913</v>
      </c>
      <c r="L13" s="35" t="s">
        <v>71</v>
      </c>
      <c r="M13" s="42" t="s">
        <v>72</v>
      </c>
      <c r="N13" s="92">
        <v>44114</v>
      </c>
      <c r="O13" s="100" t="s">
        <v>73</v>
      </c>
      <c r="P13" s="42">
        <v>44126</v>
      </c>
      <c r="Q13" s="94">
        <v>44132</v>
      </c>
      <c r="R13" s="42">
        <v>44283</v>
      </c>
      <c r="S13" s="36" t="s">
        <v>71</v>
      </c>
      <c r="T13" s="89" t="s">
        <v>250</v>
      </c>
      <c r="U13" s="9">
        <v>44286</v>
      </c>
      <c r="V13" s="118" t="s">
        <v>71</v>
      </c>
      <c r="W13" s="118" t="s">
        <v>88</v>
      </c>
      <c r="X13" s="136">
        <v>1</v>
      </c>
      <c r="Y13" s="23">
        <v>112</v>
      </c>
      <c r="Z13" s="34" t="str">
        <f>IF(ISERROR(VLOOKUP(Y13,'Data inputs '!$N$4:$O$23,2,0)),"",(VLOOKUP(Y13,'Data inputs '!$N$4:$O$23,2,0)))</f>
        <v>France</v>
      </c>
      <c r="AA13" s="34">
        <v>98720</v>
      </c>
      <c r="AB13" s="5">
        <f>31+11/60+2.3/3600</f>
        <v>31.183972222222224</v>
      </c>
      <c r="AC13" s="5">
        <f>16+34/60+55.1/3600</f>
        <v>16.581972222222223</v>
      </c>
      <c r="AE13" s="10">
        <f ca="1"/>
        <v>0.55366895383821146</v>
      </c>
      <c r="AF13" s="10">
        <v>0.68956421496933518</v>
      </c>
    </row>
    <row r="14" spans="1:32" s="10" customFormat="1" ht="28.5" customHeight="1">
      <c r="A14" s="96">
        <v>13</v>
      </c>
      <c r="B14" s="5" t="s">
        <v>66</v>
      </c>
      <c r="C14" s="5" t="s">
        <v>67</v>
      </c>
      <c r="D14" s="5" t="s">
        <v>21</v>
      </c>
      <c r="E14" s="5" t="s">
        <v>4</v>
      </c>
      <c r="F14" s="5" t="s">
        <v>90</v>
      </c>
      <c r="G14" s="35" t="s">
        <v>70</v>
      </c>
      <c r="H14" s="44">
        <f>(477284.51/10)*3+(5468.75/5)*3</f>
        <v>146466.603</v>
      </c>
      <c r="I14" s="44">
        <f>Table1[[#This Row],[Contracted Amount]]*AF14</f>
        <v>85445.314365966289</v>
      </c>
      <c r="J14" s="44">
        <f>(53197.11*3)</f>
        <v>159591.33000000002</v>
      </c>
      <c r="K14" s="44">
        <f>Table1[[#This Row],[Actual Expenditure (including admin fees)]]*AF14</f>
        <v>93101.984224572123</v>
      </c>
      <c r="L14" s="35" t="s">
        <v>71</v>
      </c>
      <c r="M14" s="42" t="s">
        <v>72</v>
      </c>
      <c r="N14" s="42">
        <v>42767</v>
      </c>
      <c r="O14" s="100" t="s">
        <v>73</v>
      </c>
      <c r="P14" s="42"/>
      <c r="Q14" s="42"/>
      <c r="R14" s="42">
        <v>43100</v>
      </c>
      <c r="S14" s="36" t="s">
        <v>71</v>
      </c>
      <c r="T14" s="89" t="s">
        <v>251</v>
      </c>
      <c r="U14" s="9">
        <v>43885</v>
      </c>
      <c r="V14" s="118" t="s">
        <v>71</v>
      </c>
      <c r="W14" s="118" t="s">
        <v>91</v>
      </c>
      <c r="X14" s="136">
        <v>3</v>
      </c>
      <c r="Y14" s="22">
        <v>717</v>
      </c>
      <c r="Z14" s="34" t="str">
        <f>IF(ISERROR(VLOOKUP(Y14,'Data inputs '!$N$4:$O$23,2,0)),"",(VLOOKUP(Y14,'Data inputs '!$N$4:$O$23,2,0)))</f>
        <v>C/S ROK</v>
      </c>
      <c r="AA14" s="34">
        <v>98720</v>
      </c>
      <c r="AB14" s="5">
        <v>31.187561111111112</v>
      </c>
      <c r="AC14" s="5">
        <v>16.589713888888888</v>
      </c>
      <c r="AE14" s="10">
        <f ca="1"/>
        <v>0.73710866013799814</v>
      </c>
      <c r="AF14" s="10">
        <v>0.58337745681154551</v>
      </c>
    </row>
    <row r="15" spans="1:32" s="10" customFormat="1" ht="28.5" customHeight="1">
      <c r="A15" s="96">
        <v>14</v>
      </c>
      <c r="B15" s="5" t="s">
        <v>84</v>
      </c>
      <c r="C15" s="5" t="s">
        <v>67</v>
      </c>
      <c r="D15" s="5" t="s">
        <v>21</v>
      </c>
      <c r="E15" s="5" t="s">
        <v>4</v>
      </c>
      <c r="F15" s="5" t="s">
        <v>85</v>
      </c>
      <c r="G15" s="35" t="s">
        <v>70</v>
      </c>
      <c r="H15" s="44">
        <v>90000</v>
      </c>
      <c r="I15" s="44">
        <f>Table1[[#This Row],[Contracted Amount]]*AF15</f>
        <v>49276.89367615863</v>
      </c>
      <c r="J15" s="44"/>
      <c r="K15" s="44">
        <f>Table1[[#This Row],[Actual Expenditure (including admin fees)]]*AF15</f>
        <v>0</v>
      </c>
      <c r="L15" s="35" t="s">
        <v>93</v>
      </c>
      <c r="M15" s="42"/>
      <c r="N15" s="42"/>
      <c r="O15" s="100"/>
      <c r="P15" s="42"/>
      <c r="Q15" s="42"/>
      <c r="R15" s="42"/>
      <c r="S15" s="36" t="s">
        <v>76</v>
      </c>
      <c r="T15" s="89" t="s">
        <v>252</v>
      </c>
      <c r="U15" s="9">
        <v>44371</v>
      </c>
      <c r="V15" s="118" t="s">
        <v>245</v>
      </c>
      <c r="W15" s="118" t="s">
        <v>86</v>
      </c>
      <c r="X15" s="136">
        <v>1</v>
      </c>
      <c r="Y15" s="23"/>
      <c r="Z15" s="34" t="str">
        <f>IF(ISERROR(VLOOKUP(Y15,'Data inputs '!$N$4:$O$23,2,0)),"",(VLOOKUP(Y15,'Data inputs '!$N$4:$O$23,2,0)))</f>
        <v/>
      </c>
      <c r="AA15" s="34"/>
      <c r="AB15" s="5"/>
      <c r="AC15" s="5"/>
      <c r="AE15" s="10">
        <f ca="1"/>
        <v>0.73416815754569353</v>
      </c>
      <c r="AF15" s="10">
        <v>0.54752104084620701</v>
      </c>
    </row>
    <row r="16" spans="1:32" s="10" customFormat="1" ht="28.5" customHeight="1">
      <c r="A16" s="96">
        <v>15</v>
      </c>
      <c r="B16" s="5" t="s">
        <v>84</v>
      </c>
      <c r="C16" s="5" t="s">
        <v>67</v>
      </c>
      <c r="D16" s="5" t="s">
        <v>21</v>
      </c>
      <c r="E16" s="5" t="s">
        <v>4</v>
      </c>
      <c r="F16" s="5" t="s">
        <v>85</v>
      </c>
      <c r="G16" s="35" t="s">
        <v>70</v>
      </c>
      <c r="H16" s="44">
        <f>48800+7300</f>
        <v>56100</v>
      </c>
      <c r="I16" s="44">
        <f>Table1[[#This Row],[Contracted Amount]]*AF16</f>
        <v>39032.820406337771</v>
      </c>
      <c r="J16" s="44">
        <f>50490+5610</f>
        <v>56100</v>
      </c>
      <c r="K16" s="44">
        <f>Table1[[#This Row],[Actual Expenditure (including admin fees)]]*AF16</f>
        <v>39032.820406337771</v>
      </c>
      <c r="L16" s="35" t="s">
        <v>71</v>
      </c>
      <c r="M16" s="42" t="s">
        <v>72</v>
      </c>
      <c r="N16" s="92">
        <v>43682</v>
      </c>
      <c r="O16" s="100" t="s">
        <v>73</v>
      </c>
      <c r="P16" s="42">
        <v>43711</v>
      </c>
      <c r="Q16" s="42"/>
      <c r="R16" s="42">
        <v>43912</v>
      </c>
      <c r="S16" s="36" t="s">
        <v>71</v>
      </c>
      <c r="T16" s="89" t="s">
        <v>253</v>
      </c>
      <c r="U16" s="9">
        <v>43936</v>
      </c>
      <c r="V16" s="118" t="s">
        <v>71</v>
      </c>
      <c r="W16" s="118" t="s">
        <v>86</v>
      </c>
      <c r="X16" s="136">
        <v>1</v>
      </c>
      <c r="Y16" s="23">
        <v>717</v>
      </c>
      <c r="Z16" s="34" t="s">
        <v>219</v>
      </c>
      <c r="AA16" s="34">
        <v>112158</v>
      </c>
      <c r="AB16" s="5">
        <v>31.208302777777778</v>
      </c>
      <c r="AC16" s="5">
        <v>16.571119444444445</v>
      </c>
      <c r="AE16" s="10">
        <f ca="1"/>
        <v>0.59652897777934644</v>
      </c>
      <c r="AF16" s="10">
        <v>0.69577219975646654</v>
      </c>
    </row>
    <row r="17" spans="1:32" s="10" customFormat="1" ht="28.5" customHeight="1">
      <c r="A17" s="96">
        <v>16</v>
      </c>
      <c r="B17" s="5" t="s">
        <v>84</v>
      </c>
      <c r="C17" s="5" t="s">
        <v>67</v>
      </c>
      <c r="D17" s="5" t="s">
        <v>21</v>
      </c>
      <c r="E17" s="5" t="s">
        <v>4</v>
      </c>
      <c r="F17" s="5" t="s">
        <v>85</v>
      </c>
      <c r="G17" s="35" t="s">
        <v>70</v>
      </c>
      <c r="H17" s="44">
        <v>33570</v>
      </c>
      <c r="I17" s="44">
        <f>Table1[[#This Row],[Contracted Amount]]*AF17</f>
        <v>18984.60694553953</v>
      </c>
      <c r="J17" s="44">
        <f>33570*0.9+(33570*0.1)</f>
        <v>33570</v>
      </c>
      <c r="K17" s="44">
        <f>Table1[[#This Row],[Actual Expenditure (including admin fees)]]*AF17</f>
        <v>18984.60694553953</v>
      </c>
      <c r="L17" s="35" t="s">
        <v>71</v>
      </c>
      <c r="M17" s="42" t="s">
        <v>72</v>
      </c>
      <c r="N17" s="92">
        <v>43441</v>
      </c>
      <c r="O17" s="100" t="s">
        <v>73</v>
      </c>
      <c r="P17" s="42">
        <v>43468</v>
      </c>
      <c r="Q17" s="42">
        <f>Table1[[#This Row],[Site handover date]]+7</f>
        <v>43475</v>
      </c>
      <c r="R17" s="42">
        <v>43555</v>
      </c>
      <c r="S17" s="36" t="s">
        <v>71</v>
      </c>
      <c r="T17" s="89" t="s">
        <v>254</v>
      </c>
      <c r="U17" s="9">
        <v>43566</v>
      </c>
      <c r="V17" s="118" t="s">
        <v>71</v>
      </c>
      <c r="W17" s="118" t="s">
        <v>86</v>
      </c>
      <c r="X17" s="136">
        <v>1</v>
      </c>
      <c r="Y17" s="23">
        <v>141</v>
      </c>
      <c r="Z17" s="34" t="str">
        <f>IF(ISERROR(VLOOKUP(Y17,'Data inputs '!$N$4:$O$23,2,0)),"",(VLOOKUP(Y17,'Data inputs '!$N$4:$O$23,2,0)))</f>
        <v>Japan</v>
      </c>
      <c r="AA17" s="34">
        <v>98720</v>
      </c>
      <c r="AB17" s="5">
        <v>31.17541388888889</v>
      </c>
      <c r="AC17" s="5">
        <v>16.594372222222223</v>
      </c>
      <c r="AE17" s="10">
        <f ca="1"/>
        <v>0.62698436806542845</v>
      </c>
      <c r="AF17" s="10">
        <v>0.56552299510096904</v>
      </c>
    </row>
    <row r="18" spans="1:32" s="10" customFormat="1" ht="28.5" customHeight="1">
      <c r="A18" s="96">
        <v>17</v>
      </c>
      <c r="B18" s="5" t="s">
        <v>84</v>
      </c>
      <c r="C18" s="5" t="s">
        <v>67</v>
      </c>
      <c r="D18" s="5" t="s">
        <v>21</v>
      </c>
      <c r="E18" s="5" t="s">
        <v>4</v>
      </c>
      <c r="F18" s="5" t="s">
        <v>85</v>
      </c>
      <c r="G18" s="35" t="s">
        <v>70</v>
      </c>
      <c r="H18" s="44">
        <v>35047</v>
      </c>
      <c r="I18" s="44">
        <f>Table1[[#This Row],[Contracted Amount]]*AF18</f>
        <v>23862.100552454463</v>
      </c>
      <c r="J18" s="44">
        <f>35047*0.9+3504.7</f>
        <v>35047</v>
      </c>
      <c r="K18" s="44">
        <f>Table1[[#This Row],[Actual Expenditure (including admin fees)]]*AF18</f>
        <v>23862.100552454463</v>
      </c>
      <c r="L18" s="35" t="s">
        <v>71</v>
      </c>
      <c r="M18" s="42" t="s">
        <v>72</v>
      </c>
      <c r="N18" s="92">
        <v>43651</v>
      </c>
      <c r="O18" s="100" t="s">
        <v>73</v>
      </c>
      <c r="P18" s="42"/>
      <c r="Q18" s="42"/>
      <c r="R18" s="42">
        <v>43766</v>
      </c>
      <c r="S18" s="36" t="s">
        <v>71</v>
      </c>
      <c r="T18" s="89" t="s">
        <v>255</v>
      </c>
      <c r="U18" s="9">
        <v>43776</v>
      </c>
      <c r="V18" s="118" t="s">
        <v>71</v>
      </c>
      <c r="W18" s="118" t="s">
        <v>86</v>
      </c>
      <c r="X18" s="136">
        <v>1</v>
      </c>
      <c r="Y18" s="23">
        <v>10283</v>
      </c>
      <c r="Z18" s="34" t="str">
        <f>IF(ISERROR(VLOOKUP(Y18,'Data inputs '!$N$4:$O$23,2,0)),"",(VLOOKUP(Y18,'Data inputs '!$N$4:$O$23,2,0)))</f>
        <v>Germay(KfW)</v>
      </c>
      <c r="AA18" s="34">
        <v>112158</v>
      </c>
      <c r="AB18" s="5">
        <v>31.208941666666664</v>
      </c>
      <c r="AC18" s="5">
        <v>16.559627777777777</v>
      </c>
      <c r="AE18" s="10">
        <f ca="1"/>
        <v>0.5672443791723436</v>
      </c>
      <c r="AF18" s="10">
        <v>0.68086000377933809</v>
      </c>
    </row>
    <row r="19" spans="1:32" s="10" customFormat="1" ht="28.5" customHeight="1">
      <c r="A19" s="96">
        <v>18</v>
      </c>
      <c r="B19" s="5" t="s">
        <v>84</v>
      </c>
      <c r="C19" s="5" t="s">
        <v>67</v>
      </c>
      <c r="D19" s="5" t="s">
        <v>21</v>
      </c>
      <c r="E19" s="5" t="s">
        <v>4</v>
      </c>
      <c r="F19" s="5" t="s">
        <v>85</v>
      </c>
      <c r="G19" s="35" t="s">
        <v>70</v>
      </c>
      <c r="H19" s="44">
        <v>31550</v>
      </c>
      <c r="I19" s="44">
        <f>Table1[[#This Row],[Contracted Amount]]*AF19</f>
        <v>18463.303234179504</v>
      </c>
      <c r="J19" s="44">
        <f>31720*0.9+(31720*0.1)</f>
        <v>31720</v>
      </c>
      <c r="K19" s="44">
        <f>Table1[[#This Row],[Actual Expenditure (including admin fees)]]*AF19</f>
        <v>18562.788544791565</v>
      </c>
      <c r="L19" s="35" t="s">
        <v>71</v>
      </c>
      <c r="M19" s="42" t="s">
        <v>72</v>
      </c>
      <c r="N19" s="42">
        <v>43417</v>
      </c>
      <c r="O19" s="100" t="s">
        <v>73</v>
      </c>
      <c r="P19" s="42">
        <v>43434</v>
      </c>
      <c r="Q19" s="42">
        <f>P19+7</f>
        <v>43441</v>
      </c>
      <c r="R19" s="42">
        <v>43539</v>
      </c>
      <c r="S19" s="36" t="s">
        <v>71</v>
      </c>
      <c r="T19" s="89"/>
      <c r="U19" s="9">
        <v>43566</v>
      </c>
      <c r="V19" s="118" t="s">
        <v>71</v>
      </c>
      <c r="W19" s="118" t="s">
        <v>86</v>
      </c>
      <c r="X19" s="136">
        <v>1</v>
      </c>
      <c r="Y19" s="23">
        <v>10159</v>
      </c>
      <c r="Z19" s="34" t="str">
        <f>IF(ISERROR(VLOOKUP(Y19,'Data inputs '!$N$4:$O$23,2,0)),"",(VLOOKUP(Y19,'Data inputs '!$N$4:$O$23,2,0)))</f>
        <v>EU</v>
      </c>
      <c r="AA19" s="34">
        <v>112158</v>
      </c>
      <c r="AB19" s="5">
        <v>31.188649999999999</v>
      </c>
      <c r="AC19" s="5">
        <v>16.41727777777778</v>
      </c>
      <c r="AE19" s="10">
        <f ca="1"/>
        <v>0.60920638021636475</v>
      </c>
      <c r="AF19" s="10">
        <v>0.58520770948271017</v>
      </c>
    </row>
    <row r="20" spans="1:32" s="10" customFormat="1" ht="28.5" customHeight="1">
      <c r="A20" s="96">
        <v>19</v>
      </c>
      <c r="B20" s="17"/>
      <c r="C20" s="17"/>
      <c r="D20" s="17" t="s">
        <v>21</v>
      </c>
      <c r="E20" s="17" t="s">
        <v>96</v>
      </c>
      <c r="F20" s="17"/>
      <c r="G20" s="35" t="s">
        <v>70</v>
      </c>
      <c r="H20" s="44"/>
      <c r="I20" s="44">
        <f>Table1[[#This Row],[Contracted Amount]]*AF20</f>
        <v>0</v>
      </c>
      <c r="J20" s="44"/>
      <c r="K20" s="44">
        <f>Table1[[#This Row],[Actual Expenditure (including admin fees)]]*AF20</f>
        <v>0</v>
      </c>
      <c r="L20" s="35"/>
      <c r="M20" s="42"/>
      <c r="N20" s="42"/>
      <c r="O20" s="100"/>
      <c r="P20" s="42"/>
      <c r="Q20" s="42"/>
      <c r="R20" s="118"/>
      <c r="S20" s="35"/>
      <c r="T20" s="89"/>
      <c r="U20" s="9"/>
      <c r="V20" s="117"/>
      <c r="W20" s="117"/>
      <c r="X20" s="117"/>
      <c r="Y20" s="23"/>
      <c r="Z20" s="34" t="str">
        <f>IF(ISERROR(VLOOKUP(Y20,'Data inputs '!$N$4:$O$23,2,0)),"",(VLOOKUP(Y20,'Data inputs '!$N$4:$O$23,2,0)))</f>
        <v/>
      </c>
      <c r="AA20" s="34"/>
      <c r="AB20" s="5"/>
      <c r="AC20" s="5"/>
      <c r="AE20" s="10">
        <f ca="1"/>
        <v>0.65846496949729538</v>
      </c>
      <c r="AF20" s="10">
        <v>0.71261725636059137</v>
      </c>
    </row>
    <row r="21" spans="1:32" s="10" customFormat="1" ht="28.5" customHeight="1">
      <c r="A21" s="96">
        <v>20</v>
      </c>
      <c r="B21" s="5" t="s">
        <v>84</v>
      </c>
      <c r="C21" s="5" t="s">
        <v>67</v>
      </c>
      <c r="D21" s="5" t="s">
        <v>21</v>
      </c>
      <c r="E21" s="5" t="s">
        <v>96</v>
      </c>
      <c r="F21" s="5" t="s">
        <v>97</v>
      </c>
      <c r="G21" s="35" t="s">
        <v>70</v>
      </c>
      <c r="H21" s="44">
        <v>134250</v>
      </c>
      <c r="I21" s="44">
        <f>Table1[[#This Row],[Contracted Amount]]*AF21</f>
        <v>89867.949702722981</v>
      </c>
      <c r="J21" s="44">
        <v>132692</v>
      </c>
      <c r="K21" s="44">
        <f>Table1[[#This Row],[Actual Expenditure (including admin fees)]]*AF21</f>
        <v>88825.012900958798</v>
      </c>
      <c r="L21" s="35" t="s">
        <v>71</v>
      </c>
      <c r="M21" s="42" t="s">
        <v>72</v>
      </c>
      <c r="N21" s="42">
        <v>43050</v>
      </c>
      <c r="O21" s="100" t="s">
        <v>73</v>
      </c>
      <c r="P21" s="42">
        <v>43059</v>
      </c>
      <c r="Q21" s="42">
        <f>Table1[[#This Row],[Site handover date]]+7</f>
        <v>43066</v>
      </c>
      <c r="R21" s="42">
        <v>43136</v>
      </c>
      <c r="S21" s="36" t="s">
        <v>71</v>
      </c>
      <c r="T21" s="89" t="s">
        <v>256</v>
      </c>
      <c r="U21" s="9"/>
      <c r="V21" s="118" t="s">
        <v>71</v>
      </c>
      <c r="W21" s="118" t="s">
        <v>98</v>
      </c>
      <c r="X21" s="136">
        <v>1</v>
      </c>
      <c r="Y21" s="23">
        <v>10283</v>
      </c>
      <c r="Z21" s="34" t="str">
        <f>IF(ISERROR(VLOOKUP(Y21,'Data inputs '!$N$4:$O$23,2,0)),"",(VLOOKUP(Y21,'Data inputs '!$N$4:$O$23,2,0)))</f>
        <v>Germay(KfW)</v>
      </c>
      <c r="AA21" s="34">
        <v>98720</v>
      </c>
      <c r="AB21" s="5">
        <v>31.207886111111112</v>
      </c>
      <c r="AC21" s="5">
        <v>16.572791666666667</v>
      </c>
      <c r="AE21" s="10">
        <f ca="1"/>
        <v>0.52751811049837949</v>
      </c>
      <c r="AF21" s="10">
        <v>0.66940744657521778</v>
      </c>
    </row>
    <row r="22" spans="1:32" s="10" customFormat="1" ht="28.5" customHeight="1">
      <c r="A22" s="96">
        <v>21</v>
      </c>
      <c r="B22" s="5" t="s">
        <v>84</v>
      </c>
      <c r="C22" s="5" t="s">
        <v>67</v>
      </c>
      <c r="D22" s="5" t="s">
        <v>21</v>
      </c>
      <c r="E22" s="5" t="s">
        <v>96</v>
      </c>
      <c r="F22" s="5" t="s">
        <v>97</v>
      </c>
      <c r="G22" s="35" t="s">
        <v>70</v>
      </c>
      <c r="H22" s="61">
        <f>63199+14080</f>
        <v>77279</v>
      </c>
      <c r="I22" s="61">
        <f>Table1[[#This Row],[Contracted Amount]]*AF22</f>
        <v>39672.13470799497</v>
      </c>
      <c r="J22" s="61">
        <f>63199+14080*0.9+14080*0.1</f>
        <v>77279</v>
      </c>
      <c r="K22" s="61">
        <f>Table1[[#This Row],[Actual Expenditure (including admin fees)]]*AF22</f>
        <v>39672.13470799497</v>
      </c>
      <c r="L22" s="35" t="s">
        <v>71</v>
      </c>
      <c r="M22" s="42" t="s">
        <v>72</v>
      </c>
      <c r="N22" s="42">
        <v>43306</v>
      </c>
      <c r="O22" s="100" t="s">
        <v>73</v>
      </c>
      <c r="P22" s="42">
        <v>42984</v>
      </c>
      <c r="Q22" s="42">
        <f>Table1[[#This Row],[Site handover date]]+7</f>
        <v>42991</v>
      </c>
      <c r="R22" s="42">
        <v>43459</v>
      </c>
      <c r="S22" s="36" t="s">
        <v>71</v>
      </c>
      <c r="T22" s="89" t="s">
        <v>257</v>
      </c>
      <c r="U22" s="9"/>
      <c r="V22" s="118" t="s">
        <v>71</v>
      </c>
      <c r="W22" s="118" t="s">
        <v>98</v>
      </c>
      <c r="X22" s="136">
        <v>1</v>
      </c>
      <c r="Y22" s="23" t="s">
        <v>258</v>
      </c>
      <c r="Z22" s="34" t="str">
        <f>IF(ISERROR(VLOOKUP(Y22,'Data inputs '!$N$4:$O$23,2,0)),"",(VLOOKUP(Y22,'Data inputs '!$N$4:$O$23,2,0)))</f>
        <v>Germay(KfW) + 
Japan</v>
      </c>
      <c r="AA22" s="34">
        <v>98720</v>
      </c>
      <c r="AB22" s="5">
        <v>31.205205555555555</v>
      </c>
      <c r="AC22" s="5">
        <v>16.597158333333333</v>
      </c>
      <c r="AE22" s="10">
        <f ca="1"/>
        <v>0.60241084936123346</v>
      </c>
      <c r="AF22" s="10">
        <v>0.51336242327145754</v>
      </c>
    </row>
    <row r="23" spans="1:32" s="10" customFormat="1" ht="28.5" customHeight="1">
      <c r="A23" s="96">
        <v>22</v>
      </c>
      <c r="B23" s="5" t="s">
        <v>84</v>
      </c>
      <c r="C23" s="5" t="s">
        <v>67</v>
      </c>
      <c r="D23" s="5" t="s">
        <v>21</v>
      </c>
      <c r="E23" s="5" t="s">
        <v>96</v>
      </c>
      <c r="F23" s="5" t="s">
        <v>97</v>
      </c>
      <c r="G23" s="35" t="s">
        <v>70</v>
      </c>
      <c r="H23" s="44">
        <f>58359+11145</f>
        <v>69504</v>
      </c>
      <c r="I23" s="44">
        <f>Table1[[#This Row],[Contracted Amount]]*AF23</f>
        <v>43275.210758513174</v>
      </c>
      <c r="J23" s="44">
        <f>58359+10844</f>
        <v>69203</v>
      </c>
      <c r="K23" s="44">
        <f>Table1[[#This Row],[Actual Expenditure (including admin fees)]]*AF23</f>
        <v>43087.799408974839</v>
      </c>
      <c r="L23" s="35" t="s">
        <v>71</v>
      </c>
      <c r="M23" s="42" t="s">
        <v>72</v>
      </c>
      <c r="N23" s="42">
        <v>43055</v>
      </c>
      <c r="O23" s="100" t="s">
        <v>73</v>
      </c>
      <c r="P23" s="42">
        <v>43071</v>
      </c>
      <c r="Q23" s="42">
        <f>Table1[[#This Row],[Site handover date]]+7</f>
        <v>43078</v>
      </c>
      <c r="R23" s="42">
        <v>43309</v>
      </c>
      <c r="S23" s="36" t="s">
        <v>71</v>
      </c>
      <c r="T23" s="89" t="s">
        <v>259</v>
      </c>
      <c r="U23" s="9"/>
      <c r="V23" s="118" t="s">
        <v>71</v>
      </c>
      <c r="W23" s="118" t="s">
        <v>98</v>
      </c>
      <c r="X23" s="136">
        <v>1</v>
      </c>
      <c r="Y23" s="23" t="s">
        <v>260</v>
      </c>
      <c r="Z23" s="34" t="s">
        <v>261</v>
      </c>
      <c r="AA23" s="34">
        <v>98720</v>
      </c>
      <c r="AB23" s="5">
        <v>31.206716666666665</v>
      </c>
      <c r="AC23" s="5">
        <v>16.587655555555553</v>
      </c>
      <c r="AE23" s="10">
        <f ca="1"/>
        <v>0.57744574115170832</v>
      </c>
      <c r="AF23" s="10">
        <v>0.62262906823367248</v>
      </c>
    </row>
    <row r="24" spans="1:32" s="10" customFormat="1" ht="28.5" customHeight="1">
      <c r="A24" s="96">
        <v>23</v>
      </c>
      <c r="B24" s="5" t="s">
        <v>84</v>
      </c>
      <c r="C24" s="5" t="s">
        <v>67</v>
      </c>
      <c r="D24" s="5" t="s">
        <v>21</v>
      </c>
      <c r="E24" s="5" t="s">
        <v>96</v>
      </c>
      <c r="F24" s="5" t="s">
        <v>97</v>
      </c>
      <c r="G24" s="35" t="s">
        <v>70</v>
      </c>
      <c r="H24" s="61">
        <v>144166</v>
      </c>
      <c r="I24" s="61">
        <f>Table1[[#This Row],[Contracted Amount]]*AF24</f>
        <v>81050.641607123471</v>
      </c>
      <c r="J24" s="61">
        <f>144166*0.9+14416.6</f>
        <v>144166</v>
      </c>
      <c r="K24" s="61">
        <f>Table1[[#This Row],[Actual Expenditure (including admin fees)]]*AF24</f>
        <v>81050.641607123471</v>
      </c>
      <c r="L24" s="35" t="s">
        <v>71</v>
      </c>
      <c r="M24" s="42" t="s">
        <v>72</v>
      </c>
      <c r="N24" s="42">
        <v>43048</v>
      </c>
      <c r="O24" s="100" t="s">
        <v>73</v>
      </c>
      <c r="P24" s="42">
        <v>43058</v>
      </c>
      <c r="Q24" s="42">
        <f>Table1[[#This Row],[Site handover date]]+7</f>
        <v>43065</v>
      </c>
      <c r="R24" s="42">
        <v>43184</v>
      </c>
      <c r="S24" s="36" t="s">
        <v>71</v>
      </c>
      <c r="T24" s="89" t="s">
        <v>256</v>
      </c>
      <c r="U24" s="9"/>
      <c r="V24" s="118" t="s">
        <v>71</v>
      </c>
      <c r="W24" s="118" t="s">
        <v>98</v>
      </c>
      <c r="X24" s="136">
        <v>1</v>
      </c>
      <c r="Y24" s="23">
        <v>10283</v>
      </c>
      <c r="Z24" s="34" t="str">
        <f>IF(ISERROR(VLOOKUP(Y24,'Data inputs '!$N$4:$O$23,2,0)),"",(VLOOKUP(Y24,'Data inputs '!$N$4:$O$23,2,0)))</f>
        <v>Germay(KfW)</v>
      </c>
      <c r="AA24" s="34">
        <v>98720</v>
      </c>
      <c r="AB24" s="5">
        <v>31.210105555555554</v>
      </c>
      <c r="AC24" s="5">
        <v>16.570319444444443</v>
      </c>
      <c r="AE24" s="10">
        <f ca="1"/>
        <v>0.61585282771177974</v>
      </c>
      <c r="AF24" s="10">
        <v>0.56220358203129361</v>
      </c>
    </row>
    <row r="25" spans="1:32" s="10" customFormat="1" ht="28.5" customHeight="1">
      <c r="A25" s="96">
        <v>24</v>
      </c>
      <c r="B25" s="5" t="s">
        <v>84</v>
      </c>
      <c r="C25" s="5" t="s">
        <v>67</v>
      </c>
      <c r="D25" s="5" t="s">
        <v>21</v>
      </c>
      <c r="E25" s="5" t="s">
        <v>96</v>
      </c>
      <c r="F25" s="5" t="s">
        <v>97</v>
      </c>
      <c r="G25" s="35" t="s">
        <v>70</v>
      </c>
      <c r="H25" s="44">
        <v>114166</v>
      </c>
      <c r="I25" s="44">
        <f>Table1[[#This Row],[Contracted Amount]]*AF25</f>
        <v>58317.764766735876</v>
      </c>
      <c r="J25" s="44">
        <v>114166</v>
      </c>
      <c r="K25" s="44">
        <f>Table1[[#This Row],[Actual Expenditure (including admin fees)]]*AF25</f>
        <v>58317.764766735876</v>
      </c>
      <c r="L25" s="35" t="s">
        <v>71</v>
      </c>
      <c r="M25" s="42" t="s">
        <v>72</v>
      </c>
      <c r="N25" s="42">
        <v>43086</v>
      </c>
      <c r="O25" s="100" t="s">
        <v>73</v>
      </c>
      <c r="P25" s="42">
        <v>43094</v>
      </c>
      <c r="Q25" s="42">
        <f>Table1[[#This Row],[Site handover date]]+7</f>
        <v>43101</v>
      </c>
      <c r="R25" s="42">
        <v>43214</v>
      </c>
      <c r="S25" s="36" t="s">
        <v>71</v>
      </c>
      <c r="T25" s="89" t="s">
        <v>256</v>
      </c>
      <c r="U25" s="9"/>
      <c r="V25" s="118" t="s">
        <v>71</v>
      </c>
      <c r="W25" s="118" t="s">
        <v>98</v>
      </c>
      <c r="X25" s="136">
        <v>1</v>
      </c>
      <c r="Y25" s="23" t="s">
        <v>262</v>
      </c>
      <c r="Z25" s="34" t="s">
        <v>263</v>
      </c>
      <c r="AA25" s="34" t="s">
        <v>264</v>
      </c>
      <c r="AB25" s="5">
        <v>31.209947222222223</v>
      </c>
      <c r="AC25" s="5">
        <v>16.586222222222222</v>
      </c>
      <c r="AE25" s="10">
        <f ca="1"/>
        <v>0.698529050432104</v>
      </c>
      <c r="AF25" s="10">
        <v>0.51081552096715199</v>
      </c>
    </row>
    <row r="26" spans="1:32" s="10" customFormat="1" ht="28.5" customHeight="1">
      <c r="A26" s="96">
        <v>25</v>
      </c>
      <c r="B26" s="5" t="s">
        <v>84</v>
      </c>
      <c r="C26" s="5" t="s">
        <v>67</v>
      </c>
      <c r="D26" s="5" t="s">
        <v>21</v>
      </c>
      <c r="E26" s="5" t="s">
        <v>96</v>
      </c>
      <c r="F26" s="5" t="s">
        <v>97</v>
      </c>
      <c r="G26" s="35" t="s">
        <v>70</v>
      </c>
      <c r="H26" s="44">
        <v>309030</v>
      </c>
      <c r="I26" s="44">
        <f>Table1[[#This Row],[Contracted Amount]]*AF26</f>
        <v>198566.2847348947</v>
      </c>
      <c r="J26" s="44">
        <f>231865*0.9+77045*0.9+30903</f>
        <v>308922</v>
      </c>
      <c r="K26" s="44">
        <f>Table1[[#This Row],[Actual Expenditure (including admin fees)]]*AF26</f>
        <v>198496.88966402336</v>
      </c>
      <c r="L26" s="35" t="s">
        <v>71</v>
      </c>
      <c r="M26" s="42" t="s">
        <v>72</v>
      </c>
      <c r="N26" s="42">
        <v>43412</v>
      </c>
      <c r="O26" s="100" t="s">
        <v>73</v>
      </c>
      <c r="P26" s="42">
        <v>43434</v>
      </c>
      <c r="Q26" s="42">
        <v>43438</v>
      </c>
      <c r="R26" s="42">
        <v>43559</v>
      </c>
      <c r="S26" s="36" t="s">
        <v>71</v>
      </c>
      <c r="T26" s="89"/>
      <c r="U26" s="9">
        <v>43566</v>
      </c>
      <c r="V26" s="118" t="s">
        <v>71</v>
      </c>
      <c r="W26" s="118" t="s">
        <v>98</v>
      </c>
      <c r="X26" s="136">
        <v>1</v>
      </c>
      <c r="Y26" s="22">
        <v>12113</v>
      </c>
      <c r="Z26" s="34" t="str">
        <f>IF(ISERROR(VLOOKUP(Y26,'Data inputs '!$N$4:$O$23,2,0)),"",(VLOOKUP(Y26,'Data inputs '!$N$4:$O$23,2,0)))</f>
        <v>Canada (DFATD)</v>
      </c>
      <c r="AA26" s="34">
        <v>98720</v>
      </c>
      <c r="AB26" s="5">
        <v>31.177844444444446</v>
      </c>
      <c r="AC26" s="5">
        <v>16.596652777777777</v>
      </c>
      <c r="AE26" s="10">
        <f ca="1"/>
        <v>0.54708964583897934</v>
      </c>
      <c r="AF26" s="10">
        <v>0.64254695251236027</v>
      </c>
    </row>
    <row r="27" spans="1:32" s="10" customFormat="1" ht="28.5" customHeight="1">
      <c r="A27" s="96">
        <v>26</v>
      </c>
      <c r="B27" s="5" t="s">
        <v>84</v>
      </c>
      <c r="C27" s="5" t="s">
        <v>67</v>
      </c>
      <c r="D27" s="5" t="s">
        <v>21</v>
      </c>
      <c r="E27" s="5" t="s">
        <v>96</v>
      </c>
      <c r="F27" s="5" t="s">
        <v>97</v>
      </c>
      <c r="G27" s="35" t="s">
        <v>70</v>
      </c>
      <c r="H27" s="44">
        <v>60000</v>
      </c>
      <c r="I27" s="44">
        <f>Table1[[#This Row],[Contracted Amount]]*AF27</f>
        <v>30779.845408520545</v>
      </c>
      <c r="J27" s="44">
        <f>59830*0.9+(59830*0.1)</f>
        <v>59830</v>
      </c>
      <c r="K27" s="44">
        <f>Table1[[#This Row],[Actual Expenditure (including admin fees)]]*AF27</f>
        <v>30692.635846529734</v>
      </c>
      <c r="L27" s="35" t="s">
        <v>71</v>
      </c>
      <c r="M27" s="42" t="s">
        <v>72</v>
      </c>
      <c r="N27" s="42">
        <v>43417</v>
      </c>
      <c r="O27" s="100" t="s">
        <v>73</v>
      </c>
      <c r="P27" s="42">
        <v>43434</v>
      </c>
      <c r="Q27" s="42">
        <f>P27+7</f>
        <v>43441</v>
      </c>
      <c r="R27" s="42">
        <v>43539</v>
      </c>
      <c r="S27" s="36" t="s">
        <v>71</v>
      </c>
      <c r="T27" s="89"/>
      <c r="U27" s="9">
        <v>43566</v>
      </c>
      <c r="V27" s="118" t="s">
        <v>71</v>
      </c>
      <c r="W27" s="118" t="s">
        <v>98</v>
      </c>
      <c r="X27" s="136">
        <v>1</v>
      </c>
      <c r="Y27" s="23">
        <v>10159</v>
      </c>
      <c r="Z27" s="34" t="str">
        <f>IF(ISERROR(VLOOKUP(Y27,'Data inputs '!$N$4:$O$23,2,0)),"",(VLOOKUP(Y27,'Data inputs '!$N$4:$O$23,2,0)))</f>
        <v>EU</v>
      </c>
      <c r="AA27" s="34">
        <v>112158</v>
      </c>
      <c r="AB27" s="5">
        <v>31.187402777777777</v>
      </c>
      <c r="AC27" s="5">
        <v>16.417525000000001</v>
      </c>
      <c r="AE27" s="10">
        <f ca="1"/>
        <v>0.64835210535861298</v>
      </c>
      <c r="AF27" s="10">
        <v>0.51299742347534238</v>
      </c>
    </row>
    <row r="28" spans="1:32" s="10" customFormat="1" ht="28.5" customHeight="1">
      <c r="A28" s="96">
        <v>27</v>
      </c>
      <c r="B28" s="5" t="s">
        <v>84</v>
      </c>
      <c r="C28" s="5" t="s">
        <v>67</v>
      </c>
      <c r="D28" s="5" t="s">
        <v>21</v>
      </c>
      <c r="E28" s="5" t="s">
        <v>96</v>
      </c>
      <c r="F28" s="5" t="s">
        <v>97</v>
      </c>
      <c r="G28" s="35" t="s">
        <v>70</v>
      </c>
      <c r="H28" s="44">
        <v>268305</v>
      </c>
      <c r="I28" s="44">
        <f>Table1[[#This Row],[Contracted Amount]]*AF28</f>
        <v>177684.7519031142</v>
      </c>
      <c r="J28" s="44">
        <f>241474.5+26830.5</f>
        <v>268305</v>
      </c>
      <c r="K28" s="44">
        <f>Table1[[#This Row],[Actual Expenditure (including admin fees)]]*AF28</f>
        <v>177684.7519031142</v>
      </c>
      <c r="L28" s="35" t="s">
        <v>71</v>
      </c>
      <c r="M28" s="42" t="s">
        <v>72</v>
      </c>
      <c r="N28" s="42">
        <v>43612</v>
      </c>
      <c r="O28" s="100" t="s">
        <v>73</v>
      </c>
      <c r="P28" s="42">
        <v>43627</v>
      </c>
      <c r="Q28" s="42"/>
      <c r="R28" s="42">
        <v>43758</v>
      </c>
      <c r="S28" s="36" t="s">
        <v>71</v>
      </c>
      <c r="T28" s="89" t="s">
        <v>265</v>
      </c>
      <c r="U28" s="9">
        <v>43759</v>
      </c>
      <c r="V28" s="118" t="s">
        <v>71</v>
      </c>
      <c r="W28" s="118" t="s">
        <v>98</v>
      </c>
      <c r="X28" s="136">
        <v>1</v>
      </c>
      <c r="Y28" s="23">
        <v>10159</v>
      </c>
      <c r="Z28" s="34" t="str">
        <f>IF(ISERROR(VLOOKUP(Y28,'Data inputs '!$N$4:$O$23,2,0)),"",(VLOOKUP(Y28,'Data inputs '!$N$4:$O$23,2,0)))</f>
        <v>EU</v>
      </c>
      <c r="AA28" s="34">
        <v>112158</v>
      </c>
      <c r="AB28" s="5">
        <v>31.207341666666665</v>
      </c>
      <c r="AC28" s="5">
        <v>16.579072222222223</v>
      </c>
      <c r="AE28" s="10">
        <f ca="1"/>
        <v>0.65346836392149676</v>
      </c>
      <c r="AF28" s="10">
        <v>0.66224912656534241</v>
      </c>
    </row>
    <row r="29" spans="1:32" s="10" customFormat="1" ht="28.5" customHeight="1">
      <c r="A29" s="96">
        <v>28</v>
      </c>
      <c r="B29" s="5" t="s">
        <v>84</v>
      </c>
      <c r="C29" s="5" t="s">
        <v>67</v>
      </c>
      <c r="D29" s="5" t="s">
        <v>21</v>
      </c>
      <c r="E29" s="5" t="s">
        <v>96</v>
      </c>
      <c r="F29" s="5" t="s">
        <v>97</v>
      </c>
      <c r="G29" s="35" t="s">
        <v>70</v>
      </c>
      <c r="H29" s="44">
        <v>266037</v>
      </c>
      <c r="I29" s="44">
        <f>Table1[[#This Row],[Contracted Amount]]*AF29</f>
        <v>190090.89396008736</v>
      </c>
      <c r="J29" s="44">
        <f>266037*0.9+(266037*0.1)</f>
        <v>266037</v>
      </c>
      <c r="K29" s="44">
        <f>Table1[[#This Row],[Actual Expenditure (including admin fees)]]*AF29</f>
        <v>190090.89396008736</v>
      </c>
      <c r="L29" s="35" t="s">
        <v>71</v>
      </c>
      <c r="M29" s="42" t="s">
        <v>72</v>
      </c>
      <c r="N29" s="42">
        <v>43417</v>
      </c>
      <c r="O29" s="100" t="s">
        <v>73</v>
      </c>
      <c r="P29" s="42">
        <v>43432</v>
      </c>
      <c r="Q29" s="42">
        <f>Table1[[#This Row],[Site handover date]]+8</f>
        <v>43440</v>
      </c>
      <c r="R29" s="42">
        <v>43569</v>
      </c>
      <c r="S29" s="36" t="s">
        <v>71</v>
      </c>
      <c r="T29" s="89"/>
      <c r="U29" s="9">
        <v>43566</v>
      </c>
      <c r="V29" s="118" t="s">
        <v>71</v>
      </c>
      <c r="W29" s="118" t="s">
        <v>98</v>
      </c>
      <c r="X29" s="136">
        <v>1</v>
      </c>
      <c r="Y29" s="22">
        <v>187</v>
      </c>
      <c r="Z29" s="34" t="str">
        <f>IF(ISERROR(VLOOKUP(Y29,'Data inputs '!$N$4:$O$23,2,0)),"",(VLOOKUP(Y29,'Data inputs '!$N$4:$O$23,2,0)))</f>
        <v>Norway</v>
      </c>
      <c r="AA29" s="34">
        <v>98720</v>
      </c>
      <c r="AB29" s="5">
        <v>31.206655555555553</v>
      </c>
      <c r="AC29" s="5">
        <v>16.560427777777779</v>
      </c>
      <c r="AE29" s="10">
        <f ca="1"/>
        <v>0.56162189979839316</v>
      </c>
      <c r="AF29" s="10">
        <v>0.71452803166509682</v>
      </c>
    </row>
    <row r="30" spans="1:32" s="10" customFormat="1" ht="28.5" customHeight="1">
      <c r="A30" s="96">
        <v>29</v>
      </c>
      <c r="B30" s="5" t="s">
        <v>84</v>
      </c>
      <c r="C30" s="5" t="s">
        <v>67</v>
      </c>
      <c r="D30" s="5" t="s">
        <v>21</v>
      </c>
      <c r="E30" s="5" t="s">
        <v>96</v>
      </c>
      <c r="F30" s="29" t="s">
        <v>97</v>
      </c>
      <c r="G30" s="35" t="s">
        <v>70</v>
      </c>
      <c r="H30" s="44"/>
      <c r="I30" s="44">
        <f>Table1[[#This Row],[Contracted Amount]]*AF30</f>
        <v>0</v>
      </c>
      <c r="J30" s="44"/>
      <c r="K30" s="44">
        <f>Table1[[#This Row],[Actual Expenditure (including admin fees)]]*AF30</f>
        <v>0</v>
      </c>
      <c r="L30" s="35" t="s">
        <v>75</v>
      </c>
      <c r="M30" s="42"/>
      <c r="N30" s="42"/>
      <c r="O30" s="100"/>
      <c r="P30" s="42"/>
      <c r="Q30" s="42"/>
      <c r="R30" s="118"/>
      <c r="S30" s="36" t="s">
        <v>266</v>
      </c>
      <c r="T30" s="89" t="s">
        <v>267</v>
      </c>
      <c r="U30" s="9">
        <v>43878</v>
      </c>
      <c r="V30" s="118" t="s">
        <v>266</v>
      </c>
      <c r="W30" s="118"/>
      <c r="X30" s="136"/>
      <c r="Y30" s="23"/>
      <c r="Z30" s="34" t="str">
        <f>IF(ISERROR(VLOOKUP(Y30,'Data inputs '!$N$4:$O$23,2,0)),"",(VLOOKUP(Y30,'Data inputs '!$N$4:$O$23,2,0)))</f>
        <v/>
      </c>
      <c r="AA30" s="34"/>
      <c r="AB30" s="5"/>
      <c r="AC30" s="5"/>
      <c r="AE30" s="10">
        <f ca="1"/>
        <v>0.69522416270279219</v>
      </c>
      <c r="AF30" s="10">
        <v>0.57245580484395286</v>
      </c>
    </row>
    <row r="31" spans="1:32" s="10" customFormat="1" ht="28.5" customHeight="1">
      <c r="A31" s="96">
        <v>30</v>
      </c>
      <c r="B31" s="5" t="s">
        <v>84</v>
      </c>
      <c r="C31" s="5" t="s">
        <v>67</v>
      </c>
      <c r="D31" s="5" t="s">
        <v>21</v>
      </c>
      <c r="E31" s="5" t="s">
        <v>96</v>
      </c>
      <c r="F31" s="29" t="s">
        <v>97</v>
      </c>
      <c r="G31" s="35" t="s">
        <v>70</v>
      </c>
      <c r="H31" s="44"/>
      <c r="I31" s="44">
        <f>Table1[[#This Row],[Contracted Amount]]*AF31</f>
        <v>0</v>
      </c>
      <c r="J31" s="44"/>
      <c r="K31" s="44">
        <f>Table1[[#This Row],[Actual Expenditure (including admin fees)]]*AF31</f>
        <v>0</v>
      </c>
      <c r="L31" s="35" t="s">
        <v>75</v>
      </c>
      <c r="M31" s="42"/>
      <c r="N31" s="42"/>
      <c r="O31" s="100"/>
      <c r="P31" s="42"/>
      <c r="Q31" s="42"/>
      <c r="R31" s="118"/>
      <c r="S31" s="36" t="s">
        <v>266</v>
      </c>
      <c r="T31" s="89" t="s">
        <v>267</v>
      </c>
      <c r="U31" s="9">
        <v>43878</v>
      </c>
      <c r="V31" s="118" t="s">
        <v>266</v>
      </c>
      <c r="W31" s="118"/>
      <c r="X31" s="136"/>
      <c r="Y31" s="23"/>
      <c r="Z31" s="34" t="str">
        <f>IF(ISERROR(VLOOKUP(Y31,'Data inputs '!$N$4:$O$23,2,0)),"",(VLOOKUP(Y31,'Data inputs '!$N$4:$O$23,2,0)))</f>
        <v/>
      </c>
      <c r="AA31" s="34"/>
      <c r="AB31" s="5"/>
      <c r="AC31" s="5"/>
      <c r="AE31" s="10">
        <f ca="1"/>
        <v>0.55653643553355359</v>
      </c>
      <c r="AF31" s="10">
        <v>0.7236581145777784</v>
      </c>
    </row>
    <row r="32" spans="1:32" s="10" customFormat="1" ht="28.5" customHeight="1">
      <c r="A32" s="96">
        <v>31</v>
      </c>
      <c r="B32" s="5" t="s">
        <v>84</v>
      </c>
      <c r="C32" s="5" t="s">
        <v>67</v>
      </c>
      <c r="D32" s="5" t="s">
        <v>21</v>
      </c>
      <c r="E32" s="5" t="s">
        <v>96</v>
      </c>
      <c r="F32" s="29" t="s">
        <v>97</v>
      </c>
      <c r="G32" s="35" t="s">
        <v>70</v>
      </c>
      <c r="H32" s="44"/>
      <c r="I32" s="44">
        <f>Table1[[#This Row],[Contracted Amount]]*AF32</f>
        <v>0</v>
      </c>
      <c r="J32" s="44"/>
      <c r="K32" s="44">
        <f>Table1[[#This Row],[Actual Expenditure (including admin fees)]]*AF32</f>
        <v>0</v>
      </c>
      <c r="L32" s="35" t="s">
        <v>75</v>
      </c>
      <c r="M32" s="42"/>
      <c r="N32" s="42"/>
      <c r="O32" s="100"/>
      <c r="P32" s="42"/>
      <c r="Q32" s="42"/>
      <c r="R32" s="118"/>
      <c r="S32" s="36" t="s">
        <v>266</v>
      </c>
      <c r="T32" s="89" t="s">
        <v>267</v>
      </c>
      <c r="U32" s="9">
        <v>43878</v>
      </c>
      <c r="V32" s="118" t="s">
        <v>266</v>
      </c>
      <c r="W32" s="118"/>
      <c r="X32" s="136"/>
      <c r="Y32" s="23"/>
      <c r="Z32" s="34" t="str">
        <f>IF(ISERROR(VLOOKUP(Y32,'Data inputs '!$N$4:$O$23,2,0)),"",(VLOOKUP(Y32,'Data inputs '!$N$4:$O$23,2,0)))</f>
        <v/>
      </c>
      <c r="AA32" s="34"/>
      <c r="AB32" s="5"/>
      <c r="AC32" s="5"/>
      <c r="AE32" s="10">
        <f ca="1"/>
        <v>0.62533740627183132</v>
      </c>
      <c r="AF32" s="10">
        <v>0.70899757656999662</v>
      </c>
    </row>
    <row r="33" spans="1:32" s="10" customFormat="1" ht="28.5" customHeight="1">
      <c r="A33" s="96">
        <v>32</v>
      </c>
      <c r="B33" s="5" t="s">
        <v>84</v>
      </c>
      <c r="C33" s="5" t="s">
        <v>67</v>
      </c>
      <c r="D33" s="5" t="s">
        <v>21</v>
      </c>
      <c r="E33" s="5" t="s">
        <v>96</v>
      </c>
      <c r="F33" s="5" t="s">
        <v>97</v>
      </c>
      <c r="G33" s="35" t="s">
        <v>70</v>
      </c>
      <c r="H33" s="44">
        <v>65975</v>
      </c>
      <c r="I33" s="44">
        <f>Table1[[#This Row],[Contracted Amount]]*AF33</f>
        <v>36440.280950798922</v>
      </c>
      <c r="J33" s="44">
        <f>59377.5+6597.5</f>
        <v>65975</v>
      </c>
      <c r="K33" s="44">
        <f>Table1[[#This Row],[Actual Expenditure (including admin fees)]]*AF33</f>
        <v>36440.280950798922</v>
      </c>
      <c r="L33" s="35" t="s">
        <v>71</v>
      </c>
      <c r="M33" s="42" t="s">
        <v>72</v>
      </c>
      <c r="N33" s="42">
        <v>43445</v>
      </c>
      <c r="O33" s="100" t="s">
        <v>73</v>
      </c>
      <c r="P33" s="42">
        <v>43465</v>
      </c>
      <c r="Q33" s="42">
        <f>Table1[[#This Row],[Site handover date]]+7</f>
        <v>43472</v>
      </c>
      <c r="R33" s="42">
        <v>43551</v>
      </c>
      <c r="S33" s="36" t="s">
        <v>71</v>
      </c>
      <c r="T33" s="89"/>
      <c r="U33" s="9">
        <v>43566</v>
      </c>
      <c r="V33" s="118" t="s">
        <v>71</v>
      </c>
      <c r="W33" s="118" t="s">
        <v>101</v>
      </c>
      <c r="X33" s="136">
        <v>1</v>
      </c>
      <c r="Y33" s="23">
        <v>11410</v>
      </c>
      <c r="Z33" s="34" t="str">
        <f>IF(ISERROR(VLOOKUP(Y33,'Data inputs '!$N$4:$O$23,2,0)),"",(VLOOKUP(Y33,'Data inputs '!$N$4:$O$23,2,0)))</f>
        <v>UK (FCO)</v>
      </c>
      <c r="AA33" s="34">
        <v>98720</v>
      </c>
      <c r="AB33" s="5">
        <v>31.199230555555555</v>
      </c>
      <c r="AC33" s="5">
        <v>16.593963888888887</v>
      </c>
      <c r="AE33" s="10">
        <f ca="1"/>
        <v>0.52635992908711349</v>
      </c>
      <c r="AF33" s="10">
        <v>0.55233468663583063</v>
      </c>
    </row>
    <row r="34" spans="1:32" s="10" customFormat="1" ht="28.5" customHeight="1">
      <c r="A34" s="96">
        <v>33</v>
      </c>
      <c r="B34" s="5" t="s">
        <v>84</v>
      </c>
      <c r="C34" s="5" t="s">
        <v>67</v>
      </c>
      <c r="D34" s="5" t="s">
        <v>21</v>
      </c>
      <c r="E34" s="5" t="s">
        <v>96</v>
      </c>
      <c r="F34" s="5" t="s">
        <v>97</v>
      </c>
      <c r="G34" s="35" t="s">
        <v>70</v>
      </c>
      <c r="H34" s="44">
        <v>283601</v>
      </c>
      <c r="I34" s="44">
        <f>Table1[[#This Row],[Contracted Amount]]*AF34</f>
        <v>190689.52271555961</v>
      </c>
      <c r="J34" s="44">
        <f>247680.9+7560+28360.1</f>
        <v>283601</v>
      </c>
      <c r="K34" s="44">
        <f>Table1[[#This Row],[Actual Expenditure (including admin fees)]]*AF34</f>
        <v>190689.52271555961</v>
      </c>
      <c r="L34" s="35" t="s">
        <v>71</v>
      </c>
      <c r="M34" s="42" t="s">
        <v>72</v>
      </c>
      <c r="N34" s="92">
        <v>43612</v>
      </c>
      <c r="O34" s="100" t="s">
        <v>73</v>
      </c>
      <c r="P34" s="42">
        <v>43710</v>
      </c>
      <c r="Q34" s="42">
        <v>43717</v>
      </c>
      <c r="R34" s="42">
        <v>43824</v>
      </c>
      <c r="S34" s="36" t="s">
        <v>71</v>
      </c>
      <c r="T34" s="89" t="s">
        <v>268</v>
      </c>
      <c r="U34" s="9">
        <v>43839</v>
      </c>
      <c r="V34" s="118" t="s">
        <v>71</v>
      </c>
      <c r="W34" s="118" t="s">
        <v>101</v>
      </c>
      <c r="X34" s="136">
        <v>1</v>
      </c>
      <c r="Y34" s="23">
        <v>10159</v>
      </c>
      <c r="Z34" s="34" t="str">
        <f>IF(ISERROR(VLOOKUP(Y34,'Data inputs '!$N$4:$O$23,2,0)),"",(VLOOKUP(Y34,'Data inputs '!$N$4:$O$23,2,0)))</f>
        <v>EU</v>
      </c>
      <c r="AA34" s="34">
        <v>112158</v>
      </c>
      <c r="AB34" s="5">
        <v>31.209280555555555</v>
      </c>
      <c r="AC34" s="5">
        <v>16.586908333333334</v>
      </c>
      <c r="AE34" s="10">
        <f ca="1"/>
        <v>0.59682719850778532</v>
      </c>
      <c r="AF34" s="10">
        <v>0.67238663726700398</v>
      </c>
    </row>
    <row r="35" spans="1:32" s="10" customFormat="1" ht="28.5" customHeight="1">
      <c r="A35" s="96">
        <v>34</v>
      </c>
      <c r="B35" s="5" t="s">
        <v>84</v>
      </c>
      <c r="C35" s="5" t="s">
        <v>67</v>
      </c>
      <c r="D35" s="5" t="s">
        <v>21</v>
      </c>
      <c r="E35" s="5" t="s">
        <v>96</v>
      </c>
      <c r="F35" s="5" t="s">
        <v>97</v>
      </c>
      <c r="G35" s="35" t="s">
        <v>70</v>
      </c>
      <c r="H35" s="44">
        <v>387160</v>
      </c>
      <c r="I35" s="44">
        <f>Table1[[#This Row],[Contracted Amount]]*AF35</f>
        <v>224318.40198390902</v>
      </c>
      <c r="J35" s="44">
        <f>139617+117166.5+91660.5+38716</f>
        <v>387160</v>
      </c>
      <c r="K35" s="44">
        <f>Table1[[#This Row],[Actual Expenditure (including admin fees)]]*AF35</f>
        <v>224318.40198390902</v>
      </c>
      <c r="L35" s="35" t="s">
        <v>71</v>
      </c>
      <c r="M35" s="42" t="s">
        <v>72</v>
      </c>
      <c r="N35" s="42">
        <v>43606</v>
      </c>
      <c r="O35" s="100" t="s">
        <v>73</v>
      </c>
      <c r="P35" s="42"/>
      <c r="Q35" s="42">
        <v>43619</v>
      </c>
      <c r="R35" s="42">
        <v>43807</v>
      </c>
      <c r="S35" s="36" t="s">
        <v>71</v>
      </c>
      <c r="T35" s="89" t="s">
        <v>269</v>
      </c>
      <c r="U35" s="9">
        <v>43775</v>
      </c>
      <c r="V35" s="118" t="s">
        <v>71</v>
      </c>
      <c r="W35" s="118" t="s">
        <v>101</v>
      </c>
      <c r="X35" s="136">
        <v>1</v>
      </c>
      <c r="Y35" s="23" t="s">
        <v>270</v>
      </c>
      <c r="Z35" s="34" t="s">
        <v>271</v>
      </c>
      <c r="AA35" s="34">
        <v>112158</v>
      </c>
      <c r="AB35" s="5">
        <v>31.208836111111111</v>
      </c>
      <c r="AC35" s="5">
        <v>16.570911111111112</v>
      </c>
      <c r="AE35" s="10">
        <f ca="1"/>
        <v>0.59418177621588408</v>
      </c>
      <c r="AF35" s="10">
        <v>0.57939457067855415</v>
      </c>
    </row>
    <row r="36" spans="1:32" s="10" customFormat="1" ht="28.5" customHeight="1">
      <c r="A36" s="96">
        <v>35</v>
      </c>
      <c r="B36" s="17"/>
      <c r="C36" s="17"/>
      <c r="D36" s="17" t="s">
        <v>21</v>
      </c>
      <c r="E36" s="17" t="s">
        <v>4</v>
      </c>
      <c r="F36" s="17"/>
      <c r="G36" s="35" t="s">
        <v>70</v>
      </c>
      <c r="H36" s="44"/>
      <c r="I36" s="44">
        <f>Table1[[#This Row],[Contracted Amount]]*AF36</f>
        <v>0</v>
      </c>
      <c r="J36" s="61"/>
      <c r="K36" s="61">
        <f>Table1[[#This Row],[Actual Expenditure (including admin fees)]]*AF36</f>
        <v>0</v>
      </c>
      <c r="L36" s="35" t="s">
        <v>71</v>
      </c>
      <c r="M36" s="42"/>
      <c r="N36" s="42"/>
      <c r="O36" s="100"/>
      <c r="P36" s="42"/>
      <c r="Q36" s="42"/>
      <c r="R36" s="42"/>
      <c r="S36" s="35"/>
      <c r="T36" s="89"/>
      <c r="U36" s="31"/>
      <c r="V36" s="117"/>
      <c r="W36" s="117"/>
      <c r="X36" s="139"/>
      <c r="Y36" s="25"/>
      <c r="Z36" s="34" t="str">
        <f>IF(ISERROR(VLOOKUP(Y36,'Data inputs '!$N$4:$O$23,2,0)),"",(VLOOKUP(Y36,'Data inputs '!$N$4:$O$23,2,0)))</f>
        <v/>
      </c>
      <c r="AA36" s="34"/>
      <c r="AB36" s="5"/>
      <c r="AC36" s="5"/>
      <c r="AE36" s="10">
        <f ca="1"/>
        <v>0.74337768441801089</v>
      </c>
      <c r="AF36" s="10">
        <v>0.65229029065439681</v>
      </c>
    </row>
    <row r="37" spans="1:32" s="10" customFormat="1" ht="28.5" customHeight="1">
      <c r="A37" s="96">
        <v>36</v>
      </c>
      <c r="B37" s="5" t="s">
        <v>66</v>
      </c>
      <c r="C37" s="5" t="s">
        <v>67</v>
      </c>
      <c r="D37" s="5" t="s">
        <v>21</v>
      </c>
      <c r="E37" s="5" t="s">
        <v>4</v>
      </c>
      <c r="F37" s="5" t="s">
        <v>90</v>
      </c>
      <c r="G37" s="35" t="s">
        <v>70</v>
      </c>
      <c r="H37" s="44">
        <f>(477284.51/10)*2+(5468.75/5)*2</f>
        <v>97644.402000000002</v>
      </c>
      <c r="I37" s="44">
        <f>Table1[[#This Row],[Contracted Amount]]*AF37</f>
        <v>65089.034818916953</v>
      </c>
      <c r="J37" s="44">
        <f>SUM(61972.59*2)</f>
        <v>123945.18</v>
      </c>
      <c r="K37" s="44">
        <f>Table1[[#This Row],[Actual Expenditure (including admin fees)]]*AF37</f>
        <v>82620.938542456628</v>
      </c>
      <c r="L37" s="35" t="s">
        <v>71</v>
      </c>
      <c r="M37" s="42" t="s">
        <v>72</v>
      </c>
      <c r="N37" s="42">
        <v>42767</v>
      </c>
      <c r="O37" s="100" t="s">
        <v>73</v>
      </c>
      <c r="P37" s="42"/>
      <c r="Q37" s="42"/>
      <c r="R37" s="42">
        <v>43100</v>
      </c>
      <c r="S37" s="36" t="s">
        <v>71</v>
      </c>
      <c r="T37" s="89" t="s">
        <v>272</v>
      </c>
      <c r="U37" s="9"/>
      <c r="V37" s="118" t="s">
        <v>71</v>
      </c>
      <c r="W37" s="118" t="s">
        <v>91</v>
      </c>
      <c r="X37" s="136">
        <v>2</v>
      </c>
      <c r="Y37" s="23"/>
      <c r="Z37" s="34" t="str">
        <f>IF(ISERROR(VLOOKUP(Y37,'Data inputs '!$N$4:$O$23,2,0)),"",(VLOOKUP(Y37,'Data inputs '!$N$4:$O$23,2,0)))</f>
        <v/>
      </c>
      <c r="AA37" s="34">
        <v>98720</v>
      </c>
      <c r="AB37" s="5">
        <v>31.183761111111099</v>
      </c>
      <c r="AC37" s="5">
        <v>16.584347222222199</v>
      </c>
      <c r="AE37" s="10">
        <f ca="1"/>
        <v>0.70250582904486281</v>
      </c>
      <c r="AF37" s="10">
        <v>0.66659258990512282</v>
      </c>
    </row>
    <row r="38" spans="1:32" s="10" customFormat="1" ht="28.5" customHeight="1">
      <c r="A38" s="96">
        <v>37</v>
      </c>
      <c r="B38" s="5" t="s">
        <v>66</v>
      </c>
      <c r="C38" s="5" t="s">
        <v>67</v>
      </c>
      <c r="D38" s="5" t="s">
        <v>21</v>
      </c>
      <c r="E38" s="5" t="s">
        <v>4</v>
      </c>
      <c r="F38" s="6" t="s">
        <v>104</v>
      </c>
      <c r="G38" s="39" t="s">
        <v>70</v>
      </c>
      <c r="H38" s="44">
        <v>86505</v>
      </c>
      <c r="I38" s="44">
        <f>Table1[[#This Row],[Contracted Amount]]*AF38</f>
        <v>44166.11260031323</v>
      </c>
      <c r="J38" s="44">
        <v>90887.34</v>
      </c>
      <c r="K38" s="44">
        <f>Table1[[#This Row],[Actual Expenditure (including admin fees)]]*AF38</f>
        <v>46403.566179792528</v>
      </c>
      <c r="L38" s="35" t="s">
        <v>71</v>
      </c>
      <c r="M38" s="42" t="s">
        <v>72</v>
      </c>
      <c r="N38" s="42">
        <v>43042</v>
      </c>
      <c r="O38" s="100" t="s">
        <v>73</v>
      </c>
      <c r="P38" s="42"/>
      <c r="Q38" s="42"/>
      <c r="R38" s="42">
        <v>43100</v>
      </c>
      <c r="S38" s="36" t="s">
        <v>71</v>
      </c>
      <c r="T38" s="89" t="s">
        <v>273</v>
      </c>
      <c r="U38" s="32">
        <v>43791</v>
      </c>
      <c r="V38" s="133" t="s">
        <v>71</v>
      </c>
      <c r="W38" s="133" t="s">
        <v>105</v>
      </c>
      <c r="X38" s="140">
        <v>1</v>
      </c>
      <c r="Y38" s="23">
        <v>11410</v>
      </c>
      <c r="Z38" s="34" t="str">
        <f>IF(ISERROR(VLOOKUP(Y38,'Data inputs '!$N$4:$O$23,2,0)),"",(VLOOKUP(Y38,'Data inputs '!$N$4:$O$23,2,0)))</f>
        <v>UK (FCO)</v>
      </c>
      <c r="AA38" s="34">
        <v>98720</v>
      </c>
      <c r="AB38" s="5">
        <v>31.183761111111099</v>
      </c>
      <c r="AC38" s="5">
        <v>16.584347222222199</v>
      </c>
      <c r="AE38" s="10">
        <f ca="1"/>
        <v>0.63972871629182992</v>
      </c>
      <c r="AF38" s="10">
        <v>0.51056138489466774</v>
      </c>
    </row>
    <row r="39" spans="1:32" s="10" customFormat="1" ht="28.5" customHeight="1">
      <c r="A39" s="96">
        <v>38</v>
      </c>
      <c r="B39" s="17"/>
      <c r="C39" s="17"/>
      <c r="D39" s="17" t="s">
        <v>21</v>
      </c>
      <c r="E39" s="17"/>
      <c r="F39" s="17"/>
      <c r="G39" s="39" t="s">
        <v>70</v>
      </c>
      <c r="H39" s="44"/>
      <c r="I39" s="44">
        <f>Table1[[#This Row],[Contracted Amount]]*AF39</f>
        <v>0</v>
      </c>
      <c r="J39" s="44"/>
      <c r="K39" s="44">
        <f>Table1[[#This Row],[Actual Expenditure (including admin fees)]]*AF39</f>
        <v>0</v>
      </c>
      <c r="L39" s="35"/>
      <c r="M39" s="42"/>
      <c r="N39" s="42"/>
      <c r="O39" s="100"/>
      <c r="P39" s="42"/>
      <c r="Q39" s="42"/>
      <c r="R39" s="118"/>
      <c r="S39" s="35"/>
      <c r="T39" s="89"/>
      <c r="U39" s="32"/>
      <c r="V39" s="134"/>
      <c r="W39" s="134"/>
      <c r="X39" s="141"/>
      <c r="Y39" s="23"/>
      <c r="Z39" s="34" t="str">
        <f>IF(ISERROR(VLOOKUP(Y39,'Data inputs '!$N$4:$O$23,2,0)),"",(VLOOKUP(Y39,'Data inputs '!$N$4:$O$23,2,0)))</f>
        <v/>
      </c>
      <c r="AA39" s="34"/>
      <c r="AB39" s="5"/>
      <c r="AC39" s="5"/>
      <c r="AE39" s="10">
        <f ca="1"/>
        <v>0.65423805948028679</v>
      </c>
      <c r="AF39" s="10">
        <v>0.71886701165036926</v>
      </c>
    </row>
    <row r="40" spans="1:32" s="10" customFormat="1" ht="38.25">
      <c r="A40" s="96">
        <v>39</v>
      </c>
      <c r="B40" s="37"/>
      <c r="C40" s="127" t="s">
        <v>67</v>
      </c>
      <c r="D40" s="5" t="s">
        <v>21</v>
      </c>
      <c r="E40" s="5" t="s">
        <v>81</v>
      </c>
      <c r="F40" s="29" t="s">
        <v>134</v>
      </c>
      <c r="G40" s="36" t="s">
        <v>70</v>
      </c>
      <c r="H40" s="44"/>
      <c r="I40" s="44">
        <f>Table1[[#This Row],[Contracted Amount]]*AF40</f>
        <v>0</v>
      </c>
      <c r="J40" s="44"/>
      <c r="K40" s="44">
        <f>Table1[[#This Row],[Actual Expenditure (including admin fees)]]*AF40</f>
        <v>0</v>
      </c>
      <c r="L40" s="35"/>
      <c r="M40" s="42"/>
      <c r="N40" s="42"/>
      <c r="O40" s="100"/>
      <c r="P40" s="42"/>
      <c r="Q40" s="42"/>
      <c r="R40" s="118"/>
      <c r="S40" s="36" t="s">
        <v>266</v>
      </c>
      <c r="T40" s="90" t="s">
        <v>274</v>
      </c>
      <c r="U40" s="9"/>
      <c r="V40" s="118" t="s">
        <v>266</v>
      </c>
      <c r="W40" s="118"/>
      <c r="X40" s="136"/>
      <c r="Y40" s="23"/>
      <c r="Z40" s="34" t="str">
        <f>IF(ISERROR(VLOOKUP(Y40,'Data inputs '!$N$4:$O$23,2,0)),"",(VLOOKUP(Y40,'Data inputs '!$N$4:$O$23,2,0)))</f>
        <v/>
      </c>
      <c r="AA40" s="34"/>
      <c r="AB40" s="5"/>
      <c r="AC40" s="5"/>
      <c r="AE40" s="10">
        <f ca="1"/>
        <v>0.72237246219724327</v>
      </c>
      <c r="AF40" s="10">
        <v>0.72882659472308775</v>
      </c>
    </row>
    <row r="41" spans="1:32" s="10" customFormat="1" ht="38.25">
      <c r="A41" s="96">
        <v>40</v>
      </c>
      <c r="B41" s="37"/>
      <c r="C41" s="127" t="s">
        <v>67</v>
      </c>
      <c r="D41" s="5" t="s">
        <v>21</v>
      </c>
      <c r="E41" s="5" t="s">
        <v>81</v>
      </c>
      <c r="F41" s="29" t="s">
        <v>134</v>
      </c>
      <c r="G41" s="36" t="s">
        <v>70</v>
      </c>
      <c r="H41" s="44"/>
      <c r="I41" s="44">
        <f>Table1[[#This Row],[Contracted Amount]]*AF41</f>
        <v>0</v>
      </c>
      <c r="J41" s="44"/>
      <c r="K41" s="44">
        <f>Table1[[#This Row],[Actual Expenditure (including admin fees)]]*AF41</f>
        <v>0</v>
      </c>
      <c r="L41" s="35"/>
      <c r="M41" s="42"/>
      <c r="N41" s="42"/>
      <c r="O41" s="100"/>
      <c r="P41" s="42"/>
      <c r="Q41" s="42"/>
      <c r="R41" s="118"/>
      <c r="S41" s="36" t="s">
        <v>266</v>
      </c>
      <c r="T41" s="90" t="s">
        <v>274</v>
      </c>
      <c r="U41" s="9"/>
      <c r="V41" s="118" t="s">
        <v>266</v>
      </c>
      <c r="W41" s="118"/>
      <c r="X41" s="136"/>
      <c r="Y41" s="23"/>
      <c r="Z41" s="34" t="str">
        <f>IF(ISERROR(VLOOKUP(Y41,'Data inputs '!$N$4:$O$23,2,0)),"",(VLOOKUP(Y41,'Data inputs '!$N$4:$O$23,2,0)))</f>
        <v/>
      </c>
      <c r="AA41" s="34"/>
      <c r="AB41" s="5"/>
      <c r="AC41" s="5"/>
      <c r="AE41" s="10">
        <f ca="1"/>
        <v>0.65787305359129866</v>
      </c>
      <c r="AF41" s="10">
        <v>0.63296056459901739</v>
      </c>
    </row>
    <row r="42" spans="1:32" s="10" customFormat="1" ht="38.25">
      <c r="A42" s="96">
        <v>41</v>
      </c>
      <c r="B42" s="37"/>
      <c r="C42" s="127" t="s">
        <v>67</v>
      </c>
      <c r="D42" s="5" t="s">
        <v>21</v>
      </c>
      <c r="E42" s="5" t="s">
        <v>81</v>
      </c>
      <c r="F42" s="29" t="s">
        <v>275</v>
      </c>
      <c r="G42" s="36" t="s">
        <v>70</v>
      </c>
      <c r="H42" s="44"/>
      <c r="I42" s="44">
        <f>Table1[[#This Row],[Contracted Amount]]*AF42</f>
        <v>0</v>
      </c>
      <c r="J42" s="44"/>
      <c r="K42" s="44">
        <f>Table1[[#This Row],[Actual Expenditure (including admin fees)]]*AF42</f>
        <v>0</v>
      </c>
      <c r="L42" s="35"/>
      <c r="M42" s="42"/>
      <c r="N42" s="42"/>
      <c r="O42" s="100"/>
      <c r="P42" s="42"/>
      <c r="Q42" s="42"/>
      <c r="R42" s="118"/>
      <c r="S42" s="36" t="s">
        <v>266</v>
      </c>
      <c r="T42" s="90" t="s">
        <v>274</v>
      </c>
      <c r="U42" s="9"/>
      <c r="V42" s="118" t="s">
        <v>266</v>
      </c>
      <c r="W42" s="118"/>
      <c r="X42" s="136"/>
      <c r="Y42" s="23"/>
      <c r="Z42" s="34" t="str">
        <f>IF(ISERROR(VLOOKUP(Y42,'Data inputs '!$N$4:$O$23,2,0)),"",(VLOOKUP(Y42,'Data inputs '!$N$4:$O$23,2,0)))</f>
        <v/>
      </c>
      <c r="AA42" s="34"/>
      <c r="AB42" s="5"/>
      <c r="AC42" s="5"/>
      <c r="AE42" s="10">
        <f ca="1"/>
        <v>0.69522303405165864</v>
      </c>
      <c r="AF42" s="10">
        <v>0.72329875266200816</v>
      </c>
    </row>
    <row r="43" spans="1:32" s="10" customFormat="1" ht="28.5" customHeight="1">
      <c r="A43" s="96">
        <v>42</v>
      </c>
      <c r="B43" s="5" t="s">
        <v>84</v>
      </c>
      <c r="C43" s="5" t="s">
        <v>67</v>
      </c>
      <c r="D43" s="5" t="s">
        <v>13</v>
      </c>
      <c r="E43" s="5" t="s">
        <v>96</v>
      </c>
      <c r="F43" s="5" t="s">
        <v>97</v>
      </c>
      <c r="G43" s="35" t="s">
        <v>70</v>
      </c>
      <c r="H43" s="44">
        <v>30005</v>
      </c>
      <c r="I43" s="44">
        <f>Table1[[#This Row],[Contracted Amount]]*AF43</f>
        <v>22486.07661591479</v>
      </c>
      <c r="J43" s="44">
        <f>120433.5+13381.5</f>
        <v>133815</v>
      </c>
      <c r="K43" s="44">
        <f>Table1[[#This Row],[Actual Expenditure (including admin fees)]]*AF43</f>
        <v>100282.43100678679</v>
      </c>
      <c r="L43" s="35" t="s">
        <v>71</v>
      </c>
      <c r="M43" s="42" t="s">
        <v>72</v>
      </c>
      <c r="N43" s="42">
        <v>43605</v>
      </c>
      <c r="O43" s="100" t="s">
        <v>73</v>
      </c>
      <c r="P43" s="42"/>
      <c r="Q43" s="42"/>
      <c r="R43" s="42">
        <v>43755</v>
      </c>
      <c r="S43" s="36" t="s">
        <v>71</v>
      </c>
      <c r="T43" s="89" t="s">
        <v>276</v>
      </c>
      <c r="U43" s="9">
        <v>43762</v>
      </c>
      <c r="V43" s="118" t="s">
        <v>71</v>
      </c>
      <c r="W43" s="118" t="s">
        <v>98</v>
      </c>
      <c r="X43" s="136">
        <v>1</v>
      </c>
      <c r="Y43" s="23">
        <v>10159</v>
      </c>
      <c r="Z43" s="34" t="str">
        <f>IF(ISERROR(VLOOKUP(Y43,'Data inputs '!$N$4:$O$23,2,0)),"",(VLOOKUP(Y43,'Data inputs '!$N$4:$O$23,2,0)))</f>
        <v>EU</v>
      </c>
      <c r="AA43" s="34">
        <v>112158</v>
      </c>
      <c r="AB43" s="5">
        <v>31.38858611111111</v>
      </c>
      <c r="AC43" s="5">
        <v>13.756736111111111</v>
      </c>
      <c r="AE43" s="10">
        <f ca="1"/>
        <v>0.71619379205855904</v>
      </c>
      <c r="AF43" s="10">
        <v>0.74941098536626527</v>
      </c>
    </row>
    <row r="44" spans="1:32" s="10" customFormat="1" ht="28.5" customHeight="1">
      <c r="A44" s="96">
        <v>43</v>
      </c>
      <c r="B44" s="5" t="s">
        <v>84</v>
      </c>
      <c r="C44" s="5" t="s">
        <v>67</v>
      </c>
      <c r="D44" s="5" t="s">
        <v>13</v>
      </c>
      <c r="E44" s="5" t="s">
        <v>96</v>
      </c>
      <c r="F44" s="5" t="s">
        <v>97</v>
      </c>
      <c r="G44" s="35" t="s">
        <v>70</v>
      </c>
      <c r="H44" s="44">
        <v>43400</v>
      </c>
      <c r="I44" s="44">
        <f>Table1[[#This Row],[Contracted Amount]]*AF44</f>
        <v>24729.743263698056</v>
      </c>
      <c r="J44" s="44"/>
      <c r="K44" s="44">
        <f>Table1[[#This Row],[Actual Expenditure (including admin fees)]]*AF44</f>
        <v>0</v>
      </c>
      <c r="L44" s="35" t="s">
        <v>71</v>
      </c>
      <c r="M44" s="42" t="s">
        <v>72</v>
      </c>
      <c r="N44" s="42">
        <v>43605</v>
      </c>
      <c r="O44" s="100" t="s">
        <v>73</v>
      </c>
      <c r="P44" s="42"/>
      <c r="Q44" s="42"/>
      <c r="R44" s="42">
        <v>43755</v>
      </c>
      <c r="S44" s="36" t="s">
        <v>71</v>
      </c>
      <c r="T44" s="89" t="s">
        <v>276</v>
      </c>
      <c r="U44" s="9">
        <v>43762</v>
      </c>
      <c r="V44" s="118" t="s">
        <v>71</v>
      </c>
      <c r="W44" s="118" t="s">
        <v>98</v>
      </c>
      <c r="X44" s="136">
        <v>1</v>
      </c>
      <c r="Y44" s="23">
        <v>10159</v>
      </c>
      <c r="Z44" s="34" t="str">
        <f>IF(ISERROR(VLOOKUP(Y44,'Data inputs '!$N$4:$O$23,2,0)),"",(VLOOKUP(Y44,'Data inputs '!$N$4:$O$23,2,0)))</f>
        <v>EU</v>
      </c>
      <c r="AA44" s="34">
        <v>112158</v>
      </c>
      <c r="AB44" s="5">
        <v>31.751944444444444</v>
      </c>
      <c r="AC44" s="5">
        <v>14.018527777777779</v>
      </c>
      <c r="AE44" s="10">
        <f ca="1"/>
        <v>0.57142194527711632</v>
      </c>
      <c r="AF44" s="10">
        <v>0.56980975261977085</v>
      </c>
    </row>
    <row r="45" spans="1:32" s="10" customFormat="1" ht="28.5" customHeight="1">
      <c r="A45" s="96">
        <v>44</v>
      </c>
      <c r="B45" s="5" t="s">
        <v>84</v>
      </c>
      <c r="C45" s="5" t="s">
        <v>67</v>
      </c>
      <c r="D45" s="5" t="s">
        <v>13</v>
      </c>
      <c r="E45" s="5" t="s">
        <v>96</v>
      </c>
      <c r="F45" s="5" t="s">
        <v>97</v>
      </c>
      <c r="G45" s="35" t="s">
        <v>70</v>
      </c>
      <c r="H45" s="44">
        <v>60410</v>
      </c>
      <c r="I45" s="44">
        <f>Table1[[#This Row],[Contracted Amount]]*AF45</f>
        <v>32171.569581766929</v>
      </c>
      <c r="J45" s="44"/>
      <c r="K45" s="44">
        <f>Table1[[#This Row],[Actual Expenditure (including admin fees)]]*AF45</f>
        <v>0</v>
      </c>
      <c r="L45" s="35" t="s">
        <v>71</v>
      </c>
      <c r="M45" s="42" t="s">
        <v>72</v>
      </c>
      <c r="N45" s="42">
        <v>43605</v>
      </c>
      <c r="O45" s="100" t="s">
        <v>73</v>
      </c>
      <c r="P45" s="42"/>
      <c r="Q45" s="42"/>
      <c r="R45" s="42">
        <v>43755</v>
      </c>
      <c r="S45" s="36" t="s">
        <v>71</v>
      </c>
      <c r="T45" s="89" t="s">
        <v>276</v>
      </c>
      <c r="U45" s="9">
        <v>43762</v>
      </c>
      <c r="V45" s="118" t="s">
        <v>71</v>
      </c>
      <c r="W45" s="118" t="s">
        <v>98</v>
      </c>
      <c r="X45" s="136">
        <v>1</v>
      </c>
      <c r="Y45" s="23">
        <v>10159</v>
      </c>
      <c r="Z45" s="34" t="str">
        <f>IF(ISERROR(VLOOKUP(Y45,'Data inputs '!$N$4:$O$23,2,0)),"",(VLOOKUP(Y45,'Data inputs '!$N$4:$O$23,2,0)))</f>
        <v>EU</v>
      </c>
      <c r="AA45" s="34">
        <v>112158</v>
      </c>
      <c r="AB45" s="5">
        <v>31.750061111111112</v>
      </c>
      <c r="AC45" s="5">
        <v>14.015183333333333</v>
      </c>
      <c r="AE45" s="10">
        <f ca="1"/>
        <v>0.61515519735250579</v>
      </c>
      <c r="AF45" s="10">
        <v>0.53255370934889801</v>
      </c>
    </row>
    <row r="46" spans="1:32" s="10" customFormat="1" ht="28.5" customHeight="1">
      <c r="A46" s="96">
        <v>45</v>
      </c>
      <c r="B46" s="5" t="s">
        <v>84</v>
      </c>
      <c r="C46" s="5" t="s">
        <v>67</v>
      </c>
      <c r="D46" s="5" t="s">
        <v>13</v>
      </c>
      <c r="E46" s="5" t="s">
        <v>96</v>
      </c>
      <c r="F46" s="5" t="s">
        <v>97</v>
      </c>
      <c r="G46" s="35" t="s">
        <v>70</v>
      </c>
      <c r="H46" s="44">
        <v>46796</v>
      </c>
      <c r="I46" s="44">
        <f>Table1[[#This Row],[Contracted Amount]]*AF46</f>
        <v>33698.015465370692</v>
      </c>
      <c r="J46" s="44">
        <f>Table1[[#This Row],[Contracted Amount]]*0.9</f>
        <v>42116.4</v>
      </c>
      <c r="K46" s="44">
        <f>Table1[[#This Row],[Actual Expenditure (including admin fees)]]*AF46</f>
        <v>30328.213918833622</v>
      </c>
      <c r="L46" s="35" t="s">
        <v>71</v>
      </c>
      <c r="M46" s="42" t="s">
        <v>72</v>
      </c>
      <c r="N46" s="92">
        <v>43589</v>
      </c>
      <c r="O46" s="100" t="s">
        <v>73</v>
      </c>
      <c r="P46" s="42">
        <v>43667</v>
      </c>
      <c r="Q46" s="42"/>
      <c r="R46" s="42">
        <v>43795</v>
      </c>
      <c r="S46" s="36" t="s">
        <v>71</v>
      </c>
      <c r="T46" s="89" t="s">
        <v>277</v>
      </c>
      <c r="U46" s="9">
        <v>43846</v>
      </c>
      <c r="V46" s="118" t="s">
        <v>71</v>
      </c>
      <c r="W46" s="118" t="s">
        <v>98</v>
      </c>
      <c r="X46" s="136">
        <v>1</v>
      </c>
      <c r="Y46" s="23">
        <v>10159</v>
      </c>
      <c r="Z46" s="34" t="str">
        <f>IF(ISERROR(VLOOKUP(Y46,'Data inputs '!$N$4:$O$23,2,0)),"",(VLOOKUP(Y46,'Data inputs '!$N$4:$O$23,2,0)))</f>
        <v>EU</v>
      </c>
      <c r="AA46" s="34">
        <v>112158</v>
      </c>
      <c r="AB46" s="5">
        <v>31.745619444444447</v>
      </c>
      <c r="AC46" s="5">
        <v>14.009702777777777</v>
      </c>
      <c r="AE46" s="10">
        <f ca="1"/>
        <v>0.55852882462355768</v>
      </c>
      <c r="AF46" s="10">
        <v>0.72010461290218586</v>
      </c>
    </row>
    <row r="47" spans="1:32" s="10" customFormat="1" ht="28.5" customHeight="1">
      <c r="A47" s="96">
        <v>46</v>
      </c>
      <c r="B47" s="5" t="s">
        <v>84</v>
      </c>
      <c r="C47" s="5" t="s">
        <v>67</v>
      </c>
      <c r="D47" s="5" t="s">
        <v>13</v>
      </c>
      <c r="E47" s="5" t="s">
        <v>96</v>
      </c>
      <c r="F47" s="5" t="s">
        <v>97</v>
      </c>
      <c r="G47" s="35" t="s">
        <v>70</v>
      </c>
      <c r="H47" s="44">
        <v>51198</v>
      </c>
      <c r="I47" s="44">
        <f>Table1[[#This Row],[Contracted Amount]]*AF47</f>
        <v>26253.034417710776</v>
      </c>
      <c r="J47" s="44">
        <f>Table1[[#This Row],[Contracted Amount]]*0.9</f>
        <v>46078.200000000004</v>
      </c>
      <c r="K47" s="44">
        <f>Table1[[#This Row],[Actual Expenditure (including admin fees)]]*AF47</f>
        <v>23627.730975939703</v>
      </c>
      <c r="L47" s="35" t="s">
        <v>71</v>
      </c>
      <c r="M47" s="42" t="s">
        <v>72</v>
      </c>
      <c r="N47" s="92">
        <v>43589</v>
      </c>
      <c r="O47" s="100" t="s">
        <v>73</v>
      </c>
      <c r="P47" s="42">
        <v>43667</v>
      </c>
      <c r="Q47" s="42"/>
      <c r="R47" s="42">
        <v>43795</v>
      </c>
      <c r="S47" s="36" t="s">
        <v>71</v>
      </c>
      <c r="T47" s="89" t="s">
        <v>277</v>
      </c>
      <c r="U47" s="9">
        <v>43846</v>
      </c>
      <c r="V47" s="118" t="s">
        <v>71</v>
      </c>
      <c r="W47" s="118" t="s">
        <v>98</v>
      </c>
      <c r="X47" s="136">
        <v>1</v>
      </c>
      <c r="Y47" s="23">
        <v>10159</v>
      </c>
      <c r="Z47" s="34" t="str">
        <f>IF(ISERROR(VLOOKUP(Y47,'Data inputs '!$N$4:$O$23,2,0)),"",(VLOOKUP(Y47,'Data inputs '!$N$4:$O$23,2,0)))</f>
        <v>EU</v>
      </c>
      <c r="AA47" s="34">
        <v>112158</v>
      </c>
      <c r="AB47" s="5">
        <v>31.830625000000001</v>
      </c>
      <c r="AC47" s="5">
        <v>14.087541666666667</v>
      </c>
      <c r="AE47" s="10">
        <f ca="1"/>
        <v>0.51514043295179623</v>
      </c>
      <c r="AF47" s="10">
        <v>0.51277460872906711</v>
      </c>
    </row>
    <row r="48" spans="1:32" s="10" customFormat="1" ht="28.5" customHeight="1">
      <c r="A48" s="96">
        <v>47</v>
      </c>
      <c r="B48" s="5" t="s">
        <v>84</v>
      </c>
      <c r="C48" s="5" t="s">
        <v>67</v>
      </c>
      <c r="D48" s="5" t="s">
        <v>13</v>
      </c>
      <c r="E48" s="5" t="s">
        <v>96</v>
      </c>
      <c r="F48" s="5" t="s">
        <v>97</v>
      </c>
      <c r="G48" s="35" t="s">
        <v>70</v>
      </c>
      <c r="H48" s="44">
        <v>57327</v>
      </c>
      <c r="I48" s="44">
        <f>Table1[[#This Row],[Contracted Amount]]*AF48</f>
        <v>36574.422553567681</v>
      </c>
      <c r="J48" s="44">
        <f>Table1[[#This Row],[Contracted Amount]]*0.9</f>
        <v>51594.3</v>
      </c>
      <c r="K48" s="44">
        <f>Table1[[#This Row],[Actual Expenditure (including admin fees)]]*AF48</f>
        <v>32916.98029821091</v>
      </c>
      <c r="L48" s="35" t="s">
        <v>71</v>
      </c>
      <c r="M48" s="42" t="s">
        <v>72</v>
      </c>
      <c r="N48" s="92">
        <v>43589</v>
      </c>
      <c r="O48" s="100" t="s">
        <v>73</v>
      </c>
      <c r="P48" s="42">
        <v>43667</v>
      </c>
      <c r="Q48" s="42"/>
      <c r="R48" s="42">
        <v>43795</v>
      </c>
      <c r="S48" s="36" t="s">
        <v>71</v>
      </c>
      <c r="T48" s="89" t="s">
        <v>277</v>
      </c>
      <c r="U48" s="9">
        <v>43846</v>
      </c>
      <c r="V48" s="118" t="s">
        <v>71</v>
      </c>
      <c r="W48" s="118" t="s">
        <v>98</v>
      </c>
      <c r="X48" s="136">
        <v>1</v>
      </c>
      <c r="Y48" s="23">
        <v>10159</v>
      </c>
      <c r="Z48" s="34" t="str">
        <f>IF(ISERROR(VLOOKUP(Y48,'Data inputs '!$N$4:$O$23,2,0)),"",(VLOOKUP(Y48,'Data inputs '!$N$4:$O$23,2,0)))</f>
        <v>EU</v>
      </c>
      <c r="AA48" s="34">
        <v>112158</v>
      </c>
      <c r="AB48" s="5">
        <v>31.732716666666665</v>
      </c>
      <c r="AC48" s="5">
        <v>14.485058333333333</v>
      </c>
      <c r="AE48" s="10">
        <f ca="1"/>
        <v>0.6598130892516384</v>
      </c>
      <c r="AF48" s="10">
        <v>0.6379964511236883</v>
      </c>
    </row>
    <row r="49" spans="1:32" s="10" customFormat="1" ht="28.5" customHeight="1">
      <c r="A49" s="96">
        <v>48</v>
      </c>
      <c r="B49" s="5" t="s">
        <v>84</v>
      </c>
      <c r="C49" s="5" t="s">
        <v>67</v>
      </c>
      <c r="D49" s="5" t="s">
        <v>13</v>
      </c>
      <c r="E49" s="5" t="s">
        <v>4</v>
      </c>
      <c r="F49" s="5" t="s">
        <v>85</v>
      </c>
      <c r="G49" s="35" t="s">
        <v>70</v>
      </c>
      <c r="H49" s="46">
        <v>100800</v>
      </c>
      <c r="I49" s="46">
        <f>Table1[[#This Row],[Contracted Amount]]*AF49</f>
        <v>54801.142484615331</v>
      </c>
      <c r="J49" s="44">
        <f>90720+10080</f>
        <v>100800</v>
      </c>
      <c r="K49" s="44">
        <f>Table1[[#This Row],[Actual Expenditure (including admin fees)]]*AF49</f>
        <v>54801.142484615331</v>
      </c>
      <c r="L49" s="35" t="s">
        <v>71</v>
      </c>
      <c r="M49" s="42" t="s">
        <v>72</v>
      </c>
      <c r="N49" s="42">
        <v>43385</v>
      </c>
      <c r="O49" s="100" t="s">
        <v>73</v>
      </c>
      <c r="P49" s="42">
        <v>43389</v>
      </c>
      <c r="Q49" s="42">
        <f>Table1[[#This Row],[Site handover date]]+7</f>
        <v>43396</v>
      </c>
      <c r="R49" s="42">
        <v>43467</v>
      </c>
      <c r="S49" s="36" t="s">
        <v>71</v>
      </c>
      <c r="T49" s="89" t="s">
        <v>278</v>
      </c>
      <c r="U49" s="9" t="s">
        <v>279</v>
      </c>
      <c r="V49" s="118" t="s">
        <v>71</v>
      </c>
      <c r="W49" s="118" t="s">
        <v>88</v>
      </c>
      <c r="X49" s="136">
        <v>1</v>
      </c>
      <c r="Y49" s="23">
        <v>10480</v>
      </c>
      <c r="Z49" s="34" t="str">
        <f>IF(ISERROR(VLOOKUP(Y49,'Data inputs '!$N$4:$O$23,2,0)),"",(VLOOKUP(Y49,'Data inputs '!$N$4:$O$23,2,0)))</f>
        <v>USAID</v>
      </c>
      <c r="AA49" s="34">
        <v>98720</v>
      </c>
      <c r="AB49" s="5">
        <v>31.758602777777778</v>
      </c>
      <c r="AC49" s="5">
        <v>14.028461111111111</v>
      </c>
      <c r="AE49" s="10">
        <f ca="1"/>
        <v>0.50981498941839154</v>
      </c>
      <c r="AF49" s="10">
        <v>0.54366212782356482</v>
      </c>
    </row>
    <row r="50" spans="1:32" s="10" customFormat="1" ht="28.5" customHeight="1">
      <c r="A50" s="96">
        <v>49</v>
      </c>
      <c r="B50" s="5" t="s">
        <v>84</v>
      </c>
      <c r="C50" s="5" t="s">
        <v>67</v>
      </c>
      <c r="D50" s="5" t="s">
        <v>13</v>
      </c>
      <c r="E50" s="5" t="s">
        <v>96</v>
      </c>
      <c r="F50" s="5" t="s">
        <v>97</v>
      </c>
      <c r="G50" s="35" t="s">
        <v>70</v>
      </c>
      <c r="H50" s="44">
        <v>71385</v>
      </c>
      <c r="I50" s="44">
        <f>Table1[[#This Row],[Contracted Amount]]*AF50</f>
        <v>46925.90172083379</v>
      </c>
      <c r="J50" s="44">
        <f>64246.5+7138.5</f>
        <v>71385</v>
      </c>
      <c r="K50" s="44">
        <f>Table1[[#This Row],[Actual Expenditure (including admin fees)]]*AF50</f>
        <v>46925.90172083379</v>
      </c>
      <c r="L50" s="35" t="s">
        <v>71</v>
      </c>
      <c r="M50" s="42" t="s">
        <v>72</v>
      </c>
      <c r="N50" s="42">
        <v>43420</v>
      </c>
      <c r="O50" s="100" t="s">
        <v>73</v>
      </c>
      <c r="P50" s="42">
        <v>43439</v>
      </c>
      <c r="Q50" s="42">
        <f>Table1[[#This Row],[Site handover date]]+7</f>
        <v>43446</v>
      </c>
      <c r="R50" s="42">
        <v>43501</v>
      </c>
      <c r="S50" s="36" t="s">
        <v>71</v>
      </c>
      <c r="T50" s="89" t="s">
        <v>278</v>
      </c>
      <c r="U50" s="27" t="s">
        <v>280</v>
      </c>
      <c r="V50" s="118" t="s">
        <v>71</v>
      </c>
      <c r="W50" s="118" t="s">
        <v>98</v>
      </c>
      <c r="X50" s="136">
        <v>1</v>
      </c>
      <c r="Y50" s="24">
        <v>10480</v>
      </c>
      <c r="Z50" s="34" t="str">
        <f>IF(ISERROR(VLOOKUP(Y50,'Data inputs '!$N$4:$O$23,2,0)),"",(VLOOKUP(Y50,'Data inputs '!$N$4:$O$23,2,0)))</f>
        <v>USAID</v>
      </c>
      <c r="AA50" s="34">
        <v>112158</v>
      </c>
      <c r="AB50" s="5">
        <v>31.774972222222221</v>
      </c>
      <c r="AC50" s="5">
        <v>13.995888888888889</v>
      </c>
      <c r="AE50" s="10">
        <f ca="1"/>
        <v>0.50457554526520643</v>
      </c>
      <c r="AF50" s="10">
        <v>0.65736361589737047</v>
      </c>
    </row>
    <row r="51" spans="1:32" s="10" customFormat="1" ht="28.5" customHeight="1">
      <c r="A51" s="96">
        <v>50</v>
      </c>
      <c r="B51" s="5" t="s">
        <v>66</v>
      </c>
      <c r="C51" s="5" t="s">
        <v>67</v>
      </c>
      <c r="D51" s="5" t="s">
        <v>13</v>
      </c>
      <c r="E51" s="5" t="s">
        <v>4</v>
      </c>
      <c r="F51" s="5" t="s">
        <v>90</v>
      </c>
      <c r="G51" s="35" t="s">
        <v>70</v>
      </c>
      <c r="H51" s="46">
        <f>(477284.51/10)*2+(6575*2/3)</f>
        <v>99840.23533333333</v>
      </c>
      <c r="I51" s="46">
        <f>Table1[[#This Row],[Contracted Amount]]*AF51</f>
        <v>72330.508845703866</v>
      </c>
      <c r="J51" s="46">
        <f>106394.21+(6575*2/3)</f>
        <v>110777.54333333333</v>
      </c>
      <c r="K51" s="46">
        <f>Table1[[#This Row],[Actual Expenditure (including admin fees)]]*AF51</f>
        <v>80254.178600697574</v>
      </c>
      <c r="L51" s="35" t="s">
        <v>71</v>
      </c>
      <c r="M51" s="42" t="s">
        <v>72</v>
      </c>
      <c r="N51" s="42">
        <v>43132</v>
      </c>
      <c r="O51" s="100" t="s">
        <v>73</v>
      </c>
      <c r="P51" s="42"/>
      <c r="Q51" s="42"/>
      <c r="R51" s="128">
        <v>43465</v>
      </c>
      <c r="S51" s="36" t="s">
        <v>71</v>
      </c>
      <c r="T51" s="89" t="s">
        <v>272</v>
      </c>
      <c r="U51" s="9"/>
      <c r="V51" s="118" t="s">
        <v>71</v>
      </c>
      <c r="W51" s="118" t="s">
        <v>91</v>
      </c>
      <c r="X51" s="136">
        <v>2</v>
      </c>
      <c r="Y51" s="22" t="s">
        <v>281</v>
      </c>
      <c r="Z51" s="34" t="s">
        <v>282</v>
      </c>
      <c r="AA51" s="34">
        <v>98720</v>
      </c>
      <c r="AB51" s="5">
        <v>31.756350000000001</v>
      </c>
      <c r="AC51" s="5">
        <v>14.02678</v>
      </c>
      <c r="AE51" s="10">
        <f ca="1"/>
        <v>0.52722227313892978</v>
      </c>
      <c r="AF51" s="10">
        <v>0.72446252359298191</v>
      </c>
    </row>
    <row r="52" spans="1:32" s="10" customFormat="1" ht="28.5" customHeight="1">
      <c r="A52" s="96">
        <v>51</v>
      </c>
      <c r="B52" s="5" t="s">
        <v>66</v>
      </c>
      <c r="C52" s="5" t="s">
        <v>67</v>
      </c>
      <c r="D52" s="5" t="s">
        <v>13</v>
      </c>
      <c r="E52" s="5" t="s">
        <v>4</v>
      </c>
      <c r="F52" s="5" t="s">
        <v>107</v>
      </c>
      <c r="G52" s="35" t="s">
        <v>70</v>
      </c>
      <c r="H52" s="46">
        <f>(294661.4/0.956)*(4/6)+(7750/5)*4</f>
        <v>211682.14783821479</v>
      </c>
      <c r="I52" s="46">
        <f>Table1[[#This Row],[Contracted Amount]]*AF52</f>
        <v>127786.29711878403</v>
      </c>
      <c r="J52" s="46">
        <f>(294661.4/0.879)*(4/6)+(7750/5)*4</f>
        <v>229682.2904816079</v>
      </c>
      <c r="K52" s="46">
        <f>Table1[[#This Row],[Actual Expenditure (including admin fees)]]*AF52</f>
        <v>138652.45470221477</v>
      </c>
      <c r="L52" s="35" t="s">
        <v>71</v>
      </c>
      <c r="M52" s="42" t="s">
        <v>72</v>
      </c>
      <c r="N52" s="42">
        <v>42826</v>
      </c>
      <c r="O52" s="100" t="s">
        <v>73</v>
      </c>
      <c r="P52" s="42"/>
      <c r="Q52" s="42"/>
      <c r="R52" s="42">
        <v>43146</v>
      </c>
      <c r="S52" s="36" t="s">
        <v>71</v>
      </c>
      <c r="T52" s="89" t="s">
        <v>283</v>
      </c>
      <c r="U52" s="9"/>
      <c r="V52" s="118" t="s">
        <v>71</v>
      </c>
      <c r="W52" s="118" t="s">
        <v>108</v>
      </c>
      <c r="X52" s="136">
        <v>4</v>
      </c>
      <c r="Y52" s="22" t="s">
        <v>258</v>
      </c>
      <c r="Z52" s="34" t="s">
        <v>284</v>
      </c>
      <c r="AA52" s="34">
        <v>98720</v>
      </c>
      <c r="AB52" s="5">
        <v>31.756972222222224</v>
      </c>
      <c r="AC52" s="5">
        <v>14.026861111111112</v>
      </c>
      <c r="AE52" s="10">
        <f ca="1"/>
        <v>0.62760846186502695</v>
      </c>
      <c r="AF52" s="10">
        <v>0.60367063743348359</v>
      </c>
    </row>
    <row r="53" spans="1:32" s="10" customFormat="1" ht="28.5" customHeight="1">
      <c r="A53" s="96">
        <v>52</v>
      </c>
      <c r="B53" s="5" t="s">
        <v>66</v>
      </c>
      <c r="C53" s="5" t="s">
        <v>67</v>
      </c>
      <c r="D53" s="5" t="s">
        <v>13</v>
      </c>
      <c r="E53" s="5" t="s">
        <v>4</v>
      </c>
      <c r="F53" s="131" t="s">
        <v>158</v>
      </c>
      <c r="G53" s="35" t="s">
        <v>70</v>
      </c>
      <c r="H53" s="46"/>
      <c r="I53" s="46">
        <f>Table1[[#This Row],[Contracted Amount]]*AF53</f>
        <v>0</v>
      </c>
      <c r="J53" s="46"/>
      <c r="K53" s="46">
        <f>Table1[[#This Row],[Actual Expenditure (including admin fees)]]*AF53</f>
        <v>0</v>
      </c>
      <c r="L53" s="35" t="s">
        <v>75</v>
      </c>
      <c r="M53" s="42"/>
      <c r="N53" s="42"/>
      <c r="O53" s="100"/>
      <c r="P53" s="42"/>
      <c r="Q53" s="42"/>
      <c r="R53" s="42"/>
      <c r="S53" s="36" t="s">
        <v>266</v>
      </c>
      <c r="T53" s="89" t="s">
        <v>285</v>
      </c>
      <c r="U53" s="9">
        <v>44027</v>
      </c>
      <c r="V53" s="118" t="s">
        <v>266</v>
      </c>
      <c r="W53" s="118"/>
      <c r="X53" s="136"/>
      <c r="Y53" s="23"/>
      <c r="Z53" s="34" t="str">
        <f>IF(ISERROR(VLOOKUP(Y53,'Data inputs '!$N$4:$O$23,2,0)),"",(VLOOKUP(Y53,'Data inputs '!$N$4:$O$23,2,0)))</f>
        <v/>
      </c>
      <c r="AA53" s="34"/>
      <c r="AB53" s="5"/>
      <c r="AC53" s="5"/>
      <c r="AE53" s="10">
        <f ca="1"/>
        <v>0.6563835905323222</v>
      </c>
      <c r="AF53" s="10">
        <v>0.74143105906732887</v>
      </c>
    </row>
    <row r="54" spans="1:32" s="10" customFormat="1" ht="28.5" customHeight="1">
      <c r="A54" s="96">
        <v>53</v>
      </c>
      <c r="B54" s="5" t="s">
        <v>66</v>
      </c>
      <c r="C54" s="5" t="s">
        <v>67</v>
      </c>
      <c r="D54" s="5" t="s">
        <v>13</v>
      </c>
      <c r="E54" s="5" t="s">
        <v>4</v>
      </c>
      <c r="F54" s="29" t="s">
        <v>87</v>
      </c>
      <c r="G54" s="35" t="s">
        <v>70</v>
      </c>
      <c r="H54" s="46"/>
      <c r="I54" s="46">
        <f>Table1[[#This Row],[Contracted Amount]]*AF54</f>
        <v>0</v>
      </c>
      <c r="J54" s="46"/>
      <c r="K54" s="46">
        <f>Table1[[#This Row],[Actual Expenditure (including admin fees)]]*AF54</f>
        <v>0</v>
      </c>
      <c r="L54" s="35" t="s">
        <v>75</v>
      </c>
      <c r="M54" s="42"/>
      <c r="N54" s="42"/>
      <c r="O54" s="100"/>
      <c r="P54" s="42"/>
      <c r="Q54" s="42"/>
      <c r="R54" s="42"/>
      <c r="S54" s="36" t="s">
        <v>266</v>
      </c>
      <c r="T54" s="89" t="s">
        <v>285</v>
      </c>
      <c r="U54" s="9">
        <v>44027</v>
      </c>
      <c r="V54" s="118" t="s">
        <v>266</v>
      </c>
      <c r="W54" s="118"/>
      <c r="X54" s="136"/>
      <c r="Y54" s="23"/>
      <c r="Z54" s="34" t="str">
        <f>IF(ISERROR(VLOOKUP(Y54,'Data inputs '!$N$4:$O$23,2,0)),"",(VLOOKUP(Y54,'Data inputs '!$N$4:$O$23,2,0)))</f>
        <v/>
      </c>
      <c r="AA54" s="34"/>
      <c r="AB54" s="5"/>
      <c r="AC54" s="5"/>
      <c r="AE54" s="10">
        <f ca="1"/>
        <v>0.58134484420973764</v>
      </c>
      <c r="AF54" s="10">
        <v>0.57718521444528137</v>
      </c>
    </row>
    <row r="55" spans="1:32" s="10" customFormat="1" ht="12.75">
      <c r="A55" s="96">
        <v>54</v>
      </c>
      <c r="B55" s="5" t="s">
        <v>84</v>
      </c>
      <c r="C55" s="5" t="s">
        <v>67</v>
      </c>
      <c r="D55" s="5" t="s">
        <v>13</v>
      </c>
      <c r="E55" s="5" t="s">
        <v>4</v>
      </c>
      <c r="F55" s="29" t="s">
        <v>109</v>
      </c>
      <c r="G55" s="36" t="s">
        <v>70</v>
      </c>
      <c r="H55" s="46"/>
      <c r="I55" s="46">
        <f>Table1[[#This Row],[Contracted Amount]]*AF55</f>
        <v>0</v>
      </c>
      <c r="J55" s="46"/>
      <c r="K55" s="46">
        <f>Table1[[#This Row],[Actual Expenditure (including admin fees)]]*AF55</f>
        <v>0</v>
      </c>
      <c r="L55" s="35" t="s">
        <v>286</v>
      </c>
      <c r="M55" s="42"/>
      <c r="N55" s="42"/>
      <c r="O55" s="100"/>
      <c r="P55" s="42"/>
      <c r="Q55" s="42"/>
      <c r="R55" s="42"/>
      <c r="S55" s="36" t="s">
        <v>266</v>
      </c>
      <c r="T55" s="89"/>
      <c r="U55" s="27">
        <v>43406</v>
      </c>
      <c r="V55" s="118" t="s">
        <v>266</v>
      </c>
      <c r="W55" s="118"/>
      <c r="X55" s="136"/>
      <c r="Y55" s="24"/>
      <c r="Z55" s="34" t="str">
        <f>IF(ISERROR(VLOOKUP(Y55,'Data inputs '!$N$4:$O$23,2,0)),"",(VLOOKUP(Y55,'Data inputs '!$N$4:$O$23,2,0)))</f>
        <v/>
      </c>
      <c r="AA55" s="34"/>
      <c r="AB55" s="5"/>
      <c r="AC55" s="5"/>
      <c r="AE55" s="10">
        <f ca="1"/>
        <v>0.64564402388556097</v>
      </c>
      <c r="AF55" s="10">
        <v>0.6395085404683396</v>
      </c>
    </row>
    <row r="56" spans="1:32" s="10" customFormat="1" ht="12.75">
      <c r="A56" s="96">
        <v>55</v>
      </c>
      <c r="B56" s="5" t="s">
        <v>84</v>
      </c>
      <c r="C56" s="5" t="s">
        <v>67</v>
      </c>
      <c r="D56" s="5" t="s">
        <v>13</v>
      </c>
      <c r="E56" s="5" t="s">
        <v>4</v>
      </c>
      <c r="F56" s="29" t="s">
        <v>109</v>
      </c>
      <c r="G56" s="36" t="s">
        <v>70</v>
      </c>
      <c r="H56" s="46"/>
      <c r="I56" s="46">
        <f>Table1[[#This Row],[Contracted Amount]]*AF56</f>
        <v>0</v>
      </c>
      <c r="J56" s="46"/>
      <c r="K56" s="46">
        <f>Table1[[#This Row],[Actual Expenditure (including admin fees)]]*AF56</f>
        <v>0</v>
      </c>
      <c r="L56" s="35" t="s">
        <v>286</v>
      </c>
      <c r="M56" s="42"/>
      <c r="N56" s="42"/>
      <c r="O56" s="100"/>
      <c r="P56" s="42"/>
      <c r="Q56" s="42"/>
      <c r="R56" s="42"/>
      <c r="S56" s="36" t="s">
        <v>266</v>
      </c>
      <c r="T56" s="89"/>
      <c r="U56" s="27">
        <v>43406</v>
      </c>
      <c r="V56" s="118" t="s">
        <v>266</v>
      </c>
      <c r="W56" s="118"/>
      <c r="X56" s="136"/>
      <c r="Y56" s="24"/>
      <c r="Z56" s="34" t="str">
        <f>IF(ISERROR(VLOOKUP(Y56,'Data inputs '!$N$4:$O$23,2,0)),"",(VLOOKUP(Y56,'Data inputs '!$N$4:$O$23,2,0)))</f>
        <v/>
      </c>
      <c r="AA56" s="34"/>
      <c r="AB56" s="5"/>
      <c r="AC56" s="5"/>
      <c r="AE56" s="10">
        <f ca="1"/>
        <v>0.54871785614430513</v>
      </c>
      <c r="AF56" s="10">
        <v>0.67937287805401569</v>
      </c>
    </row>
    <row r="57" spans="1:32" s="10" customFormat="1" ht="12.75">
      <c r="A57" s="96">
        <v>56</v>
      </c>
      <c r="B57" s="5" t="s">
        <v>84</v>
      </c>
      <c r="C57" s="5" t="s">
        <v>67</v>
      </c>
      <c r="D57" s="5" t="s">
        <v>13</v>
      </c>
      <c r="E57" s="5" t="s">
        <v>4</v>
      </c>
      <c r="F57" s="29" t="s">
        <v>109</v>
      </c>
      <c r="G57" s="36" t="s">
        <v>70</v>
      </c>
      <c r="H57" s="46"/>
      <c r="I57" s="46">
        <f>Table1[[#This Row],[Contracted Amount]]*AF57</f>
        <v>0</v>
      </c>
      <c r="J57" s="46"/>
      <c r="K57" s="46">
        <f>Table1[[#This Row],[Actual Expenditure (including admin fees)]]*AF57</f>
        <v>0</v>
      </c>
      <c r="L57" s="35" t="s">
        <v>286</v>
      </c>
      <c r="M57" s="42"/>
      <c r="N57" s="42"/>
      <c r="O57" s="100"/>
      <c r="P57" s="42"/>
      <c r="Q57" s="42"/>
      <c r="R57" s="42"/>
      <c r="S57" s="36" t="s">
        <v>266</v>
      </c>
      <c r="T57" s="89"/>
      <c r="U57" s="27">
        <v>43406</v>
      </c>
      <c r="V57" s="118" t="s">
        <v>266</v>
      </c>
      <c r="W57" s="118"/>
      <c r="X57" s="136"/>
      <c r="Y57" s="24"/>
      <c r="Z57" s="34" t="str">
        <f>IF(ISERROR(VLOOKUP(Y57,'Data inputs '!$N$4:$O$23,2,0)),"",(VLOOKUP(Y57,'Data inputs '!$N$4:$O$23,2,0)))</f>
        <v/>
      </c>
      <c r="AA57" s="34"/>
      <c r="AB57" s="5"/>
      <c r="AC57" s="5"/>
      <c r="AE57" s="10">
        <f ca="1"/>
        <v>0.57204356975861603</v>
      </c>
      <c r="AF57" s="10">
        <v>0.55179537820735802</v>
      </c>
    </row>
    <row r="58" spans="1:32" s="10" customFormat="1" ht="28.5" customHeight="1">
      <c r="A58" s="96">
        <v>57</v>
      </c>
      <c r="B58" s="5" t="s">
        <v>66</v>
      </c>
      <c r="C58" s="5" t="s">
        <v>67</v>
      </c>
      <c r="D58" s="5" t="s">
        <v>13</v>
      </c>
      <c r="E58" s="5" t="s">
        <v>4</v>
      </c>
      <c r="F58" s="5" t="s">
        <v>107</v>
      </c>
      <c r="G58" s="35" t="s">
        <v>70</v>
      </c>
      <c r="H58" s="46">
        <f>(200015.29/3)+(43885.27/10)</f>
        <v>71060.290333333338</v>
      </c>
      <c r="I58" s="46">
        <f>Table1[[#This Row],[Contracted Amount]]*AF58</f>
        <v>36197.98209851711</v>
      </c>
      <c r="J58" s="46">
        <f>(200015.29/3)+(43885.27/10)</f>
        <v>71060.290333333338</v>
      </c>
      <c r="K58" s="46">
        <f>Table1[[#This Row],[Actual Expenditure (including admin fees)]]*AF58</f>
        <v>36197.98209851711</v>
      </c>
      <c r="L58" s="35" t="s">
        <v>71</v>
      </c>
      <c r="M58" s="42" t="s">
        <v>72</v>
      </c>
      <c r="N58" s="42">
        <v>42917</v>
      </c>
      <c r="O58" s="100" t="s">
        <v>73</v>
      </c>
      <c r="P58" s="42"/>
      <c r="Q58" s="42"/>
      <c r="R58" s="42">
        <v>43244</v>
      </c>
      <c r="S58" s="36" t="s">
        <v>71</v>
      </c>
      <c r="T58" s="89" t="s">
        <v>287</v>
      </c>
      <c r="U58" s="9"/>
      <c r="V58" s="118" t="s">
        <v>71</v>
      </c>
      <c r="W58" s="118" t="s">
        <v>108</v>
      </c>
      <c r="X58" s="136">
        <v>1</v>
      </c>
      <c r="Y58" s="22" t="s">
        <v>288</v>
      </c>
      <c r="Z58" s="34" t="s">
        <v>289</v>
      </c>
      <c r="AA58" s="34">
        <v>98720</v>
      </c>
      <c r="AB58" s="5">
        <v>31.756525</v>
      </c>
      <c r="AC58" s="5">
        <v>14.027691666666668</v>
      </c>
      <c r="AE58" s="10">
        <f ca="1"/>
        <v>0.51612606769543401</v>
      </c>
      <c r="AF58" s="10">
        <v>0.50939817342031279</v>
      </c>
    </row>
    <row r="59" spans="1:32" s="10" customFormat="1" ht="12.75">
      <c r="A59" s="96">
        <v>58</v>
      </c>
      <c r="B59" s="5" t="s">
        <v>84</v>
      </c>
      <c r="C59" s="5" t="s">
        <v>67</v>
      </c>
      <c r="D59" s="5" t="s">
        <v>13</v>
      </c>
      <c r="E59" s="5" t="s">
        <v>4</v>
      </c>
      <c r="F59" s="29" t="s">
        <v>109</v>
      </c>
      <c r="G59" s="36" t="s">
        <v>70</v>
      </c>
      <c r="H59" s="46"/>
      <c r="I59" s="46">
        <f>Table1[[#This Row],[Contracted Amount]]*AF59</f>
        <v>0</v>
      </c>
      <c r="J59" s="46"/>
      <c r="K59" s="46">
        <f>Table1[[#This Row],[Actual Expenditure (including admin fees)]]*AF59</f>
        <v>0</v>
      </c>
      <c r="L59" s="35" t="s">
        <v>286</v>
      </c>
      <c r="M59" s="42"/>
      <c r="N59" s="42"/>
      <c r="O59" s="100"/>
      <c r="P59" s="42"/>
      <c r="Q59" s="42"/>
      <c r="R59" s="93"/>
      <c r="S59" s="36" t="s">
        <v>266</v>
      </c>
      <c r="T59" s="89"/>
      <c r="U59" s="27">
        <v>43406</v>
      </c>
      <c r="V59" s="118" t="s">
        <v>266</v>
      </c>
      <c r="W59" s="118"/>
      <c r="X59" s="136"/>
      <c r="Y59" s="24"/>
      <c r="Z59" s="34" t="str">
        <f>IF(ISERROR(VLOOKUP(Y59,'Data inputs '!$N$4:$O$23,2,0)),"",(VLOOKUP(Y59,'Data inputs '!$N$4:$O$23,2,0)))</f>
        <v/>
      </c>
      <c r="AA59" s="34"/>
      <c r="AB59" s="5"/>
      <c r="AC59" s="5"/>
      <c r="AE59" s="10">
        <f ca="1"/>
        <v>0.65123909209815245</v>
      </c>
      <c r="AF59" s="10">
        <v>0.60196088139019144</v>
      </c>
    </row>
    <row r="60" spans="1:32" s="10" customFormat="1" ht="12.75">
      <c r="A60" s="96">
        <v>59</v>
      </c>
      <c r="B60" s="5" t="s">
        <v>84</v>
      </c>
      <c r="C60" s="5" t="s">
        <v>67</v>
      </c>
      <c r="D60" s="5" t="s">
        <v>13</v>
      </c>
      <c r="E60" s="5" t="s">
        <v>4</v>
      </c>
      <c r="F60" s="29" t="s">
        <v>109</v>
      </c>
      <c r="G60" s="36" t="s">
        <v>70</v>
      </c>
      <c r="H60" s="46"/>
      <c r="I60" s="46">
        <f>Table1[[#This Row],[Contracted Amount]]*AF60</f>
        <v>0</v>
      </c>
      <c r="J60" s="46"/>
      <c r="K60" s="46">
        <f>Table1[[#This Row],[Actual Expenditure (including admin fees)]]*AF60</f>
        <v>0</v>
      </c>
      <c r="L60" s="35" t="s">
        <v>286</v>
      </c>
      <c r="M60" s="42"/>
      <c r="N60" s="42"/>
      <c r="O60" s="100"/>
      <c r="P60" s="42"/>
      <c r="Q60" s="42"/>
      <c r="R60" s="93"/>
      <c r="S60" s="36" t="s">
        <v>266</v>
      </c>
      <c r="T60" s="89"/>
      <c r="U60" s="27">
        <v>43406</v>
      </c>
      <c r="V60" s="118" t="s">
        <v>266</v>
      </c>
      <c r="W60" s="118"/>
      <c r="X60" s="136"/>
      <c r="Y60" s="24"/>
      <c r="Z60" s="34" t="str">
        <f>IF(ISERROR(VLOOKUP(Y60,'Data inputs '!$N$4:$O$23,2,0)),"",(VLOOKUP(Y60,'Data inputs '!$N$4:$O$23,2,0)))</f>
        <v/>
      </c>
      <c r="AA60" s="34"/>
      <c r="AB60" s="5"/>
      <c r="AC60" s="5"/>
      <c r="AE60" s="10">
        <f ca="1"/>
        <v>0.71801856180603851</v>
      </c>
      <c r="AF60" s="10">
        <v>0.72434733916873728</v>
      </c>
    </row>
    <row r="61" spans="1:32" s="10" customFormat="1" ht="12.75" customHeight="1">
      <c r="A61" s="96">
        <v>60</v>
      </c>
      <c r="B61" s="5" t="s">
        <v>84</v>
      </c>
      <c r="C61" s="5" t="s">
        <v>67</v>
      </c>
      <c r="D61" s="5" t="s">
        <v>13</v>
      </c>
      <c r="E61" s="5" t="s">
        <v>4</v>
      </c>
      <c r="F61" s="29" t="s">
        <v>109</v>
      </c>
      <c r="G61" s="36" t="s">
        <v>70</v>
      </c>
      <c r="H61" s="46"/>
      <c r="I61" s="46">
        <f>Table1[[#This Row],[Contracted Amount]]*AF61</f>
        <v>0</v>
      </c>
      <c r="J61" s="46"/>
      <c r="K61" s="46">
        <f>Table1[[#This Row],[Actual Expenditure (including admin fees)]]*AF61</f>
        <v>0</v>
      </c>
      <c r="L61" s="35" t="s">
        <v>286</v>
      </c>
      <c r="M61" s="42"/>
      <c r="N61" s="42"/>
      <c r="O61" s="100"/>
      <c r="P61" s="42"/>
      <c r="Q61" s="42"/>
      <c r="R61" s="93"/>
      <c r="S61" s="36" t="s">
        <v>266</v>
      </c>
      <c r="T61" s="89"/>
      <c r="U61" s="27">
        <v>43406</v>
      </c>
      <c r="V61" s="118" t="s">
        <v>266</v>
      </c>
      <c r="W61" s="118"/>
      <c r="X61" s="136"/>
      <c r="Y61" s="24"/>
      <c r="Z61" s="34" t="str">
        <f>IF(ISERROR(VLOOKUP(Y61,'Data inputs '!$N$4:$O$23,2,0)),"",(VLOOKUP(Y61,'Data inputs '!$N$4:$O$23,2,0)))</f>
        <v/>
      </c>
      <c r="AA61" s="34"/>
      <c r="AB61" s="5"/>
      <c r="AC61" s="5"/>
      <c r="AE61" s="10">
        <f ca="1"/>
        <v>0.60995774700251615</v>
      </c>
      <c r="AF61" s="10">
        <v>0.55032145797863208</v>
      </c>
    </row>
    <row r="62" spans="1:32" s="10" customFormat="1" ht="28.5" customHeight="1">
      <c r="A62" s="96">
        <v>61</v>
      </c>
      <c r="B62" s="5" t="s">
        <v>84</v>
      </c>
      <c r="C62" s="5" t="s">
        <v>67</v>
      </c>
      <c r="D62" s="5" t="s">
        <v>13</v>
      </c>
      <c r="E62" s="5" t="s">
        <v>4</v>
      </c>
      <c r="F62" s="89" t="s">
        <v>109</v>
      </c>
      <c r="G62" s="35" t="s">
        <v>70</v>
      </c>
      <c r="H62" s="44">
        <v>536264</v>
      </c>
      <c r="I62" s="44">
        <f>Table1[[#This Row],[Contracted Amount]]*AF62</f>
        <v>372308.84095362423</v>
      </c>
      <c r="J62" s="44">
        <v>479015.19</v>
      </c>
      <c r="K62" s="44">
        <f>Table1[[#This Row],[Actual Expenditure (including admin fees)]]*AF62</f>
        <v>332563.04765578167</v>
      </c>
      <c r="L62" s="35" t="s">
        <v>71</v>
      </c>
      <c r="M62" s="42" t="s">
        <v>72</v>
      </c>
      <c r="N62" s="92">
        <v>43777</v>
      </c>
      <c r="O62" s="100" t="s">
        <v>73</v>
      </c>
      <c r="P62" s="42">
        <v>44052</v>
      </c>
      <c r="Q62" s="42">
        <v>44062</v>
      </c>
      <c r="R62" s="42">
        <v>44270</v>
      </c>
      <c r="S62" s="36" t="s">
        <v>71</v>
      </c>
      <c r="T62" s="89" t="s">
        <v>290</v>
      </c>
      <c r="U62" s="27">
        <v>44470</v>
      </c>
      <c r="V62" s="118" t="s">
        <v>71</v>
      </c>
      <c r="W62" s="118" t="s">
        <v>110</v>
      </c>
      <c r="X62" s="136">
        <v>1</v>
      </c>
      <c r="Y62" s="24" t="s">
        <v>291</v>
      </c>
      <c r="Z62" s="34" t="s">
        <v>292</v>
      </c>
      <c r="AA62" s="34">
        <v>112158</v>
      </c>
      <c r="AB62" s="5">
        <v>31.756833333333333</v>
      </c>
      <c r="AC62" s="5">
        <v>14.027638888888889</v>
      </c>
      <c r="AE62" s="10">
        <f ca="1"/>
        <v>0.69310627866047025</v>
      </c>
      <c r="AF62" s="10">
        <v>0.69426409558281788</v>
      </c>
    </row>
    <row r="63" spans="1:32" s="10" customFormat="1" ht="28.5" customHeight="1">
      <c r="A63" s="96">
        <v>62</v>
      </c>
      <c r="B63" s="5" t="s">
        <v>66</v>
      </c>
      <c r="C63" s="5" t="s">
        <v>67</v>
      </c>
      <c r="D63" s="5" t="s">
        <v>13</v>
      </c>
      <c r="E63" s="5" t="s">
        <v>4</v>
      </c>
      <c r="F63" s="5" t="s">
        <v>90</v>
      </c>
      <c r="G63" s="35" t="s">
        <v>70</v>
      </c>
      <c r="H63" s="46">
        <f>(477284.51/10)+(6575*1/3)</f>
        <v>49920.117666666665</v>
      </c>
      <c r="I63" s="46">
        <f>Table1[[#This Row],[Contracted Amount]]*AF63</f>
        <v>25069.389194721407</v>
      </c>
      <c r="J63" s="46">
        <f>61972.59+(6575*1/3)</f>
        <v>64164.256666666661</v>
      </c>
      <c r="K63" s="46">
        <f>Table1[[#This Row],[Actual Expenditure (including admin fees)]]*AF63</f>
        <v>32222.654872481457</v>
      </c>
      <c r="L63" s="35" t="s">
        <v>71</v>
      </c>
      <c r="M63" s="42" t="s">
        <v>72</v>
      </c>
      <c r="N63" s="42">
        <v>43132</v>
      </c>
      <c r="O63" s="100" t="s">
        <v>73</v>
      </c>
      <c r="P63" s="42"/>
      <c r="Q63" s="42"/>
      <c r="R63" s="128">
        <v>43465</v>
      </c>
      <c r="S63" s="36" t="s">
        <v>71</v>
      </c>
      <c r="T63" s="89" t="s">
        <v>272</v>
      </c>
      <c r="U63" s="9"/>
      <c r="V63" s="118" t="s">
        <v>71</v>
      </c>
      <c r="W63" s="118" t="s">
        <v>91</v>
      </c>
      <c r="X63" s="136">
        <v>1</v>
      </c>
      <c r="Y63" s="22" t="s">
        <v>281</v>
      </c>
      <c r="Z63" s="34" t="s">
        <v>282</v>
      </c>
      <c r="AA63" s="34">
        <v>98720</v>
      </c>
      <c r="AB63" s="5">
        <v>31.756350000000001</v>
      </c>
      <c r="AC63" s="5">
        <v>14.02678</v>
      </c>
      <c r="AE63" s="10">
        <f ca="1"/>
        <v>0.63451741875662648</v>
      </c>
      <c r="AF63" s="10">
        <v>0.50219010624370142</v>
      </c>
    </row>
    <row r="64" spans="1:32" s="10" customFormat="1" ht="28.5" customHeight="1">
      <c r="A64" s="96">
        <v>63</v>
      </c>
      <c r="B64" s="5" t="s">
        <v>66</v>
      </c>
      <c r="C64" s="5" t="s">
        <v>67</v>
      </c>
      <c r="D64" s="5" t="s">
        <v>13</v>
      </c>
      <c r="E64" s="5" t="s">
        <v>4</v>
      </c>
      <c r="F64" s="5" t="s">
        <v>107</v>
      </c>
      <c r="G64" s="35" t="s">
        <v>70</v>
      </c>
      <c r="H64" s="46">
        <f>190736.6+6501.65</f>
        <v>197238.25</v>
      </c>
      <c r="I64" s="46">
        <f>Table1[[#This Row],[Contracted Amount]]*AF64</f>
        <v>103892.80300964892</v>
      </c>
      <c r="J64" s="46">
        <f>93057.9+237.63+516/0.91+6501.65</f>
        <v>100364.21296703296</v>
      </c>
      <c r="K64" s="46">
        <f>Table1[[#This Row],[Actual Expenditure (including admin fees)]]*AF64</f>
        <v>52865.60495746848</v>
      </c>
      <c r="L64" s="35" t="s">
        <v>71</v>
      </c>
      <c r="M64" s="42" t="s">
        <v>72</v>
      </c>
      <c r="N64" s="42">
        <v>43513</v>
      </c>
      <c r="O64" s="100" t="s">
        <v>73</v>
      </c>
      <c r="P64" s="42"/>
      <c r="Q64" s="42"/>
      <c r="R64" s="42">
        <v>43741</v>
      </c>
      <c r="S64" s="36" t="s">
        <v>71</v>
      </c>
      <c r="T64" s="89" t="s">
        <v>293</v>
      </c>
      <c r="U64" s="27">
        <v>43747</v>
      </c>
      <c r="V64" s="118" t="s">
        <v>71</v>
      </c>
      <c r="W64" s="118" t="s">
        <v>111</v>
      </c>
      <c r="X64" s="136">
        <v>4</v>
      </c>
      <c r="Y64" s="22" t="s">
        <v>294</v>
      </c>
      <c r="Z64" s="34" t="s">
        <v>295</v>
      </c>
      <c r="AA64" s="34" t="s">
        <v>264</v>
      </c>
      <c r="AB64" s="5">
        <v>31.756525</v>
      </c>
      <c r="AC64" s="5">
        <v>14.027691666666668</v>
      </c>
      <c r="AE64" s="10">
        <f ca="1"/>
        <v>0.64624701625202796</v>
      </c>
      <c r="AF64" s="10">
        <v>0.52673760292260208</v>
      </c>
    </row>
    <row r="65" spans="1:32" s="10" customFormat="1" ht="28.5" customHeight="1">
      <c r="A65" s="96">
        <v>64</v>
      </c>
      <c r="B65" s="5" t="s">
        <v>66</v>
      </c>
      <c r="C65" s="5" t="s">
        <v>67</v>
      </c>
      <c r="D65" s="5" t="s">
        <v>13</v>
      </c>
      <c r="E65" s="5" t="s">
        <v>4</v>
      </c>
      <c r="F65" s="29" t="s">
        <v>107</v>
      </c>
      <c r="G65" s="35" t="s">
        <v>70</v>
      </c>
      <c r="H65" s="46"/>
      <c r="I65" s="46">
        <f>Table1[[#This Row],[Contracted Amount]]*AF65</f>
        <v>0</v>
      </c>
      <c r="J65" s="46"/>
      <c r="K65" s="46">
        <f>Table1[[#This Row],[Actual Expenditure (including admin fees)]]*AF65</f>
        <v>0</v>
      </c>
      <c r="L65" s="35" t="s">
        <v>75</v>
      </c>
      <c r="M65" s="42"/>
      <c r="N65" s="42"/>
      <c r="O65" s="100"/>
      <c r="P65" s="42"/>
      <c r="Q65" s="42"/>
      <c r="R65" s="42"/>
      <c r="S65" s="36" t="s">
        <v>266</v>
      </c>
      <c r="T65" s="89" t="s">
        <v>285</v>
      </c>
      <c r="U65" s="9">
        <v>44027</v>
      </c>
      <c r="V65" s="118" t="s">
        <v>266</v>
      </c>
      <c r="W65" s="118"/>
      <c r="X65" s="136"/>
      <c r="Y65" s="23"/>
      <c r="Z65" s="34" t="str">
        <f>IF(ISERROR(VLOOKUP(Y65,'Data inputs '!$N$4:$O$23,2,0)),"",(VLOOKUP(Y65,'Data inputs '!$N$4:$O$23,2,0)))</f>
        <v/>
      </c>
      <c r="AA65" s="34"/>
      <c r="AB65" s="5"/>
      <c r="AC65" s="5"/>
      <c r="AE65" s="10">
        <f ca="1"/>
        <v>0.55762955292807792</v>
      </c>
      <c r="AF65" s="10">
        <v>0.69540672610906817</v>
      </c>
    </row>
    <row r="66" spans="1:32" s="10" customFormat="1" ht="28.5" customHeight="1">
      <c r="A66" s="96">
        <v>65</v>
      </c>
      <c r="B66" s="5" t="s">
        <v>66</v>
      </c>
      <c r="C66" s="5" t="s">
        <v>67</v>
      </c>
      <c r="D66" s="5" t="s">
        <v>13</v>
      </c>
      <c r="E66" s="5" t="s">
        <v>68</v>
      </c>
      <c r="F66" s="5" t="s">
        <v>69</v>
      </c>
      <c r="G66" s="35" t="s">
        <v>70</v>
      </c>
      <c r="H66" s="46">
        <f>(927051.52/8)*2+10350</f>
        <v>242112.88</v>
      </c>
      <c r="I66" s="46">
        <f>Table1[[#This Row],[Contracted Amount]]*AF66</f>
        <v>163907.01468607588</v>
      </c>
      <c r="J66" s="46">
        <f>300902+8420.14</f>
        <v>309322.14</v>
      </c>
      <c r="K66" s="46">
        <f>Table1[[#This Row],[Actual Expenditure (including admin fees)]]*AF66</f>
        <v>209406.73847549301</v>
      </c>
      <c r="L66" s="35" t="s">
        <v>71</v>
      </c>
      <c r="M66" s="42" t="s">
        <v>72</v>
      </c>
      <c r="N66" s="42">
        <v>42826</v>
      </c>
      <c r="O66" s="100" t="s">
        <v>73</v>
      </c>
      <c r="P66" s="42"/>
      <c r="Q66" s="42"/>
      <c r="R66" s="42">
        <v>43139</v>
      </c>
      <c r="S66" s="36" t="s">
        <v>71</v>
      </c>
      <c r="T66" s="89" t="s">
        <v>296</v>
      </c>
      <c r="U66" s="9"/>
      <c r="V66" s="118" t="s">
        <v>71</v>
      </c>
      <c r="W66" s="118" t="s">
        <v>74</v>
      </c>
      <c r="X66" s="136">
        <v>2</v>
      </c>
      <c r="Y66" s="24" t="s">
        <v>297</v>
      </c>
      <c r="Z66" s="34" t="s">
        <v>298</v>
      </c>
      <c r="AA66" s="34">
        <v>98720</v>
      </c>
      <c r="AB66" s="5">
        <v>31.730720000000002</v>
      </c>
      <c r="AC66" s="5">
        <v>14.04922</v>
      </c>
      <c r="AE66" s="10">
        <f ca="1"/>
        <v>0.73197006027386902</v>
      </c>
      <c r="AF66" s="10">
        <v>0.67698593600669188</v>
      </c>
    </row>
    <row r="67" spans="1:32" s="10" customFormat="1" ht="28.5" customHeight="1">
      <c r="A67" s="96">
        <v>66</v>
      </c>
      <c r="B67" s="5" t="s">
        <v>66</v>
      </c>
      <c r="C67" s="5" t="s">
        <v>67</v>
      </c>
      <c r="D67" s="5" t="s">
        <v>13</v>
      </c>
      <c r="E67" s="5" t="s">
        <v>112</v>
      </c>
      <c r="F67" s="5" t="s">
        <v>107</v>
      </c>
      <c r="G67" s="35" t="s">
        <v>70</v>
      </c>
      <c r="H67" s="46">
        <f>(312804.14/7)+(43885.27/10)</f>
        <v>49074.832714285716</v>
      </c>
      <c r="I67" s="46">
        <f>Table1[[#This Row],[Contracted Amount]]*AF67</f>
        <v>34328.484996046252</v>
      </c>
      <c r="J67" s="46">
        <f>(312804.14/7)+(43885.27/10)</f>
        <v>49074.832714285716</v>
      </c>
      <c r="K67" s="46">
        <f>Table1[[#This Row],[Actual Expenditure (including admin fees)]]*AF67</f>
        <v>34328.484996046252</v>
      </c>
      <c r="L67" s="35" t="s">
        <v>71</v>
      </c>
      <c r="M67" s="42" t="s">
        <v>72</v>
      </c>
      <c r="N67" s="42">
        <v>42917</v>
      </c>
      <c r="O67" s="100" t="s">
        <v>73</v>
      </c>
      <c r="P67" s="42"/>
      <c r="Q67" s="42"/>
      <c r="R67" s="42">
        <v>43244</v>
      </c>
      <c r="S67" s="36" t="s">
        <v>71</v>
      </c>
      <c r="T67" s="89" t="s">
        <v>287</v>
      </c>
      <c r="U67" s="9"/>
      <c r="V67" s="118" t="s">
        <v>71</v>
      </c>
      <c r="W67" s="118" t="s">
        <v>108</v>
      </c>
      <c r="X67" s="136">
        <v>1</v>
      </c>
      <c r="Y67" s="22" t="s">
        <v>288</v>
      </c>
      <c r="Z67" s="34" t="s">
        <v>289</v>
      </c>
      <c r="AA67" s="34">
        <v>98720</v>
      </c>
      <c r="AB67" s="5">
        <v>31.756152777777778</v>
      </c>
      <c r="AC67" s="5">
        <v>14.022152777777778</v>
      </c>
      <c r="AE67" s="10">
        <f ca="1"/>
        <v>0.63928916492872467</v>
      </c>
      <c r="AF67" s="10">
        <v>0.69951303137205012</v>
      </c>
    </row>
    <row r="68" spans="1:32" s="10" customFormat="1" ht="28.5" customHeight="1">
      <c r="A68" s="96">
        <v>67</v>
      </c>
      <c r="B68" s="5" t="s">
        <v>66</v>
      </c>
      <c r="C68" s="5" t="s">
        <v>67</v>
      </c>
      <c r="D68" s="5" t="s">
        <v>13</v>
      </c>
      <c r="E68" s="5" t="s">
        <v>81</v>
      </c>
      <c r="F68" s="5" t="s">
        <v>113</v>
      </c>
      <c r="G68" s="35" t="s">
        <v>70</v>
      </c>
      <c r="H68" s="46">
        <f>69657+8092.49</f>
        <v>77749.490000000005</v>
      </c>
      <c r="I68" s="46">
        <f>Table1[[#This Row],[Contracted Amount]]*AF68</f>
        <v>40108.227580288614</v>
      </c>
      <c r="J68" s="46">
        <f>63011.12+8092.49</f>
        <v>71103.61</v>
      </c>
      <c r="K68" s="46">
        <f>Table1[[#This Row],[Actual Expenditure (including admin fees)]]*AF68</f>
        <v>36679.851812019413</v>
      </c>
      <c r="L68" s="35" t="s">
        <v>71</v>
      </c>
      <c r="M68" s="42" t="s">
        <v>72</v>
      </c>
      <c r="N68" s="42">
        <v>43187</v>
      </c>
      <c r="O68" s="100" t="s">
        <v>73</v>
      </c>
      <c r="P68" s="42"/>
      <c r="Q68" s="42"/>
      <c r="R68" s="42">
        <v>43465</v>
      </c>
      <c r="S68" s="36" t="s">
        <v>71</v>
      </c>
      <c r="T68" s="89" t="s">
        <v>272</v>
      </c>
      <c r="U68" s="9"/>
      <c r="V68" s="118" t="s">
        <v>71</v>
      </c>
      <c r="W68" s="118" t="s">
        <v>114</v>
      </c>
      <c r="X68" s="136">
        <v>2</v>
      </c>
      <c r="Y68" s="23" t="s">
        <v>299</v>
      </c>
      <c r="Z68" s="34" t="s">
        <v>300</v>
      </c>
      <c r="AA68" s="34">
        <v>98720</v>
      </c>
      <c r="AB68" s="5">
        <v>31.751290000000001</v>
      </c>
      <c r="AC68" s="5">
        <v>13.9893</v>
      </c>
      <c r="AE68" s="10">
        <f ca="1"/>
        <v>0.71410046120048776</v>
      </c>
      <c r="AF68" s="10">
        <v>0.51586483178588838</v>
      </c>
    </row>
    <row r="69" spans="1:32" s="10" customFormat="1" ht="28.5" customHeight="1">
      <c r="A69" s="96">
        <v>68</v>
      </c>
      <c r="B69" s="5" t="s">
        <v>66</v>
      </c>
      <c r="C69" s="5" t="s">
        <v>67</v>
      </c>
      <c r="D69" s="5" t="s">
        <v>13</v>
      </c>
      <c r="E69" s="5" t="s">
        <v>112</v>
      </c>
      <c r="F69" s="29" t="s">
        <v>129</v>
      </c>
      <c r="G69" s="35" t="s">
        <v>70</v>
      </c>
      <c r="H69" s="46"/>
      <c r="I69" s="46">
        <f>Table1[[#This Row],[Contracted Amount]]*AF69</f>
        <v>0</v>
      </c>
      <c r="J69" s="46"/>
      <c r="K69" s="46">
        <f>Table1[[#This Row],[Actual Expenditure (including admin fees)]]*AF69</f>
        <v>0</v>
      </c>
      <c r="L69" s="35" t="s">
        <v>75</v>
      </c>
      <c r="M69" s="42"/>
      <c r="N69" s="42"/>
      <c r="O69" s="100"/>
      <c r="P69" s="42"/>
      <c r="Q69" s="42"/>
      <c r="R69" s="42"/>
      <c r="S69" s="36" t="s">
        <v>266</v>
      </c>
      <c r="T69" s="89" t="s">
        <v>301</v>
      </c>
      <c r="U69" s="9">
        <v>43878</v>
      </c>
      <c r="V69" s="118" t="s">
        <v>266</v>
      </c>
      <c r="W69" s="118"/>
      <c r="X69" s="136"/>
      <c r="Y69" s="23"/>
      <c r="Z69" s="34" t="str">
        <f>IF(ISERROR(VLOOKUP(Y69,'Data inputs '!$N$4:$O$23,2,0)),"",(VLOOKUP(Y69,'Data inputs '!$N$4:$O$23,2,0)))</f>
        <v/>
      </c>
      <c r="AA69" s="34"/>
      <c r="AB69" s="5"/>
      <c r="AC69" s="5"/>
      <c r="AE69" s="10">
        <f ca="1"/>
        <v>0.57848548049223092</v>
      </c>
      <c r="AF69" s="10">
        <v>0.64118900172897952</v>
      </c>
    </row>
    <row r="70" spans="1:32" s="10" customFormat="1" ht="28.5" customHeight="1">
      <c r="A70" s="96">
        <v>69</v>
      </c>
      <c r="B70" s="5" t="s">
        <v>66</v>
      </c>
      <c r="C70" s="5" t="s">
        <v>67</v>
      </c>
      <c r="D70" s="5" t="s">
        <v>13</v>
      </c>
      <c r="E70" s="5" t="s">
        <v>112</v>
      </c>
      <c r="F70" s="29" t="s">
        <v>129</v>
      </c>
      <c r="G70" s="35" t="s">
        <v>70</v>
      </c>
      <c r="H70" s="46"/>
      <c r="I70" s="46">
        <f>Table1[[#This Row],[Contracted Amount]]*AF70</f>
        <v>0</v>
      </c>
      <c r="J70" s="46"/>
      <c r="K70" s="46">
        <f>Table1[[#This Row],[Actual Expenditure (including admin fees)]]*AF70</f>
        <v>0</v>
      </c>
      <c r="L70" s="35" t="s">
        <v>75</v>
      </c>
      <c r="M70" s="42"/>
      <c r="N70" s="42"/>
      <c r="O70" s="100"/>
      <c r="P70" s="42"/>
      <c r="Q70" s="42"/>
      <c r="R70" s="42"/>
      <c r="S70" s="36" t="s">
        <v>266</v>
      </c>
      <c r="T70" s="89" t="s">
        <v>301</v>
      </c>
      <c r="U70" s="9">
        <v>43878</v>
      </c>
      <c r="V70" s="118" t="s">
        <v>266</v>
      </c>
      <c r="W70" s="118"/>
      <c r="X70" s="136"/>
      <c r="Y70" s="23"/>
      <c r="Z70" s="34" t="str">
        <f>IF(ISERROR(VLOOKUP(Y70,'Data inputs '!$N$4:$O$23,2,0)),"",(VLOOKUP(Y70,'Data inputs '!$N$4:$O$23,2,0)))</f>
        <v/>
      </c>
      <c r="AA70" s="34"/>
      <c r="AB70" s="5"/>
      <c r="AC70" s="5"/>
      <c r="AE70" s="10">
        <f ca="1"/>
        <v>0.62216298168384621</v>
      </c>
      <c r="AF70" s="10">
        <v>0.69138937216759611</v>
      </c>
    </row>
    <row r="71" spans="1:32" s="10" customFormat="1" ht="28.5" customHeight="1">
      <c r="A71" s="96">
        <v>70</v>
      </c>
      <c r="B71" s="5" t="s">
        <v>66</v>
      </c>
      <c r="C71" s="5" t="s">
        <v>67</v>
      </c>
      <c r="D71" s="5" t="s">
        <v>13</v>
      </c>
      <c r="E71" s="5" t="s">
        <v>81</v>
      </c>
      <c r="F71" s="5" t="s">
        <v>115</v>
      </c>
      <c r="G71" s="35" t="s">
        <v>70</v>
      </c>
      <c r="H71" s="46">
        <f>272903.78+6410/0.876</f>
        <v>280221.13159817352</v>
      </c>
      <c r="I71" s="46">
        <f>Table1[[#This Row],[Contracted Amount]]*AF71</f>
        <v>188132.6661084462</v>
      </c>
      <c r="J71" s="46">
        <f>248498.74+7146.04+299.25</f>
        <v>255944.03</v>
      </c>
      <c r="K71" s="46">
        <f>Table1[[#This Row],[Actual Expenditure (including admin fees)]]*AF71</f>
        <v>171833.69599508814</v>
      </c>
      <c r="L71" s="35" t="s">
        <v>71</v>
      </c>
      <c r="M71" s="42" t="s">
        <v>72</v>
      </c>
      <c r="N71" s="42">
        <v>43275</v>
      </c>
      <c r="O71" s="100" t="s">
        <v>73</v>
      </c>
      <c r="P71" s="100"/>
      <c r="Q71" s="100"/>
      <c r="R71" s="42">
        <v>43556</v>
      </c>
      <c r="S71" s="36" t="s">
        <v>71</v>
      </c>
      <c r="T71" s="89" t="s">
        <v>302</v>
      </c>
      <c r="U71" s="9"/>
      <c r="V71" s="118" t="s">
        <v>71</v>
      </c>
      <c r="W71" s="118" t="s">
        <v>111</v>
      </c>
      <c r="X71" s="136">
        <v>7</v>
      </c>
      <c r="Y71" s="22" t="s">
        <v>303</v>
      </c>
      <c r="Z71" s="34" t="s">
        <v>304</v>
      </c>
      <c r="AA71" s="34">
        <v>98720</v>
      </c>
      <c r="AB71" s="5">
        <v>31.752227777777779</v>
      </c>
      <c r="AC71" s="5">
        <v>14.019961111111112</v>
      </c>
      <c r="AE71" s="10">
        <f ca="1"/>
        <v>0.52779225219841019</v>
      </c>
      <c r="AF71" s="10">
        <v>0.67137215896416158</v>
      </c>
    </row>
    <row r="72" spans="1:32" s="10" customFormat="1" ht="28.5" customHeight="1">
      <c r="A72" s="96">
        <v>71</v>
      </c>
      <c r="B72" s="5" t="s">
        <v>66</v>
      </c>
      <c r="C72" s="5" t="s">
        <v>67</v>
      </c>
      <c r="D72" s="5" t="s">
        <v>13</v>
      </c>
      <c r="E72" s="5" t="s">
        <v>81</v>
      </c>
      <c r="F72" s="5" t="s">
        <v>115</v>
      </c>
      <c r="G72" s="35" t="s">
        <v>70</v>
      </c>
      <c r="H72" s="46">
        <v>7848.17</v>
      </c>
      <c r="I72" s="46">
        <f>Table1[[#This Row],[Contracted Amount]]*AF72</f>
        <v>4014.602070739375</v>
      </c>
      <c r="J72" s="46">
        <v>7554.95</v>
      </c>
      <c r="K72" s="46">
        <f>Table1[[#This Row],[Actual Expenditure (including admin fees)]]*AF72</f>
        <v>3864.6102103206786</v>
      </c>
      <c r="L72" s="35" t="s">
        <v>71</v>
      </c>
      <c r="M72" s="42" t="s">
        <v>72</v>
      </c>
      <c r="N72" s="42">
        <v>43275</v>
      </c>
      <c r="O72" s="100" t="s">
        <v>73</v>
      </c>
      <c r="P72" s="100"/>
      <c r="Q72" s="100"/>
      <c r="R72" s="42">
        <v>43597</v>
      </c>
      <c r="S72" s="36" t="s">
        <v>71</v>
      </c>
      <c r="T72" s="89" t="s">
        <v>305</v>
      </c>
      <c r="U72" s="9">
        <v>43599</v>
      </c>
      <c r="V72" s="118" t="s">
        <v>71</v>
      </c>
      <c r="W72" s="118" t="s">
        <v>111</v>
      </c>
      <c r="X72" s="136">
        <v>6</v>
      </c>
      <c r="Y72" s="22" t="s">
        <v>306</v>
      </c>
      <c r="Z72" s="34" t="s">
        <v>307</v>
      </c>
      <c r="AA72" s="34" t="s">
        <v>264</v>
      </c>
      <c r="AB72" s="5">
        <v>31.752227777777779</v>
      </c>
      <c r="AC72" s="5">
        <v>14.019961111111112</v>
      </c>
      <c r="AE72" s="10">
        <f ca="1"/>
        <v>0.56164949601983527</v>
      </c>
      <c r="AF72" s="10">
        <v>0.51153352574413846</v>
      </c>
    </row>
    <row r="73" spans="1:32" s="10" customFormat="1" ht="28.5" customHeight="1">
      <c r="A73" s="96">
        <v>72</v>
      </c>
      <c r="B73" s="5" t="s">
        <v>66</v>
      </c>
      <c r="C73" s="5" t="s">
        <v>67</v>
      </c>
      <c r="D73" s="5" t="s">
        <v>13</v>
      </c>
      <c r="E73" s="5" t="s">
        <v>81</v>
      </c>
      <c r="F73" s="5" t="s">
        <v>107</v>
      </c>
      <c r="G73" s="35" t="s">
        <v>70</v>
      </c>
      <c r="H73" s="63">
        <v>160000</v>
      </c>
      <c r="I73" s="63">
        <f>Table1[[#This Row],[Contracted Amount]]*AF73</f>
        <v>116435.0760497469</v>
      </c>
      <c r="J73" s="46"/>
      <c r="K73" s="46">
        <f>Table1[[#This Row],[Actual Expenditure (including admin fees)]]*AF73</f>
        <v>0</v>
      </c>
      <c r="L73" s="35" t="s">
        <v>71</v>
      </c>
      <c r="M73" s="42" t="s">
        <v>72</v>
      </c>
      <c r="N73" s="42">
        <v>43374</v>
      </c>
      <c r="O73" s="100" t="s">
        <v>73</v>
      </c>
      <c r="P73" s="42"/>
      <c r="Q73" s="42"/>
      <c r="R73" s="42">
        <v>43643</v>
      </c>
      <c r="S73" s="36" t="s">
        <v>71</v>
      </c>
      <c r="T73" s="89" t="s">
        <v>308</v>
      </c>
      <c r="U73" s="9">
        <v>43878</v>
      </c>
      <c r="V73" s="118" t="s">
        <v>71</v>
      </c>
      <c r="W73" s="118" t="s">
        <v>108</v>
      </c>
      <c r="X73" s="136">
        <v>1</v>
      </c>
      <c r="Y73" s="23"/>
      <c r="Z73" s="34" t="str">
        <f>IF(ISERROR(VLOOKUP(Y73,'Data inputs '!$N$4:$O$23,2,0)),"",(VLOOKUP(Y73,'Data inputs '!$N$4:$O$23,2,0)))</f>
        <v/>
      </c>
      <c r="AA73" s="34"/>
      <c r="AB73" s="5">
        <v>31.752227777777779</v>
      </c>
      <c r="AC73" s="5">
        <v>14.019961111111112</v>
      </c>
      <c r="AE73" s="10">
        <f ca="1"/>
        <v>0.69564343707798171</v>
      </c>
      <c r="AF73" s="10">
        <v>0.72771922531091815</v>
      </c>
    </row>
    <row r="74" spans="1:32" s="10" customFormat="1" ht="28.5" customHeight="1">
      <c r="A74" s="96">
        <v>73</v>
      </c>
      <c r="B74" s="5" t="s">
        <v>66</v>
      </c>
      <c r="C74" s="5" t="s">
        <v>67</v>
      </c>
      <c r="D74" s="5" t="s">
        <v>13</v>
      </c>
      <c r="E74" s="5" t="s">
        <v>81</v>
      </c>
      <c r="F74" s="5" t="s">
        <v>107</v>
      </c>
      <c r="G74" s="35" t="s">
        <v>70</v>
      </c>
      <c r="H74" s="46">
        <f>(417986.7/32)*2+5835.23+3846.15</f>
        <v>35805.548750000002</v>
      </c>
      <c r="I74" s="46">
        <f>Table1[[#This Row],[Contracted Amount]]*AF74</f>
        <v>20771.569258415147</v>
      </c>
      <c r="J74" s="46">
        <f>417986.7*(2/32)+5835.23+3846.15</f>
        <v>35805.548750000002</v>
      </c>
      <c r="K74" s="46">
        <f>Table1[[#This Row],[Actual Expenditure (including admin fees)]]*AF74</f>
        <v>20771.569258415147</v>
      </c>
      <c r="L74" s="35" t="s">
        <v>71</v>
      </c>
      <c r="M74" s="42" t="s">
        <v>72</v>
      </c>
      <c r="N74" s="42">
        <v>43275</v>
      </c>
      <c r="O74" s="100" t="s">
        <v>73</v>
      </c>
      <c r="P74" s="42"/>
      <c r="Q74" s="42"/>
      <c r="R74" s="42">
        <v>43506</v>
      </c>
      <c r="S74" s="36" t="s">
        <v>71</v>
      </c>
      <c r="T74" s="89" t="s">
        <v>309</v>
      </c>
      <c r="U74" s="9"/>
      <c r="V74" s="118" t="s">
        <v>71</v>
      </c>
      <c r="W74" s="118" t="s">
        <v>108</v>
      </c>
      <c r="X74" s="136">
        <v>2</v>
      </c>
      <c r="Y74" s="23" t="s">
        <v>310</v>
      </c>
      <c r="Z74" s="88" t="s">
        <v>311</v>
      </c>
      <c r="AA74" s="34">
        <v>98720</v>
      </c>
      <c r="AB74" s="5">
        <v>31.752227777777779</v>
      </c>
      <c r="AC74" s="5">
        <v>14.019961111111112</v>
      </c>
      <c r="AE74" s="10">
        <f ca="1"/>
        <v>0.65412261607033662</v>
      </c>
      <c r="AF74" s="10">
        <v>0.58012151701529635</v>
      </c>
    </row>
    <row r="75" spans="1:32" s="10" customFormat="1" ht="28.5" customHeight="1">
      <c r="A75" s="96">
        <v>74</v>
      </c>
      <c r="B75" s="5" t="s">
        <v>66</v>
      </c>
      <c r="C75" s="5" t="s">
        <v>67</v>
      </c>
      <c r="D75" s="5" t="s">
        <v>13</v>
      </c>
      <c r="E75" s="5" t="s">
        <v>81</v>
      </c>
      <c r="F75" s="5" t="s">
        <v>82</v>
      </c>
      <c r="G75" s="35" t="s">
        <v>70</v>
      </c>
      <c r="H75" s="46">
        <f>162628.87+(9960/0.879)</f>
        <v>173959.92802047782</v>
      </c>
      <c r="I75" s="46">
        <f>Table1[[#This Row],[Contracted Amount]]*AF75</f>
        <v>128746.78678960374</v>
      </c>
      <c r="J75" s="46">
        <f>149549.71+11178.45</f>
        <v>160728.16</v>
      </c>
      <c r="K75" s="46">
        <f>Table1[[#This Row],[Actual Expenditure (including admin fees)]]*AF75</f>
        <v>118954.02798838475</v>
      </c>
      <c r="L75" s="35" t="s">
        <v>71</v>
      </c>
      <c r="M75" s="42" t="s">
        <v>72</v>
      </c>
      <c r="N75" s="42">
        <v>43256</v>
      </c>
      <c r="O75" s="100" t="s">
        <v>73</v>
      </c>
      <c r="P75" s="100"/>
      <c r="Q75" s="100"/>
      <c r="R75" s="42">
        <v>43558</v>
      </c>
      <c r="S75" s="36" t="s">
        <v>71</v>
      </c>
      <c r="T75" s="89" t="s">
        <v>312</v>
      </c>
      <c r="U75" s="9">
        <v>43592</v>
      </c>
      <c r="V75" s="118" t="s">
        <v>71</v>
      </c>
      <c r="W75" s="118" t="s">
        <v>83</v>
      </c>
      <c r="X75" s="136">
        <v>1</v>
      </c>
      <c r="Y75" s="23" t="s">
        <v>313</v>
      </c>
      <c r="Z75" s="34" t="s">
        <v>314</v>
      </c>
      <c r="AA75" s="34">
        <v>98720</v>
      </c>
      <c r="AB75" s="5">
        <v>31.752227777777779</v>
      </c>
      <c r="AC75" s="5">
        <v>14.019961111111112</v>
      </c>
      <c r="AE75" s="10">
        <f ca="1"/>
        <v>0.60036566809454661</v>
      </c>
      <c r="AF75" s="10">
        <v>0.74009450483589656</v>
      </c>
    </row>
    <row r="76" spans="1:32" s="10" customFormat="1" ht="28.5" customHeight="1">
      <c r="A76" s="96">
        <v>75</v>
      </c>
      <c r="B76" s="5" t="s">
        <v>66</v>
      </c>
      <c r="C76" s="5" t="s">
        <v>67</v>
      </c>
      <c r="D76" s="5" t="s">
        <v>13</v>
      </c>
      <c r="E76" s="5" t="s">
        <v>81</v>
      </c>
      <c r="F76" s="29" t="s">
        <v>315</v>
      </c>
      <c r="G76" s="35" t="s">
        <v>70</v>
      </c>
      <c r="H76" s="46"/>
      <c r="I76" s="46">
        <f>Table1[[#This Row],[Contracted Amount]]*AF76</f>
        <v>0</v>
      </c>
      <c r="J76" s="46"/>
      <c r="K76" s="46">
        <f>Table1[[#This Row],[Actual Expenditure (including admin fees)]]*AF76</f>
        <v>0</v>
      </c>
      <c r="L76" s="35" t="s">
        <v>75</v>
      </c>
      <c r="M76" s="42"/>
      <c r="N76" s="42"/>
      <c r="O76" s="100"/>
      <c r="P76" s="42"/>
      <c r="Q76" s="42"/>
      <c r="R76" s="42"/>
      <c r="S76" s="36" t="s">
        <v>266</v>
      </c>
      <c r="T76" s="89" t="s">
        <v>301</v>
      </c>
      <c r="U76" s="9">
        <v>43878</v>
      </c>
      <c r="V76" s="118" t="s">
        <v>266</v>
      </c>
      <c r="W76" s="118"/>
      <c r="X76" s="136"/>
      <c r="Y76" s="23"/>
      <c r="Z76" s="34" t="str">
        <f>IF(ISERROR(VLOOKUP(Y76,'Data inputs '!$N$4:$O$23,2,0)),"",(VLOOKUP(Y76,'Data inputs '!$N$4:$O$23,2,0)))</f>
        <v/>
      </c>
      <c r="AA76" s="34"/>
      <c r="AB76" s="5"/>
      <c r="AC76" s="5"/>
      <c r="AE76" s="10">
        <f ca="1"/>
        <v>0.51094918192163352</v>
      </c>
      <c r="AF76" s="10">
        <v>0.68075806153716167</v>
      </c>
    </row>
    <row r="77" spans="1:32" s="10" customFormat="1" ht="28.5" customHeight="1">
      <c r="A77" s="96">
        <v>76</v>
      </c>
      <c r="B77" s="5" t="s">
        <v>66</v>
      </c>
      <c r="C77" s="5" t="s">
        <v>67</v>
      </c>
      <c r="D77" s="5" t="s">
        <v>13</v>
      </c>
      <c r="E77" s="5" t="s">
        <v>96</v>
      </c>
      <c r="F77" s="5" t="s">
        <v>117</v>
      </c>
      <c r="G77" s="35" t="s">
        <v>70</v>
      </c>
      <c r="H77" s="46">
        <f>(294661.4/0.956)*(1/6)+(7750/5)</f>
        <v>52920.536959553698</v>
      </c>
      <c r="I77" s="46">
        <f>Table1[[#This Row],[Contracted Amount]]*AF77</f>
        <v>36395.888940380079</v>
      </c>
      <c r="J77" s="46">
        <f>(294661.4/0.879)*(1/6)+(7750/5)</f>
        <v>57420.572620401974</v>
      </c>
      <c r="K77" s="46">
        <f>Table1[[#This Row],[Actual Expenditure (including admin fees)]]*AF77</f>
        <v>39490.770578961339</v>
      </c>
      <c r="L77" s="35" t="s">
        <v>71</v>
      </c>
      <c r="M77" s="42" t="s">
        <v>72</v>
      </c>
      <c r="N77" s="42">
        <v>43132</v>
      </c>
      <c r="O77" s="100" t="s">
        <v>73</v>
      </c>
      <c r="P77" s="42"/>
      <c r="Q77" s="42"/>
      <c r="R77" s="42">
        <v>43465</v>
      </c>
      <c r="S77" s="35" t="s">
        <v>71</v>
      </c>
      <c r="T77" s="89" t="s">
        <v>296</v>
      </c>
      <c r="U77" s="9">
        <v>43654</v>
      </c>
      <c r="V77" s="118" t="s">
        <v>71</v>
      </c>
      <c r="W77" s="118" t="s">
        <v>108</v>
      </c>
      <c r="X77" s="136">
        <v>1</v>
      </c>
      <c r="Y77" s="23" t="s">
        <v>258</v>
      </c>
      <c r="Z77" s="34" t="s">
        <v>284</v>
      </c>
      <c r="AA77" s="34">
        <v>98720</v>
      </c>
      <c r="AB77" s="5">
        <v>31.754497222222223</v>
      </c>
      <c r="AC77" s="5">
        <v>14.025502777777779</v>
      </c>
      <c r="AE77" s="10">
        <f ca="1"/>
        <v>0.55742231361171402</v>
      </c>
      <c r="AF77" s="10">
        <v>0.68774602510546823</v>
      </c>
    </row>
    <row r="78" spans="1:32" s="10" customFormat="1" ht="28.5" customHeight="1">
      <c r="A78" s="96">
        <v>77</v>
      </c>
      <c r="B78" s="5" t="s">
        <v>84</v>
      </c>
      <c r="C78" s="5" t="s">
        <v>118</v>
      </c>
      <c r="D78" s="5" t="s">
        <v>14</v>
      </c>
      <c r="E78" s="5" t="s">
        <v>4</v>
      </c>
      <c r="F78" s="5" t="s">
        <v>109</v>
      </c>
      <c r="G78" s="35" t="s">
        <v>70</v>
      </c>
      <c r="H78" s="61">
        <v>87817</v>
      </c>
      <c r="I78" s="61">
        <f>Table1[[#This Row],[Contracted Amount]]*AF78</f>
        <v>63702.143741151493</v>
      </c>
      <c r="J78" s="44">
        <v>87817</v>
      </c>
      <c r="K78" s="44">
        <f>Table1[[#This Row],[Actual Expenditure (including admin fees)]]*AF78</f>
        <v>63702.143741151493</v>
      </c>
      <c r="L78" s="35" t="s">
        <v>71</v>
      </c>
      <c r="M78" s="42" t="s">
        <v>72</v>
      </c>
      <c r="N78" s="92">
        <v>42867</v>
      </c>
      <c r="O78" s="100" t="s">
        <v>73</v>
      </c>
      <c r="P78" s="42">
        <v>42878</v>
      </c>
      <c r="Q78" s="42"/>
      <c r="R78" s="42">
        <v>43005</v>
      </c>
      <c r="S78" s="36" t="s">
        <v>71</v>
      </c>
      <c r="T78" s="89" t="s">
        <v>316</v>
      </c>
      <c r="U78" s="9"/>
      <c r="V78" s="118" t="s">
        <v>71</v>
      </c>
      <c r="W78" s="118" t="s">
        <v>110</v>
      </c>
      <c r="X78" s="136">
        <v>1</v>
      </c>
      <c r="Y78" s="23">
        <v>10159</v>
      </c>
      <c r="Z78" s="34" t="str">
        <f>IF(ISERROR(VLOOKUP(Y78,'Data inputs '!$N$4:$O$23,2,0)),"",(VLOOKUP(Y78,'Data inputs '!$N$4:$O$23,2,0)))</f>
        <v>EU</v>
      </c>
      <c r="AA78" s="34">
        <v>98720</v>
      </c>
      <c r="AB78" s="5">
        <v>32.202981999999999</v>
      </c>
      <c r="AC78" s="5">
        <v>20.180902</v>
      </c>
      <c r="AE78" s="10">
        <f ca="1"/>
        <v>0.59250646750800651</v>
      </c>
      <c r="AF78" s="10">
        <v>0.72539649203629697</v>
      </c>
    </row>
    <row r="79" spans="1:32" s="10" customFormat="1" ht="28.5" customHeight="1">
      <c r="A79" s="96">
        <v>78</v>
      </c>
      <c r="B79" s="5" t="s">
        <v>84</v>
      </c>
      <c r="C79" s="5" t="s">
        <v>118</v>
      </c>
      <c r="D79" s="5" t="s">
        <v>14</v>
      </c>
      <c r="E79" s="5" t="s">
        <v>4</v>
      </c>
      <c r="F79" s="5" t="s">
        <v>85</v>
      </c>
      <c r="G79" s="35" t="s">
        <v>70</v>
      </c>
      <c r="H79" s="61">
        <v>41423</v>
      </c>
      <c r="I79" s="61">
        <f>Table1[[#This Row],[Contracted Amount]]*AF79</f>
        <v>21610.985713914772</v>
      </c>
      <c r="J79" s="44">
        <v>41423</v>
      </c>
      <c r="K79" s="44">
        <f>Table1[[#This Row],[Actual Expenditure (including admin fees)]]*AF79</f>
        <v>21610.985713914772</v>
      </c>
      <c r="L79" s="35" t="s">
        <v>71</v>
      </c>
      <c r="M79" s="42" t="s">
        <v>72</v>
      </c>
      <c r="N79" s="92">
        <v>42764</v>
      </c>
      <c r="O79" s="100" t="s">
        <v>73</v>
      </c>
      <c r="P79" s="42">
        <v>42779</v>
      </c>
      <c r="Q79" s="42"/>
      <c r="R79" s="42">
        <v>42906</v>
      </c>
      <c r="S79" s="36" t="s">
        <v>71</v>
      </c>
      <c r="T79" s="89" t="s">
        <v>316</v>
      </c>
      <c r="U79" s="9"/>
      <c r="V79" s="118" t="s">
        <v>71</v>
      </c>
      <c r="W79" s="118" t="s">
        <v>86</v>
      </c>
      <c r="X79" s="136">
        <v>1</v>
      </c>
      <c r="Y79" s="22">
        <v>137</v>
      </c>
      <c r="Z79" s="34" t="str">
        <f>IF(ISERROR(VLOOKUP(Y79,'Data inputs '!$N$4:$O$23,2,0)),"",(VLOOKUP(Y79,'Data inputs '!$N$4:$O$23,2,0)))</f>
        <v>Italy</v>
      </c>
      <c r="AA79" s="34">
        <v>98720</v>
      </c>
      <c r="AB79" s="5">
        <v>32.050626999999999</v>
      </c>
      <c r="AC79" s="5">
        <v>20.110337999999999</v>
      </c>
      <c r="AE79" s="10">
        <f ca="1"/>
        <v>0.68527905823501833</v>
      </c>
      <c r="AF79" s="10">
        <v>0.52171464437425519</v>
      </c>
    </row>
    <row r="80" spans="1:32" s="10" customFormat="1" ht="28.5" customHeight="1">
      <c r="A80" s="96">
        <v>79</v>
      </c>
      <c r="B80" s="5" t="s">
        <v>84</v>
      </c>
      <c r="C80" s="5" t="s">
        <v>118</v>
      </c>
      <c r="D80" s="5" t="s">
        <v>14</v>
      </c>
      <c r="E80" s="5" t="s">
        <v>4</v>
      </c>
      <c r="F80" s="5" t="s">
        <v>85</v>
      </c>
      <c r="G80" s="35" t="s">
        <v>70</v>
      </c>
      <c r="H80" s="61">
        <v>44566</v>
      </c>
      <c r="I80" s="61">
        <f>Table1[[#This Row],[Contracted Amount]]*AF80</f>
        <v>24889.018639116541</v>
      </c>
      <c r="J80" s="44">
        <v>44566</v>
      </c>
      <c r="K80" s="44">
        <f>Table1[[#This Row],[Actual Expenditure (including admin fees)]]*AF80</f>
        <v>24889.018639116541</v>
      </c>
      <c r="L80" s="35" t="s">
        <v>71</v>
      </c>
      <c r="M80" s="42" t="s">
        <v>72</v>
      </c>
      <c r="N80" s="92">
        <v>42886</v>
      </c>
      <c r="O80" s="100" t="s">
        <v>73</v>
      </c>
      <c r="P80" s="42"/>
      <c r="Q80" s="42"/>
      <c r="R80" s="42">
        <v>42991</v>
      </c>
      <c r="S80" s="36" t="s">
        <v>71</v>
      </c>
      <c r="T80" s="89" t="s">
        <v>316</v>
      </c>
      <c r="U80" s="9"/>
      <c r="V80" s="118" t="s">
        <v>71</v>
      </c>
      <c r="W80" s="118" t="s">
        <v>86</v>
      </c>
      <c r="X80" s="136">
        <v>1</v>
      </c>
      <c r="Y80" s="23">
        <v>112</v>
      </c>
      <c r="Z80" s="34" t="str">
        <f>IF(ISERROR(VLOOKUP(Y80,'Data inputs '!$N$4:$O$23,2,0)),"",(VLOOKUP(Y80,'Data inputs '!$N$4:$O$23,2,0)))</f>
        <v>France</v>
      </c>
      <c r="AA80" s="34">
        <v>98720</v>
      </c>
      <c r="AB80" s="5">
        <v>32.029108999999998</v>
      </c>
      <c r="AC80" s="5">
        <v>20.069583000000002</v>
      </c>
      <c r="AE80" s="10">
        <f ca="1"/>
        <v>0.55461109912878725</v>
      </c>
      <c r="AF80" s="10">
        <v>0.55847548891793164</v>
      </c>
    </row>
    <row r="81" spans="1:32" s="10" customFormat="1" ht="28.5" customHeight="1">
      <c r="A81" s="96">
        <v>80</v>
      </c>
      <c r="B81" s="5" t="s">
        <v>84</v>
      </c>
      <c r="C81" s="5" t="s">
        <v>118</v>
      </c>
      <c r="D81" s="5" t="s">
        <v>14</v>
      </c>
      <c r="E81" s="5" t="s">
        <v>4</v>
      </c>
      <c r="F81" s="5" t="s">
        <v>85</v>
      </c>
      <c r="G81" s="35" t="s">
        <v>70</v>
      </c>
      <c r="H81" s="61">
        <f>78151.92+23344.08</f>
        <v>101496</v>
      </c>
      <c r="I81" s="61">
        <f>Table1[[#This Row],[Contracted Amount]]*AF81</f>
        <v>64109.370958349326</v>
      </c>
      <c r="J81" s="61">
        <v>101496</v>
      </c>
      <c r="K81" s="61">
        <f>Table1[[#This Row],[Actual Expenditure (including admin fees)]]*AF81</f>
        <v>64109.370958349326</v>
      </c>
      <c r="L81" s="35" t="s">
        <v>71</v>
      </c>
      <c r="M81" s="42" t="s">
        <v>72</v>
      </c>
      <c r="N81" s="92">
        <v>42696</v>
      </c>
      <c r="O81" s="100" t="s">
        <v>73</v>
      </c>
      <c r="P81" s="42">
        <v>42705</v>
      </c>
      <c r="Q81" s="42"/>
      <c r="R81" s="42">
        <v>42786</v>
      </c>
      <c r="S81" s="36" t="s">
        <v>71</v>
      </c>
      <c r="T81" s="89" t="s">
        <v>316</v>
      </c>
      <c r="U81" s="9"/>
      <c r="V81" s="118" t="s">
        <v>71</v>
      </c>
      <c r="W81" s="118" t="s">
        <v>86</v>
      </c>
      <c r="X81" s="136">
        <v>1</v>
      </c>
      <c r="Y81" s="22">
        <v>137</v>
      </c>
      <c r="Z81" s="34" t="str">
        <f>IF(ISERROR(VLOOKUP(Y81,'Data inputs '!$N$4:$O$23,2,0)),"",(VLOOKUP(Y81,'Data inputs '!$N$4:$O$23,2,0)))</f>
        <v>Italy</v>
      </c>
      <c r="AA81" s="34">
        <v>98720</v>
      </c>
      <c r="AB81" s="5">
        <v>32.053460000000001</v>
      </c>
      <c r="AC81" s="5">
        <v>20.109337</v>
      </c>
      <c r="AE81" s="10">
        <f ca="1"/>
        <v>0.70511812677678054</v>
      </c>
      <c r="AF81" s="10">
        <v>0.63164431069548876</v>
      </c>
    </row>
    <row r="82" spans="1:32" s="10" customFormat="1" ht="28.5" customHeight="1">
      <c r="A82" s="96">
        <v>81</v>
      </c>
      <c r="B82" s="5" t="s">
        <v>84</v>
      </c>
      <c r="C82" s="5" t="s">
        <v>118</v>
      </c>
      <c r="D82" s="5" t="s">
        <v>14</v>
      </c>
      <c r="E82" s="5" t="s">
        <v>112</v>
      </c>
      <c r="F82" s="5" t="s">
        <v>119</v>
      </c>
      <c r="G82" s="35" t="s">
        <v>70</v>
      </c>
      <c r="H82" s="61">
        <v>115718</v>
      </c>
      <c r="I82" s="61">
        <f>Table1[[#This Row],[Contracted Amount]]*AF82</f>
        <v>59611.649908245156</v>
      </c>
      <c r="J82" s="44">
        <v>115204.04000000001</v>
      </c>
      <c r="K82" s="44">
        <f>Table1[[#This Row],[Actual Expenditure (including admin fees)]]*AF82</f>
        <v>59346.885536351059</v>
      </c>
      <c r="L82" s="35" t="s">
        <v>71</v>
      </c>
      <c r="M82" s="42" t="s">
        <v>72</v>
      </c>
      <c r="N82" s="42">
        <v>42696</v>
      </c>
      <c r="O82" s="100" t="s">
        <v>73</v>
      </c>
      <c r="P82" s="42">
        <v>42704</v>
      </c>
      <c r="Q82" s="42"/>
      <c r="R82" s="42">
        <v>42792</v>
      </c>
      <c r="S82" s="36" t="s">
        <v>71</v>
      </c>
      <c r="T82" s="89" t="s">
        <v>316</v>
      </c>
      <c r="U82" s="9"/>
      <c r="V82" s="118" t="s">
        <v>71</v>
      </c>
      <c r="W82" s="118" t="s">
        <v>120</v>
      </c>
      <c r="X82" s="136">
        <v>1</v>
      </c>
      <c r="Y82" s="22">
        <v>137</v>
      </c>
      <c r="Z82" s="34" t="str">
        <f>IF(ISERROR(VLOOKUP(Y82,'Data inputs '!$N$4:$O$23,2,0)),"",(VLOOKUP(Y82,'Data inputs '!$N$4:$O$23,2,0)))</f>
        <v>Italy</v>
      </c>
      <c r="AA82" s="34">
        <v>98720</v>
      </c>
      <c r="AB82" s="5">
        <v>32.098011999999997</v>
      </c>
      <c r="AC82" s="5">
        <v>20.183907999999999</v>
      </c>
      <c r="AE82" s="10">
        <f ca="1"/>
        <v>0.50991325191690462</v>
      </c>
      <c r="AF82" s="10">
        <v>0.51514587106798559</v>
      </c>
    </row>
    <row r="83" spans="1:32" s="10" customFormat="1" ht="28.5" customHeight="1">
      <c r="A83" s="96">
        <v>82</v>
      </c>
      <c r="B83" s="5" t="s">
        <v>84</v>
      </c>
      <c r="C83" s="5" t="s">
        <v>118</v>
      </c>
      <c r="D83" s="5" t="s">
        <v>14</v>
      </c>
      <c r="E83" s="5" t="s">
        <v>112</v>
      </c>
      <c r="F83" s="5" t="s">
        <v>119</v>
      </c>
      <c r="G83" s="35" t="s">
        <v>70</v>
      </c>
      <c r="H83" s="61">
        <v>31442</v>
      </c>
      <c r="I83" s="61">
        <f>Table1[[#This Row],[Contracted Amount]]*AF83</f>
        <v>21498.212979368192</v>
      </c>
      <c r="J83" s="44">
        <v>31442</v>
      </c>
      <c r="K83" s="44">
        <f>Table1[[#This Row],[Actual Expenditure (including admin fees)]]*AF83</f>
        <v>21498.212979368192</v>
      </c>
      <c r="L83" s="35" t="s">
        <v>71</v>
      </c>
      <c r="M83" s="42" t="s">
        <v>72</v>
      </c>
      <c r="N83" s="92">
        <v>42735</v>
      </c>
      <c r="O83" s="100" t="s">
        <v>73</v>
      </c>
      <c r="P83" s="42">
        <v>42743</v>
      </c>
      <c r="Q83" s="42"/>
      <c r="R83" s="42">
        <v>42856</v>
      </c>
      <c r="S83" s="36" t="s">
        <v>71</v>
      </c>
      <c r="T83" s="89" t="s">
        <v>316</v>
      </c>
      <c r="U83" s="9"/>
      <c r="V83" s="118" t="s">
        <v>71</v>
      </c>
      <c r="W83" s="118" t="s">
        <v>120</v>
      </c>
      <c r="X83" s="136">
        <v>1</v>
      </c>
      <c r="Y83" s="22">
        <v>137</v>
      </c>
      <c r="Z83" s="34" t="str">
        <f>IF(ISERROR(VLOOKUP(Y83,'Data inputs '!$N$4:$O$23,2,0)),"",(VLOOKUP(Y83,'Data inputs '!$N$4:$O$23,2,0)))</f>
        <v>Italy</v>
      </c>
      <c r="AA83" s="34">
        <v>98720</v>
      </c>
      <c r="AB83" s="5">
        <v>32.113956000000002</v>
      </c>
      <c r="AC83" s="5">
        <v>20.075614000000002</v>
      </c>
      <c r="AE83" s="10">
        <f ca="1"/>
        <v>0.70612631004336912</v>
      </c>
      <c r="AF83" s="10">
        <v>0.68374190507500132</v>
      </c>
    </row>
    <row r="84" spans="1:32" s="10" customFormat="1" ht="28.5" customHeight="1">
      <c r="A84" s="96">
        <v>83</v>
      </c>
      <c r="B84" s="5" t="s">
        <v>84</v>
      </c>
      <c r="C84" s="5" t="s">
        <v>118</v>
      </c>
      <c r="D84" s="5" t="s">
        <v>14</v>
      </c>
      <c r="E84" s="5" t="s">
        <v>112</v>
      </c>
      <c r="F84" s="5" t="s">
        <v>121</v>
      </c>
      <c r="G84" s="35" t="s">
        <v>70</v>
      </c>
      <c r="H84" s="61">
        <v>145000</v>
      </c>
      <c r="I84" s="61">
        <f>Table1[[#This Row],[Contracted Amount]]*AF84</f>
        <v>81854.018838305754</v>
      </c>
      <c r="J84" s="44">
        <v>145000</v>
      </c>
      <c r="K84" s="44">
        <f>Table1[[#This Row],[Actual Expenditure (including admin fees)]]*AF84</f>
        <v>81854.018838305754</v>
      </c>
      <c r="L84" s="35" t="s">
        <v>71</v>
      </c>
      <c r="M84" s="42" t="s">
        <v>72</v>
      </c>
      <c r="N84" s="42">
        <v>42948</v>
      </c>
      <c r="O84" s="100" t="s">
        <v>73</v>
      </c>
      <c r="P84" s="42"/>
      <c r="Q84" s="42"/>
      <c r="R84" s="42">
        <v>43042</v>
      </c>
      <c r="S84" s="36" t="s">
        <v>71</v>
      </c>
      <c r="T84" s="89" t="s">
        <v>317</v>
      </c>
      <c r="U84" s="9">
        <v>43572</v>
      </c>
      <c r="V84" s="118" t="s">
        <v>71</v>
      </c>
      <c r="W84" s="118" t="s">
        <v>120</v>
      </c>
      <c r="X84" s="136">
        <v>1</v>
      </c>
      <c r="Y84" s="23">
        <v>10283</v>
      </c>
      <c r="Z84" s="34" t="str">
        <f>IF(ISERROR(VLOOKUP(Y84,'Data inputs '!$N$4:$O$23,2,0)),"",(VLOOKUP(Y84,'Data inputs '!$N$4:$O$23,2,0)))</f>
        <v>Germay(KfW)</v>
      </c>
      <c r="AA84" s="34">
        <v>98720</v>
      </c>
      <c r="AB84" s="5">
        <v>32.106456999999999</v>
      </c>
      <c r="AC84" s="5">
        <v>20.079190000000001</v>
      </c>
      <c r="AE84" s="10">
        <f ca="1"/>
        <v>0.5388901541437251</v>
      </c>
      <c r="AF84" s="10">
        <v>0.56451047474693627</v>
      </c>
    </row>
    <row r="85" spans="1:32" s="10" customFormat="1" ht="28.5" customHeight="1">
      <c r="A85" s="96">
        <v>84</v>
      </c>
      <c r="B85" s="5" t="s">
        <v>84</v>
      </c>
      <c r="C85" s="5" t="s">
        <v>118</v>
      </c>
      <c r="D85" s="5" t="s">
        <v>14</v>
      </c>
      <c r="E85" s="5" t="s">
        <v>96</v>
      </c>
      <c r="F85" s="5" t="s">
        <v>97</v>
      </c>
      <c r="G85" s="35" t="s">
        <v>70</v>
      </c>
      <c r="H85" s="64">
        <f>98132.5+19133</f>
        <v>117265.5</v>
      </c>
      <c r="I85" s="64">
        <f>Table1[[#This Row],[Contracted Amount]]*AF85</f>
        <v>82857.147805574816</v>
      </c>
      <c r="J85" s="44">
        <v>117265.5</v>
      </c>
      <c r="K85" s="44">
        <f>Table1[[#This Row],[Actual Expenditure (including admin fees)]]*AF85</f>
        <v>82857.147805574816</v>
      </c>
      <c r="L85" s="35" t="s">
        <v>71</v>
      </c>
      <c r="M85" s="42" t="s">
        <v>72</v>
      </c>
      <c r="N85" s="92">
        <v>42900</v>
      </c>
      <c r="O85" s="100" t="s">
        <v>73</v>
      </c>
      <c r="P85" s="42"/>
      <c r="Q85" s="42"/>
      <c r="R85" s="42">
        <v>43018</v>
      </c>
      <c r="S85" s="36" t="s">
        <v>71</v>
      </c>
      <c r="T85" s="89" t="s">
        <v>316</v>
      </c>
      <c r="U85" s="9"/>
      <c r="V85" s="118" t="s">
        <v>71</v>
      </c>
      <c r="W85" s="118" t="s">
        <v>98</v>
      </c>
      <c r="X85" s="136">
        <v>1</v>
      </c>
      <c r="Y85" s="23" t="s">
        <v>318</v>
      </c>
      <c r="Z85" s="34" t="s">
        <v>319</v>
      </c>
      <c r="AA85" s="34">
        <v>98720</v>
      </c>
      <c r="AB85" s="5">
        <v>32.054319999999997</v>
      </c>
      <c r="AC85" s="5">
        <v>20.036657999999999</v>
      </c>
      <c r="AE85" s="10">
        <f ca="1"/>
        <v>0.60794531447819988</v>
      </c>
      <c r="AF85" s="10">
        <v>0.70657736338117194</v>
      </c>
    </row>
    <row r="86" spans="1:32" s="10" customFormat="1" ht="28.5" customHeight="1">
      <c r="A86" s="96">
        <v>85</v>
      </c>
      <c r="B86" s="5" t="s">
        <v>84</v>
      </c>
      <c r="C86" s="5" t="s">
        <v>118</v>
      </c>
      <c r="D86" s="5" t="s">
        <v>14</v>
      </c>
      <c r="E86" s="5" t="s">
        <v>122</v>
      </c>
      <c r="F86" s="5" t="s">
        <v>123</v>
      </c>
      <c r="G86" s="35" t="s">
        <v>70</v>
      </c>
      <c r="H86" s="64">
        <v>98300</v>
      </c>
      <c r="I86" s="64">
        <f>Table1[[#This Row],[Contracted Amount]]*AF86</f>
        <v>57047.102546369541</v>
      </c>
      <c r="J86" s="44">
        <v>98300</v>
      </c>
      <c r="K86" s="44">
        <f>Table1[[#This Row],[Actual Expenditure (including admin fees)]]*AF86</f>
        <v>57047.102546369541</v>
      </c>
      <c r="L86" s="35" t="s">
        <v>71</v>
      </c>
      <c r="M86" s="42" t="s">
        <v>72</v>
      </c>
      <c r="N86" s="92">
        <v>42845</v>
      </c>
      <c r="O86" s="100" t="s">
        <v>73</v>
      </c>
      <c r="P86" s="42"/>
      <c r="Q86" s="42"/>
      <c r="R86" s="42">
        <v>42976</v>
      </c>
      <c r="S86" s="36" t="s">
        <v>71</v>
      </c>
      <c r="T86" s="89" t="s">
        <v>316</v>
      </c>
      <c r="U86" s="9"/>
      <c r="V86" s="118" t="s">
        <v>71</v>
      </c>
      <c r="W86" s="118" t="s">
        <v>124</v>
      </c>
      <c r="X86" s="136">
        <v>1</v>
      </c>
      <c r="Y86" s="23">
        <v>10159</v>
      </c>
      <c r="Z86" s="34" t="str">
        <f>IF(ISERROR(VLOOKUP(Y86,'Data inputs '!$N$4:$O$23,2,0)),"",(VLOOKUP(Y86,'Data inputs '!$N$4:$O$23,2,0)))</f>
        <v>EU</v>
      </c>
      <c r="AA86" s="34">
        <v>98720</v>
      </c>
      <c r="AB86" s="5">
        <v>32.099004999999998</v>
      </c>
      <c r="AC86" s="5">
        <v>20.131820000000001</v>
      </c>
      <c r="AE86" s="10">
        <f ca="1"/>
        <v>0.66461991969927237</v>
      </c>
      <c r="AF86" s="10">
        <v>0.58033675021739106</v>
      </c>
    </row>
    <row r="87" spans="1:32" s="10" customFormat="1" ht="28.5" customHeight="1">
      <c r="A87" s="96">
        <v>86</v>
      </c>
      <c r="B87" s="5" t="s">
        <v>84</v>
      </c>
      <c r="C87" s="5" t="s">
        <v>118</v>
      </c>
      <c r="D87" s="5" t="s">
        <v>14</v>
      </c>
      <c r="E87" s="5" t="s">
        <v>122</v>
      </c>
      <c r="F87" s="5" t="s">
        <v>123</v>
      </c>
      <c r="G87" s="35" t="s">
        <v>70</v>
      </c>
      <c r="H87" s="64">
        <v>262325</v>
      </c>
      <c r="I87" s="64">
        <f>Table1[[#This Row],[Contracted Amount]]*AF87</f>
        <v>135536.47617033651</v>
      </c>
      <c r="J87" s="44">
        <f>25672.5+210420+26232.5</f>
        <v>262325</v>
      </c>
      <c r="K87" s="44">
        <f>Table1[[#This Row],[Actual Expenditure (including admin fees)]]*AF87</f>
        <v>135536.47617033651</v>
      </c>
      <c r="L87" s="35" t="s">
        <v>71</v>
      </c>
      <c r="M87" s="42" t="s">
        <v>72</v>
      </c>
      <c r="N87" s="92">
        <v>42875</v>
      </c>
      <c r="O87" s="100" t="s">
        <v>73</v>
      </c>
      <c r="P87" s="42"/>
      <c r="Q87" s="42"/>
      <c r="R87" s="42">
        <v>42977</v>
      </c>
      <c r="S87" s="36" t="s">
        <v>71</v>
      </c>
      <c r="T87" s="89" t="s">
        <v>316</v>
      </c>
      <c r="U87" s="9"/>
      <c r="V87" s="118" t="s">
        <v>71</v>
      </c>
      <c r="W87" s="118" t="s">
        <v>124</v>
      </c>
      <c r="X87" s="136">
        <v>1</v>
      </c>
      <c r="Y87" s="22" t="s">
        <v>320</v>
      </c>
      <c r="Z87" s="34" t="s">
        <v>321</v>
      </c>
      <c r="AA87" s="34" t="s">
        <v>264</v>
      </c>
      <c r="AB87" s="5">
        <v>32.103881000000001</v>
      </c>
      <c r="AC87" s="5">
        <v>20.154771</v>
      </c>
      <c r="AE87" s="10">
        <f ca="1"/>
        <v>0.65270308939574351</v>
      </c>
      <c r="AF87" s="10">
        <v>0.51667388228470978</v>
      </c>
    </row>
    <row r="88" spans="1:32" s="10" customFormat="1" ht="28.5" customHeight="1">
      <c r="A88" s="96">
        <v>87</v>
      </c>
      <c r="B88" s="5" t="s">
        <v>66</v>
      </c>
      <c r="C88" s="5" t="s">
        <v>118</v>
      </c>
      <c r="D88" s="5" t="s">
        <v>14</v>
      </c>
      <c r="E88" s="5" t="s">
        <v>68</v>
      </c>
      <c r="F88" s="5" t="s">
        <v>69</v>
      </c>
      <c r="G88" s="35" t="s">
        <v>70</v>
      </c>
      <c r="H88" s="61">
        <f>927051.52-H66-H150</f>
        <v>561057.19999999995</v>
      </c>
      <c r="I88" s="61">
        <f>Table1[[#This Row],[Contracted Amount]]*AF88</f>
        <v>412574.37010599312</v>
      </c>
      <c r="J88" s="61">
        <v>579407.19999999995</v>
      </c>
      <c r="K88" s="61">
        <f>Table1[[#This Row],[Actual Expenditure (including admin fees)]]*AF88</f>
        <v>426068.07394126157</v>
      </c>
      <c r="L88" s="35" t="s">
        <v>71</v>
      </c>
      <c r="M88" s="42" t="s">
        <v>72</v>
      </c>
      <c r="N88" s="42">
        <v>42401</v>
      </c>
      <c r="O88" s="100" t="s">
        <v>73</v>
      </c>
      <c r="P88" s="42"/>
      <c r="Q88" s="42"/>
      <c r="R88" s="42">
        <v>42714</v>
      </c>
      <c r="S88" s="36" t="s">
        <v>71</v>
      </c>
      <c r="T88" s="89"/>
      <c r="U88" s="9"/>
      <c r="V88" s="118" t="s">
        <v>71</v>
      </c>
      <c r="W88" s="118" t="s">
        <v>74</v>
      </c>
      <c r="X88" s="136">
        <v>5</v>
      </c>
      <c r="Y88" s="23">
        <v>117</v>
      </c>
      <c r="Z88" s="34" t="str">
        <f>IF(ISERROR(VLOOKUP(Y88,'Data inputs '!$N$4:$O$23,2,0)),"",(VLOOKUP(Y88,'Data inputs '!$N$4:$O$23,2,0)))</f>
        <v>Germany(MOFA)</v>
      </c>
      <c r="AA88" s="34">
        <v>98720</v>
      </c>
      <c r="AB88" s="5"/>
      <c r="AC88" s="5"/>
      <c r="AE88" s="10">
        <f ca="1"/>
        <v>0.5551894866622179</v>
      </c>
      <c r="AF88" s="10">
        <v>0.73535170764405688</v>
      </c>
    </row>
    <row r="89" spans="1:32" s="10" customFormat="1" ht="28.5" customHeight="1">
      <c r="A89" s="96">
        <v>88</v>
      </c>
      <c r="B89" s="5" t="s">
        <v>66</v>
      </c>
      <c r="C89" s="5" t="s">
        <v>118</v>
      </c>
      <c r="D89" s="5" t="s">
        <v>14</v>
      </c>
      <c r="E89" s="5" t="s">
        <v>68</v>
      </c>
      <c r="F89" s="5" t="s">
        <v>79</v>
      </c>
      <c r="G89" s="35" t="s">
        <v>70</v>
      </c>
      <c r="H89" s="61">
        <v>42699</v>
      </c>
      <c r="I89" s="61">
        <f>Table1[[#This Row],[Contracted Amount]]*AF89</f>
        <v>24457.449392722727</v>
      </c>
      <c r="J89" s="61">
        <v>42699</v>
      </c>
      <c r="K89" s="61">
        <f>Table1[[#This Row],[Actual Expenditure (including admin fees)]]*AF89</f>
        <v>24457.449392722727</v>
      </c>
      <c r="L89" s="35" t="s">
        <v>71</v>
      </c>
      <c r="M89" s="42" t="s">
        <v>72</v>
      </c>
      <c r="N89" s="42">
        <v>43009</v>
      </c>
      <c r="O89" s="100" t="s">
        <v>73</v>
      </c>
      <c r="P89" s="42"/>
      <c r="Q89" s="42"/>
      <c r="R89" s="42">
        <v>43307</v>
      </c>
      <c r="S89" s="36" t="s">
        <v>71</v>
      </c>
      <c r="T89" s="89"/>
      <c r="U89" s="9"/>
      <c r="V89" s="118" t="s">
        <v>71</v>
      </c>
      <c r="W89" s="118" t="s">
        <v>80</v>
      </c>
      <c r="X89" s="136">
        <v>30</v>
      </c>
      <c r="Y89" s="23">
        <v>117</v>
      </c>
      <c r="Z89" s="34" t="str">
        <f>IF(ISERROR(VLOOKUP(Y89,'Data inputs '!$N$4:$O$23,2,0)),"",(VLOOKUP(Y89,'Data inputs '!$N$4:$O$23,2,0)))</f>
        <v>Germany(MOFA)</v>
      </c>
      <c r="AA89" s="34">
        <v>98720</v>
      </c>
      <c r="AB89" s="5"/>
      <c r="AC89" s="5"/>
      <c r="AE89" s="10">
        <f ca="1"/>
        <v>0.62698690268604695</v>
      </c>
      <c r="AF89" s="10">
        <v>0.57278740468682465</v>
      </c>
    </row>
    <row r="90" spans="1:32" s="10" customFormat="1" ht="28.5" customHeight="1">
      <c r="A90" s="96">
        <v>89</v>
      </c>
      <c r="B90" s="5" t="s">
        <v>66</v>
      </c>
      <c r="C90" s="5" t="s">
        <v>118</v>
      </c>
      <c r="D90" s="5" t="s">
        <v>14</v>
      </c>
      <c r="E90" s="5" t="s">
        <v>4</v>
      </c>
      <c r="F90" s="5" t="s">
        <v>90</v>
      </c>
      <c r="G90" s="35" t="s">
        <v>70</v>
      </c>
      <c r="H90" s="44">
        <f>(622115.12/10)*2+(40075/10)*2</f>
        <v>132438.024</v>
      </c>
      <c r="I90" s="44">
        <f>Table1[[#This Row],[Contracted Amount]]*AF90</f>
        <v>70167.383474101502</v>
      </c>
      <c r="J90" s="44">
        <f>SUM('[1]2019 07 31 PO Budget activity'!$I$301:$I$303)</f>
        <v>477284.50999999995</v>
      </c>
      <c r="K90" s="44">
        <f>Table1[[#This Row],[Actual Expenditure (including admin fees)]]*AF90</f>
        <v>252871.52607636779</v>
      </c>
      <c r="L90" s="35" t="s">
        <v>71</v>
      </c>
      <c r="M90" s="42" t="s">
        <v>72</v>
      </c>
      <c r="N90" s="42">
        <v>42401</v>
      </c>
      <c r="O90" s="100" t="s">
        <v>73</v>
      </c>
      <c r="P90" s="42"/>
      <c r="Q90" s="42"/>
      <c r="R90" s="42">
        <v>42709</v>
      </c>
      <c r="S90" s="36" t="s">
        <v>71</v>
      </c>
      <c r="T90" s="89"/>
      <c r="U90" s="9"/>
      <c r="V90" s="118" t="s">
        <v>71</v>
      </c>
      <c r="W90" s="118" t="s">
        <v>91</v>
      </c>
      <c r="X90" s="136">
        <v>2</v>
      </c>
      <c r="Y90" s="22" t="s">
        <v>288</v>
      </c>
      <c r="Z90" s="34" t="s">
        <v>289</v>
      </c>
      <c r="AA90" s="34">
        <v>98720</v>
      </c>
      <c r="AB90" s="5">
        <v>32.077311111111115</v>
      </c>
      <c r="AC90" s="5">
        <v>20.097869444444445</v>
      </c>
      <c r="AE90" s="10">
        <f ca="1"/>
        <v>0.74934122820936255</v>
      </c>
      <c r="AF90" s="10">
        <v>0.52981297481531053</v>
      </c>
    </row>
    <row r="91" spans="1:32" s="10" customFormat="1" ht="28.5" customHeight="1">
      <c r="A91" s="96">
        <v>90</v>
      </c>
      <c r="B91" s="5" t="s">
        <v>66</v>
      </c>
      <c r="C91" s="5" t="s">
        <v>118</v>
      </c>
      <c r="D91" s="5" t="s">
        <v>14</v>
      </c>
      <c r="E91" s="5" t="s">
        <v>4</v>
      </c>
      <c r="F91" s="5" t="s">
        <v>90</v>
      </c>
      <c r="G91" s="35" t="s">
        <v>70</v>
      </c>
      <c r="H91" s="44">
        <f>(622115.12/10)+(40075/10)</f>
        <v>66219.012000000002</v>
      </c>
      <c r="I91" s="44">
        <f>Table1[[#This Row],[Contracted Amount]]*AF91</f>
        <v>42893.427942787057</v>
      </c>
      <c r="J91" s="43" t="s">
        <v>322</v>
      </c>
      <c r="K91" s="43" t="e">
        <f>Table1[[#This Row],[Actual Expenditure (including admin fees)]]*AF91</f>
        <v>#VALUE!</v>
      </c>
      <c r="L91" s="35" t="s">
        <v>71</v>
      </c>
      <c r="M91" s="42" t="s">
        <v>72</v>
      </c>
      <c r="N91" s="42">
        <v>42401</v>
      </c>
      <c r="O91" s="100" t="s">
        <v>73</v>
      </c>
      <c r="P91" s="42"/>
      <c r="Q91" s="42"/>
      <c r="R91" s="42">
        <v>42709</v>
      </c>
      <c r="S91" s="36" t="s">
        <v>71</v>
      </c>
      <c r="T91" s="89"/>
      <c r="U91" s="9"/>
      <c r="V91" s="118" t="s">
        <v>71</v>
      </c>
      <c r="W91" s="118" t="s">
        <v>91</v>
      </c>
      <c r="X91" s="136">
        <v>1</v>
      </c>
      <c r="Y91" s="22" t="s">
        <v>288</v>
      </c>
      <c r="Z91" s="34" t="s">
        <v>289</v>
      </c>
      <c r="AA91" s="34">
        <v>98720</v>
      </c>
      <c r="AB91" s="5">
        <v>32.050983333333328</v>
      </c>
      <c r="AC91" s="5">
        <v>20.110733333333336</v>
      </c>
      <c r="AE91" s="10">
        <f ca="1"/>
        <v>0.68321949062120024</v>
      </c>
      <c r="AF91" s="10">
        <v>0.64775095017707385</v>
      </c>
    </row>
    <row r="92" spans="1:32" s="10" customFormat="1" ht="28.5" customHeight="1">
      <c r="A92" s="96">
        <v>91</v>
      </c>
      <c r="B92" s="5" t="s">
        <v>66</v>
      </c>
      <c r="C92" s="5" t="s">
        <v>118</v>
      </c>
      <c r="D92" s="5" t="s">
        <v>14</v>
      </c>
      <c r="E92" s="5" t="s">
        <v>4</v>
      </c>
      <c r="F92" s="5" t="s">
        <v>90</v>
      </c>
      <c r="G92" s="35" t="s">
        <v>70</v>
      </c>
      <c r="H92" s="44">
        <f>(622115.12/10)*2+(40075/10)*2</f>
        <v>132438.024</v>
      </c>
      <c r="I92" s="44">
        <f>Table1[[#This Row],[Contracted Amount]]*AF92</f>
        <v>67281.75887532116</v>
      </c>
      <c r="J92" s="43" t="s">
        <v>322</v>
      </c>
      <c r="K92" s="43" t="e">
        <f>Table1[[#This Row],[Actual Expenditure (including admin fees)]]*AF92</f>
        <v>#VALUE!</v>
      </c>
      <c r="L92" s="35" t="s">
        <v>71</v>
      </c>
      <c r="M92" s="42" t="s">
        <v>72</v>
      </c>
      <c r="N92" s="42">
        <v>42401</v>
      </c>
      <c r="O92" s="100" t="s">
        <v>73</v>
      </c>
      <c r="P92" s="42"/>
      <c r="Q92" s="42"/>
      <c r="R92" s="42">
        <v>42709</v>
      </c>
      <c r="S92" s="36" t="s">
        <v>71</v>
      </c>
      <c r="T92" s="89"/>
      <c r="U92" s="9"/>
      <c r="V92" s="118" t="s">
        <v>71</v>
      </c>
      <c r="W92" s="118" t="s">
        <v>91</v>
      </c>
      <c r="X92" s="136">
        <v>2</v>
      </c>
      <c r="Y92" s="22" t="s">
        <v>288</v>
      </c>
      <c r="Z92" s="34" t="s">
        <v>289</v>
      </c>
      <c r="AA92" s="34">
        <v>98720</v>
      </c>
      <c r="AB92" s="5">
        <v>32.110086111111116</v>
      </c>
      <c r="AC92" s="5">
        <v>20.089680555555553</v>
      </c>
      <c r="AE92" s="10">
        <f ca="1"/>
        <v>0.64747702540946928</v>
      </c>
      <c r="AF92" s="10">
        <v>0.50802448453414828</v>
      </c>
    </row>
    <row r="93" spans="1:32" s="10" customFormat="1" ht="28.5" customHeight="1">
      <c r="A93" s="96">
        <v>92</v>
      </c>
      <c r="B93" s="5" t="s">
        <v>66</v>
      </c>
      <c r="C93" s="5" t="s">
        <v>118</v>
      </c>
      <c r="D93" s="5" t="s">
        <v>14</v>
      </c>
      <c r="E93" s="5" t="s">
        <v>4</v>
      </c>
      <c r="F93" s="5" t="s">
        <v>90</v>
      </c>
      <c r="G93" s="35" t="s">
        <v>70</v>
      </c>
      <c r="H93" s="44">
        <f>(622115.12/10)*2+(40075/10)*2</f>
        <v>132438.024</v>
      </c>
      <c r="I93" s="44">
        <f>Table1[[#This Row],[Contracted Amount]]*AF93</f>
        <v>81043.465812094495</v>
      </c>
      <c r="J93" s="43" t="s">
        <v>322</v>
      </c>
      <c r="K93" s="43" t="e">
        <f>Table1[[#This Row],[Actual Expenditure (including admin fees)]]*AF93</f>
        <v>#VALUE!</v>
      </c>
      <c r="L93" s="35" t="s">
        <v>71</v>
      </c>
      <c r="M93" s="42" t="s">
        <v>72</v>
      </c>
      <c r="N93" s="42">
        <v>42401</v>
      </c>
      <c r="O93" s="100" t="s">
        <v>73</v>
      </c>
      <c r="P93" s="42"/>
      <c r="Q93" s="42"/>
      <c r="R93" s="42">
        <v>42709</v>
      </c>
      <c r="S93" s="36" t="s">
        <v>71</v>
      </c>
      <c r="T93" s="89" t="s">
        <v>323</v>
      </c>
      <c r="U93" s="9"/>
      <c r="V93" s="118" t="s">
        <v>71</v>
      </c>
      <c r="W93" s="118" t="s">
        <v>91</v>
      </c>
      <c r="X93" s="136">
        <v>2</v>
      </c>
      <c r="Y93" s="22" t="s">
        <v>288</v>
      </c>
      <c r="Z93" s="34" t="s">
        <v>289</v>
      </c>
      <c r="AA93" s="34">
        <v>98720</v>
      </c>
      <c r="AB93" s="5">
        <v>32.113983333333337</v>
      </c>
      <c r="AC93" s="5">
        <v>20.075530555555556</v>
      </c>
      <c r="AE93" s="10">
        <f ca="1"/>
        <v>0.52667178374418899</v>
      </c>
      <c r="AF93" s="10">
        <v>0.61193502714971415</v>
      </c>
    </row>
    <row r="94" spans="1:32" s="10" customFormat="1" ht="28.5" customHeight="1">
      <c r="A94" s="96">
        <v>93</v>
      </c>
      <c r="B94" s="5" t="s">
        <v>66</v>
      </c>
      <c r="C94" s="5" t="s">
        <v>118</v>
      </c>
      <c r="D94" s="5" t="s">
        <v>14</v>
      </c>
      <c r="E94" s="5" t="s">
        <v>4</v>
      </c>
      <c r="F94" s="5" t="s">
        <v>90</v>
      </c>
      <c r="G94" s="35" t="s">
        <v>70</v>
      </c>
      <c r="H94" s="44">
        <f>(622115.12/10)+(40075/10)</f>
        <v>66219.012000000002</v>
      </c>
      <c r="I94" s="44">
        <f>Table1[[#This Row],[Contracted Amount]]*AF94</f>
        <v>36325.809452065427</v>
      </c>
      <c r="J94" s="43" t="s">
        <v>322</v>
      </c>
      <c r="K94" s="43" t="e">
        <f>Table1[[#This Row],[Actual Expenditure (including admin fees)]]*AF94</f>
        <v>#VALUE!</v>
      </c>
      <c r="L94" s="35" t="s">
        <v>71</v>
      </c>
      <c r="M94" s="42" t="s">
        <v>72</v>
      </c>
      <c r="N94" s="42">
        <v>42401</v>
      </c>
      <c r="O94" s="100" t="s">
        <v>73</v>
      </c>
      <c r="P94" s="42"/>
      <c r="Q94" s="42"/>
      <c r="R94" s="42">
        <v>42709</v>
      </c>
      <c r="S94" s="36" t="s">
        <v>71</v>
      </c>
      <c r="T94" s="89"/>
      <c r="U94" s="9"/>
      <c r="V94" s="118" t="s">
        <v>71</v>
      </c>
      <c r="W94" s="118" t="s">
        <v>91</v>
      </c>
      <c r="X94" s="136">
        <v>1</v>
      </c>
      <c r="Y94" s="22" t="s">
        <v>288</v>
      </c>
      <c r="Z94" s="34" t="s">
        <v>289</v>
      </c>
      <c r="AA94" s="34">
        <v>98720</v>
      </c>
      <c r="AB94" s="5">
        <v>32.019911111111114</v>
      </c>
      <c r="AC94" s="5">
        <v>20.123897222222222</v>
      </c>
      <c r="AE94" s="10">
        <f ca="1"/>
        <v>0.5881279497427172</v>
      </c>
      <c r="AF94" s="10">
        <v>0.54857069525690638</v>
      </c>
    </row>
    <row r="95" spans="1:32" s="10" customFormat="1" ht="28.5" customHeight="1">
      <c r="A95" s="96">
        <v>94</v>
      </c>
      <c r="B95" s="5" t="s">
        <v>66</v>
      </c>
      <c r="C95" s="5" t="s">
        <v>118</v>
      </c>
      <c r="D95" s="5" t="s">
        <v>14</v>
      </c>
      <c r="E95" s="5" t="s">
        <v>4</v>
      </c>
      <c r="F95" s="5" t="s">
        <v>107</v>
      </c>
      <c r="G95" s="35" t="s">
        <v>70</v>
      </c>
      <c r="H95" s="46">
        <f>(312804.14/7)+(43885.27/10)</f>
        <v>49074.832714285716</v>
      </c>
      <c r="I95" s="46">
        <f>Table1[[#This Row],[Contracted Amount]]*AF95</f>
        <v>35565.927217974313</v>
      </c>
      <c r="J95" s="46">
        <f>(312804.14/7)+(43885.27/10)</f>
        <v>49074.832714285716</v>
      </c>
      <c r="K95" s="46">
        <f>Table1[[#This Row],[Actual Expenditure (including admin fees)]]*AF95</f>
        <v>35565.927217974313</v>
      </c>
      <c r="L95" s="35" t="s">
        <v>71</v>
      </c>
      <c r="M95" s="42" t="s">
        <v>72</v>
      </c>
      <c r="N95" s="42">
        <v>42461</v>
      </c>
      <c r="O95" s="100" t="s">
        <v>73</v>
      </c>
      <c r="P95" s="42"/>
      <c r="Q95" s="42"/>
      <c r="R95" s="42">
        <v>42770</v>
      </c>
      <c r="S95" s="36" t="s">
        <v>71</v>
      </c>
      <c r="T95" s="89" t="s">
        <v>324</v>
      </c>
      <c r="U95" s="9"/>
      <c r="V95" s="118" t="s">
        <v>71</v>
      </c>
      <c r="W95" s="118" t="s">
        <v>108</v>
      </c>
      <c r="X95" s="136">
        <v>1</v>
      </c>
      <c r="Y95" s="22" t="s">
        <v>288</v>
      </c>
      <c r="Z95" s="34" t="s">
        <v>289</v>
      </c>
      <c r="AA95" s="34">
        <v>98720</v>
      </c>
      <c r="AB95" s="5">
        <v>32.203122222222227</v>
      </c>
      <c r="AC95" s="5">
        <v>20.180583333333335</v>
      </c>
      <c r="AE95" s="10">
        <f ca="1"/>
        <v>0.66641655169720904</v>
      </c>
      <c r="AF95" s="10">
        <v>0.7247284453324494</v>
      </c>
    </row>
    <row r="96" spans="1:32" s="10" customFormat="1" ht="28.5" customHeight="1">
      <c r="A96" s="96">
        <v>95</v>
      </c>
      <c r="B96" s="5" t="s">
        <v>66</v>
      </c>
      <c r="C96" s="5" t="s">
        <v>118</v>
      </c>
      <c r="D96" s="5" t="s">
        <v>14</v>
      </c>
      <c r="E96" s="5" t="s">
        <v>112</v>
      </c>
      <c r="F96" s="5" t="s">
        <v>107</v>
      </c>
      <c r="G96" s="35" t="s">
        <v>70</v>
      </c>
      <c r="H96" s="46">
        <f>(312804.14/7)+(43885.27/10)</f>
        <v>49074.832714285716</v>
      </c>
      <c r="I96" s="46">
        <f>Table1[[#This Row],[Contracted Amount]]*AF96</f>
        <v>31202.061227225091</v>
      </c>
      <c r="J96" s="46">
        <f>(312804.14/7)+(43885.27/10)</f>
        <v>49074.832714285716</v>
      </c>
      <c r="K96" s="46">
        <f>Table1[[#This Row],[Actual Expenditure (including admin fees)]]*AF96</f>
        <v>31202.061227225091</v>
      </c>
      <c r="L96" s="35" t="s">
        <v>71</v>
      </c>
      <c r="M96" s="42" t="s">
        <v>72</v>
      </c>
      <c r="N96" s="42">
        <v>42461</v>
      </c>
      <c r="O96" s="100" t="s">
        <v>73</v>
      </c>
      <c r="P96" s="42"/>
      <c r="Q96" s="42"/>
      <c r="R96" s="42">
        <v>42767</v>
      </c>
      <c r="S96" s="36" t="s">
        <v>71</v>
      </c>
      <c r="T96" s="89" t="s">
        <v>325</v>
      </c>
      <c r="U96" s="9"/>
      <c r="V96" s="118" t="s">
        <v>71</v>
      </c>
      <c r="W96" s="118" t="s">
        <v>108</v>
      </c>
      <c r="X96" s="136">
        <v>1</v>
      </c>
      <c r="Y96" s="22" t="s">
        <v>288</v>
      </c>
      <c r="Z96" s="34" t="s">
        <v>289</v>
      </c>
      <c r="AA96" s="34">
        <v>98720</v>
      </c>
      <c r="AB96" s="5">
        <v>32.113956000000002</v>
      </c>
      <c r="AC96" s="5">
        <v>20.075614000000002</v>
      </c>
      <c r="AE96" s="10">
        <f ca="1"/>
        <v>0.73058141466120163</v>
      </c>
      <c r="AF96" s="10">
        <v>0.63580575829741237</v>
      </c>
    </row>
    <row r="97" spans="1:32" s="10" customFormat="1" ht="38.25">
      <c r="A97" s="96">
        <v>96</v>
      </c>
      <c r="B97" s="5" t="s">
        <v>66</v>
      </c>
      <c r="C97" s="5" t="s">
        <v>118</v>
      </c>
      <c r="D97" s="5" t="s">
        <v>14</v>
      </c>
      <c r="E97" s="5" t="s">
        <v>4</v>
      </c>
      <c r="F97" s="29" t="s">
        <v>125</v>
      </c>
      <c r="G97" s="35" t="s">
        <v>70</v>
      </c>
      <c r="H97" s="44"/>
      <c r="I97" s="44">
        <f>Table1[[#This Row],[Contracted Amount]]*AF97</f>
        <v>0</v>
      </c>
      <c r="J97" s="44"/>
      <c r="K97" s="44">
        <f>Table1[[#This Row],[Actual Expenditure (including admin fees)]]*AF97</f>
        <v>0</v>
      </c>
      <c r="L97" s="35"/>
      <c r="M97" s="42"/>
      <c r="N97" s="42"/>
      <c r="O97" s="100"/>
      <c r="P97" s="42"/>
      <c r="Q97" s="42"/>
      <c r="R97" s="42"/>
      <c r="S97" s="36" t="s">
        <v>266</v>
      </c>
      <c r="T97" s="89" t="s">
        <v>326</v>
      </c>
      <c r="U97" s="9"/>
      <c r="V97" s="118" t="s">
        <v>266</v>
      </c>
      <c r="W97" s="118"/>
      <c r="X97" s="136"/>
      <c r="Y97" s="22"/>
      <c r="Z97" s="34" t="str">
        <f>IF(ISERROR(VLOOKUP(Y97,'Data inputs '!$N$4:$O$23,2,0)),"",(VLOOKUP(Y97,'Data inputs '!$N$4:$O$23,2,0)))</f>
        <v/>
      </c>
      <c r="AA97" s="34"/>
      <c r="AB97" s="5"/>
      <c r="AC97" s="5"/>
      <c r="AE97" s="10">
        <f ca="1"/>
        <v>0.65616143832098239</v>
      </c>
      <c r="AF97" s="10">
        <v>0.50195547479774349</v>
      </c>
    </row>
    <row r="98" spans="1:32" s="10" customFormat="1" ht="28.5" customHeight="1">
      <c r="A98" s="96">
        <v>97</v>
      </c>
      <c r="B98" s="5" t="s">
        <v>66</v>
      </c>
      <c r="C98" s="5" t="s">
        <v>118</v>
      </c>
      <c r="D98" s="5" t="s">
        <v>14</v>
      </c>
      <c r="E98" s="5" t="s">
        <v>4</v>
      </c>
      <c r="F98" s="5" t="s">
        <v>125</v>
      </c>
      <c r="G98" s="35" t="s">
        <v>70</v>
      </c>
      <c r="H98" s="46">
        <f>223382.46+11054.01</f>
        <v>234436.47</v>
      </c>
      <c r="I98" s="46">
        <f>Table1[[#This Row],[Contracted Amount]]*AF98</f>
        <v>137656.04539987899</v>
      </c>
      <c r="J98" s="44">
        <f>223382.46+11054.01+26504.37</f>
        <v>260940.84</v>
      </c>
      <c r="K98" s="44">
        <f>Table1[[#This Row],[Actual Expenditure (including admin fees)]]*AF98</f>
        <v>153218.84055719897</v>
      </c>
      <c r="L98" s="35" t="s">
        <v>71</v>
      </c>
      <c r="M98" s="42" t="s">
        <v>72</v>
      </c>
      <c r="N98" s="92">
        <v>42916</v>
      </c>
      <c r="O98" s="100" t="s">
        <v>73</v>
      </c>
      <c r="P98" s="42"/>
      <c r="Q98" s="42"/>
      <c r="R98" s="42">
        <v>43465</v>
      </c>
      <c r="S98" s="36" t="s">
        <v>71</v>
      </c>
      <c r="T98" s="89"/>
      <c r="U98" s="9"/>
      <c r="V98" s="118" t="s">
        <v>71</v>
      </c>
      <c r="W98" s="118" t="s">
        <v>126</v>
      </c>
      <c r="X98" s="136">
        <v>1</v>
      </c>
      <c r="Y98" s="23" t="s">
        <v>327</v>
      </c>
      <c r="Z98" s="34" t="s">
        <v>328</v>
      </c>
      <c r="AA98" s="34">
        <v>98720</v>
      </c>
      <c r="AB98" s="5">
        <v>32.053472222222219</v>
      </c>
      <c r="AC98" s="5">
        <v>20.109313888888892</v>
      </c>
      <c r="AE98" s="10">
        <f ca="1"/>
        <v>0.58369882595197464</v>
      </c>
      <c r="AF98" s="10">
        <v>0.58717845990378115</v>
      </c>
    </row>
    <row r="99" spans="1:32" s="10" customFormat="1" ht="28.5" customHeight="1">
      <c r="A99" s="96">
        <v>98</v>
      </c>
      <c r="B99" s="5" t="s">
        <v>66</v>
      </c>
      <c r="C99" s="5" t="s">
        <v>118</v>
      </c>
      <c r="D99" s="5" t="s">
        <v>14</v>
      </c>
      <c r="E99" s="5" t="s">
        <v>4</v>
      </c>
      <c r="F99" s="5" t="s">
        <v>127</v>
      </c>
      <c r="G99" s="35" t="s">
        <v>70</v>
      </c>
      <c r="H99" s="46">
        <f>191858+(29750/4)+(12738.85/4)</f>
        <v>202480.21249999999</v>
      </c>
      <c r="I99" s="46">
        <f>Table1[[#This Row],[Contracted Amount]]*AF99</f>
        <v>132320.19478103064</v>
      </c>
      <c r="J99" s="46">
        <f>191858+(29750/4)+(12738.85/4)</f>
        <v>202480.21249999999</v>
      </c>
      <c r="K99" s="46">
        <f>Table1[[#This Row],[Actual Expenditure (including admin fees)]]*AF99</f>
        <v>132320.19478103064</v>
      </c>
      <c r="L99" s="35" t="s">
        <v>71</v>
      </c>
      <c r="M99" s="42" t="s">
        <v>72</v>
      </c>
      <c r="N99" s="42">
        <v>42606</v>
      </c>
      <c r="O99" s="100" t="s">
        <v>73</v>
      </c>
      <c r="P99" s="42"/>
      <c r="Q99" s="42"/>
      <c r="R99" s="42">
        <v>42735</v>
      </c>
      <c r="S99" s="36" t="s">
        <v>71</v>
      </c>
      <c r="T99" s="89" t="s">
        <v>272</v>
      </c>
      <c r="U99" s="9"/>
      <c r="V99" s="118" t="s">
        <v>71</v>
      </c>
      <c r="W99" s="118" t="s">
        <v>128</v>
      </c>
      <c r="X99" s="136">
        <v>1</v>
      </c>
      <c r="Y99" s="91" t="s">
        <v>329</v>
      </c>
      <c r="Z99" s="88" t="s">
        <v>330</v>
      </c>
      <c r="AA99" s="34">
        <v>98720</v>
      </c>
      <c r="AB99" s="5">
        <v>32.077311111111115</v>
      </c>
      <c r="AC99" s="5">
        <v>20.097869444444445</v>
      </c>
      <c r="AE99" s="10">
        <f ca="1"/>
        <v>0.51118694951909893</v>
      </c>
      <c r="AF99" s="10">
        <v>0.65349691778415453</v>
      </c>
    </row>
    <row r="100" spans="1:32" s="10" customFormat="1" ht="28.5" customHeight="1">
      <c r="A100" s="96">
        <v>99</v>
      </c>
      <c r="B100" s="5" t="s">
        <v>66</v>
      </c>
      <c r="C100" s="5" t="s">
        <v>118</v>
      </c>
      <c r="D100" s="5" t="s">
        <v>14</v>
      </c>
      <c r="E100" s="5" t="s">
        <v>4</v>
      </c>
      <c r="F100" s="5" t="s">
        <v>127</v>
      </c>
      <c r="G100" s="35" t="s">
        <v>70</v>
      </c>
      <c r="H100" s="46">
        <f>192086+(29750/4)+(12738.85/4)</f>
        <v>202708.21249999999</v>
      </c>
      <c r="I100" s="46">
        <f>Table1[[#This Row],[Contracted Amount]]*AF100</f>
        <v>104547.64555491094</v>
      </c>
      <c r="J100" s="46">
        <f>192086+(29750/4)+(12738.85/4)</f>
        <v>202708.21249999999</v>
      </c>
      <c r="K100" s="46">
        <f>Table1[[#This Row],[Actual Expenditure (including admin fees)]]*AF100</f>
        <v>104547.64555491094</v>
      </c>
      <c r="L100" s="35" t="s">
        <v>71</v>
      </c>
      <c r="M100" s="42" t="s">
        <v>72</v>
      </c>
      <c r="N100" s="42">
        <v>42606</v>
      </c>
      <c r="O100" s="100" t="s">
        <v>73</v>
      </c>
      <c r="P100" s="42"/>
      <c r="Q100" s="42"/>
      <c r="R100" s="42">
        <v>42735</v>
      </c>
      <c r="S100" s="36" t="s">
        <v>71</v>
      </c>
      <c r="T100" s="89" t="s">
        <v>272</v>
      </c>
      <c r="U100" s="9"/>
      <c r="V100" s="118" t="s">
        <v>71</v>
      </c>
      <c r="W100" s="118" t="s">
        <v>128</v>
      </c>
      <c r="X100" s="136">
        <v>1</v>
      </c>
      <c r="Y100" s="91" t="s">
        <v>329</v>
      </c>
      <c r="Z100" s="88" t="s">
        <v>330</v>
      </c>
      <c r="AA100" s="34">
        <v>98720</v>
      </c>
      <c r="AB100" s="5">
        <v>32.076950000000004</v>
      </c>
      <c r="AC100" s="5">
        <v>20.092655555555556</v>
      </c>
      <c r="AE100" s="10">
        <f ca="1"/>
        <v>0.63459737522249715</v>
      </c>
      <c r="AF100" s="10">
        <v>0.51575436567431099</v>
      </c>
    </row>
    <row r="101" spans="1:32" s="10" customFormat="1" ht="28.5" customHeight="1">
      <c r="A101" s="96">
        <v>100</v>
      </c>
      <c r="B101" s="5" t="s">
        <v>66</v>
      </c>
      <c r="C101" s="5" t="s">
        <v>118</v>
      </c>
      <c r="D101" s="5" t="s">
        <v>14</v>
      </c>
      <c r="E101" s="5" t="s">
        <v>4</v>
      </c>
      <c r="F101" s="5" t="s">
        <v>127</v>
      </c>
      <c r="G101" s="35" t="s">
        <v>70</v>
      </c>
      <c r="H101" s="46">
        <f>185741.85+(29750/4)+(12738.85/4)</f>
        <v>196364.0625</v>
      </c>
      <c r="I101" s="46">
        <f>Table1[[#This Row],[Contracted Amount]]*AF101</f>
        <v>103709.52895584996</v>
      </c>
      <c r="J101" s="46">
        <f>185741.85+(29750/4)+(12738.85/4)</f>
        <v>196364.0625</v>
      </c>
      <c r="K101" s="46">
        <f>Table1[[#This Row],[Actual Expenditure (including admin fees)]]*AF101</f>
        <v>103709.52895584996</v>
      </c>
      <c r="L101" s="35" t="s">
        <v>71</v>
      </c>
      <c r="M101" s="42" t="s">
        <v>72</v>
      </c>
      <c r="N101" s="42">
        <v>42606</v>
      </c>
      <c r="O101" s="100" t="s">
        <v>73</v>
      </c>
      <c r="P101" s="42"/>
      <c r="Q101" s="42"/>
      <c r="R101" s="42">
        <v>42735</v>
      </c>
      <c r="S101" s="36" t="s">
        <v>71</v>
      </c>
      <c r="T101" s="89" t="s">
        <v>272</v>
      </c>
      <c r="U101" s="9"/>
      <c r="V101" s="118" t="s">
        <v>71</v>
      </c>
      <c r="W101" s="118" t="s">
        <v>128</v>
      </c>
      <c r="X101" s="136">
        <v>1</v>
      </c>
      <c r="Y101" s="91" t="s">
        <v>329</v>
      </c>
      <c r="Z101" s="88" t="s">
        <v>330</v>
      </c>
      <c r="AA101" s="34">
        <v>98720</v>
      </c>
      <c r="AB101" s="5">
        <v>32.110086111111116</v>
      </c>
      <c r="AC101" s="5">
        <v>20.089680555555553</v>
      </c>
      <c r="AE101" s="10">
        <f ca="1"/>
        <v>0.54357702389255691</v>
      </c>
      <c r="AF101" s="10">
        <v>0.52814923278463932</v>
      </c>
    </row>
    <row r="102" spans="1:32" s="10" customFormat="1" ht="28.5" customHeight="1">
      <c r="A102" s="96">
        <v>101</v>
      </c>
      <c r="B102" s="5" t="s">
        <v>66</v>
      </c>
      <c r="C102" s="5" t="s">
        <v>118</v>
      </c>
      <c r="D102" s="5" t="s">
        <v>14</v>
      </c>
      <c r="E102" s="5" t="s">
        <v>4</v>
      </c>
      <c r="F102" s="5" t="s">
        <v>127</v>
      </c>
      <c r="G102" s="35" t="s">
        <v>70</v>
      </c>
      <c r="H102" s="46">
        <f>191687+(29750/4)+(12738.85/4)</f>
        <v>202309.21249999999</v>
      </c>
      <c r="I102" s="46">
        <f>Table1[[#This Row],[Contracted Amount]]*AF102</f>
        <v>101892.11839518533</v>
      </c>
      <c r="J102" s="46">
        <f>191687+(29750/4)+(12738.85/4)</f>
        <v>202309.21249999999</v>
      </c>
      <c r="K102" s="46">
        <f>Table1[[#This Row],[Actual Expenditure (including admin fees)]]*AF102</f>
        <v>101892.11839518533</v>
      </c>
      <c r="L102" s="35" t="s">
        <v>71</v>
      </c>
      <c r="M102" s="42" t="s">
        <v>72</v>
      </c>
      <c r="N102" s="42">
        <v>42606</v>
      </c>
      <c r="O102" s="100" t="s">
        <v>73</v>
      </c>
      <c r="P102" s="42"/>
      <c r="Q102" s="42"/>
      <c r="R102" s="42">
        <v>42735</v>
      </c>
      <c r="S102" s="36" t="s">
        <v>71</v>
      </c>
      <c r="T102" s="89"/>
      <c r="U102" s="9"/>
      <c r="V102" s="118" t="s">
        <v>71</v>
      </c>
      <c r="W102" s="118" t="s">
        <v>128</v>
      </c>
      <c r="X102" s="136">
        <v>1</v>
      </c>
      <c r="Y102" s="91" t="s">
        <v>329</v>
      </c>
      <c r="Z102" s="88" t="s">
        <v>330</v>
      </c>
      <c r="AA102" s="34">
        <v>98720</v>
      </c>
      <c r="AB102" s="5">
        <v>32.203122222222227</v>
      </c>
      <c r="AC102" s="5">
        <v>20.180583333333335</v>
      </c>
      <c r="AE102" s="10">
        <f ca="1"/>
        <v>0.58460727704149085</v>
      </c>
      <c r="AF102" s="10">
        <v>0.50364546990258952</v>
      </c>
    </row>
    <row r="103" spans="1:32" s="10" customFormat="1" ht="28.5" customHeight="1">
      <c r="A103" s="96">
        <v>102</v>
      </c>
      <c r="B103" s="5" t="s">
        <v>66</v>
      </c>
      <c r="C103" s="5" t="s">
        <v>118</v>
      </c>
      <c r="D103" s="5" t="s">
        <v>14</v>
      </c>
      <c r="E103" s="5" t="s">
        <v>112</v>
      </c>
      <c r="F103" s="5" t="s">
        <v>129</v>
      </c>
      <c r="G103" s="35" t="s">
        <v>70</v>
      </c>
      <c r="H103" s="46">
        <f>116716.67+6900</f>
        <v>123616.67</v>
      </c>
      <c r="I103" s="46">
        <f>Table1[[#This Row],[Contracted Amount]]*AF103</f>
        <v>72661.663250131227</v>
      </c>
      <c r="J103" s="44">
        <f>116716.67+6900</f>
        <v>123616.67</v>
      </c>
      <c r="K103" s="44">
        <f>Table1[[#This Row],[Actual Expenditure (including admin fees)]]*AF103</f>
        <v>72661.663250131227</v>
      </c>
      <c r="L103" s="35" t="s">
        <v>71</v>
      </c>
      <c r="M103" s="42" t="s">
        <v>72</v>
      </c>
      <c r="N103" s="92">
        <v>42892</v>
      </c>
      <c r="O103" s="100" t="s">
        <v>73</v>
      </c>
      <c r="P103" s="42"/>
      <c r="Q103" s="42"/>
      <c r="R103" s="42">
        <v>43100</v>
      </c>
      <c r="S103" s="36" t="s">
        <v>71</v>
      </c>
      <c r="T103" s="89" t="s">
        <v>272</v>
      </c>
      <c r="U103" s="9"/>
      <c r="V103" s="118" t="s">
        <v>71</v>
      </c>
      <c r="W103" s="118" t="s">
        <v>130</v>
      </c>
      <c r="X103" s="136">
        <v>1</v>
      </c>
      <c r="Y103" s="22" t="s">
        <v>331</v>
      </c>
      <c r="Z103" s="34" t="s">
        <v>332</v>
      </c>
      <c r="AA103" s="34">
        <v>98720</v>
      </c>
      <c r="AB103" s="5">
        <v>32.113983333333337</v>
      </c>
      <c r="AC103" s="5">
        <v>20.075530555555556</v>
      </c>
      <c r="AE103" s="10">
        <f ca="1"/>
        <v>0.50965333342457986</v>
      </c>
      <c r="AF103" s="10">
        <v>0.5877982577117733</v>
      </c>
    </row>
    <row r="104" spans="1:32" s="10" customFormat="1" ht="28.5" customHeight="1">
      <c r="A104" s="96">
        <v>103</v>
      </c>
      <c r="B104" s="5" t="s">
        <v>66</v>
      </c>
      <c r="C104" s="5" t="s">
        <v>118</v>
      </c>
      <c r="D104" s="5" t="s">
        <v>14</v>
      </c>
      <c r="E104" s="5" t="s">
        <v>112</v>
      </c>
      <c r="F104" s="5" t="s">
        <v>129</v>
      </c>
      <c r="G104" s="35" t="s">
        <v>70</v>
      </c>
      <c r="H104" s="46">
        <f>37488+943.4</f>
        <v>38431.4</v>
      </c>
      <c r="I104" s="46">
        <f>Table1[[#This Row],[Contracted Amount]]*AF104</f>
        <v>27753.216591817891</v>
      </c>
      <c r="J104" s="44">
        <f>37488+943.4</f>
        <v>38431.4</v>
      </c>
      <c r="K104" s="44">
        <f>Table1[[#This Row],[Actual Expenditure (including admin fees)]]*AF104</f>
        <v>27753.216591817891</v>
      </c>
      <c r="L104" s="35" t="s">
        <v>71</v>
      </c>
      <c r="M104" s="42" t="s">
        <v>72</v>
      </c>
      <c r="N104" s="92">
        <v>42986</v>
      </c>
      <c r="O104" s="100" t="s">
        <v>73</v>
      </c>
      <c r="P104" s="42"/>
      <c r="Q104" s="42"/>
      <c r="R104" s="42">
        <v>43100</v>
      </c>
      <c r="S104" s="36" t="s">
        <v>71</v>
      </c>
      <c r="T104" s="89"/>
      <c r="U104" s="9"/>
      <c r="V104" s="118" t="s">
        <v>71</v>
      </c>
      <c r="W104" s="118" t="s">
        <v>131</v>
      </c>
      <c r="X104" s="136">
        <v>2</v>
      </c>
      <c r="Y104" s="23">
        <v>10283</v>
      </c>
      <c r="Z104" s="34" t="str">
        <f>IF(ISERROR(VLOOKUP(Y104,'Data inputs '!$N$4:$O$23,2,0)),"",(VLOOKUP(Y104,'Data inputs '!$N$4:$O$23,2,0)))</f>
        <v>Germay(KfW)</v>
      </c>
      <c r="AA104" s="34">
        <v>98720</v>
      </c>
      <c r="AB104" s="5">
        <v>32.113983333333337</v>
      </c>
      <c r="AC104" s="5">
        <v>20.075530555555556</v>
      </c>
      <c r="AE104" s="10">
        <f ca="1"/>
        <v>0.55365819659599858</v>
      </c>
      <c r="AF104" s="10">
        <v>0.72214950774153142</v>
      </c>
    </row>
    <row r="105" spans="1:32" s="10" customFormat="1" ht="28.5" customHeight="1">
      <c r="A105" s="96">
        <v>104</v>
      </c>
      <c r="B105" s="5" t="s">
        <v>84</v>
      </c>
      <c r="C105" s="5" t="s">
        <v>118</v>
      </c>
      <c r="D105" s="5" t="s">
        <v>14</v>
      </c>
      <c r="E105" s="5" t="s">
        <v>122</v>
      </c>
      <c r="F105" s="5" t="s">
        <v>132</v>
      </c>
      <c r="G105" s="35" t="s">
        <v>70</v>
      </c>
      <c r="H105" s="44">
        <f>(791441+2700+91799.5+71689.49+13468.01+13186.81)-100000</f>
        <v>884284.81</v>
      </c>
      <c r="I105" s="44">
        <f>Table1[[#This Row],[Contracted Amount]]*AF105</f>
        <v>644011.00501874089</v>
      </c>
      <c r="J105" s="44">
        <f>(744425.95+2700+72920+71689.49+13468.01+13186.81)-100000</f>
        <v>818390.26</v>
      </c>
      <c r="K105" s="44">
        <f>Table1[[#This Row],[Actual Expenditure (including admin fees)]]*AF105</f>
        <v>596021.01933668705</v>
      </c>
      <c r="L105" s="35" t="s">
        <v>71</v>
      </c>
      <c r="M105" s="42" t="s">
        <v>72</v>
      </c>
      <c r="N105" s="42">
        <v>42845</v>
      </c>
      <c r="O105" s="100" t="s">
        <v>73</v>
      </c>
      <c r="P105" s="42"/>
      <c r="Q105" s="42"/>
      <c r="R105" s="42">
        <v>43709</v>
      </c>
      <c r="S105" s="36" t="s">
        <v>71</v>
      </c>
      <c r="T105" s="89" t="s">
        <v>333</v>
      </c>
      <c r="U105" s="9">
        <v>43746</v>
      </c>
      <c r="V105" s="118" t="s">
        <v>71</v>
      </c>
      <c r="W105" s="118" t="s">
        <v>133</v>
      </c>
      <c r="X105" s="136">
        <v>12</v>
      </c>
      <c r="Y105" s="132" t="s">
        <v>334</v>
      </c>
      <c r="Z105" s="88" t="s">
        <v>335</v>
      </c>
      <c r="AA105" s="34" t="s">
        <v>264</v>
      </c>
      <c r="AB105" s="5">
        <v>32.006777</v>
      </c>
      <c r="AC105" s="5">
        <v>20.129686</v>
      </c>
      <c r="AE105" s="10">
        <f ca="1"/>
        <v>0.54026871862560588</v>
      </c>
      <c r="AF105" s="10">
        <v>0.72828459534291989</v>
      </c>
    </row>
    <row r="106" spans="1:32" s="10" customFormat="1" ht="28.5" customHeight="1">
      <c r="A106" s="96">
        <v>105</v>
      </c>
      <c r="B106" s="5" t="s">
        <v>66</v>
      </c>
      <c r="C106" s="5" t="s">
        <v>118</v>
      </c>
      <c r="D106" s="5" t="s">
        <v>14</v>
      </c>
      <c r="E106" s="5" t="s">
        <v>81</v>
      </c>
      <c r="F106" s="5" t="s">
        <v>134</v>
      </c>
      <c r="G106" s="35" t="s">
        <v>70</v>
      </c>
      <c r="H106" s="46">
        <f>245880.4+119099.78+5887.68+9250</f>
        <v>380117.86</v>
      </c>
      <c r="I106" s="46">
        <f>Table1[[#This Row],[Contracted Amount]]*AF106</f>
        <v>209917.91520658578</v>
      </c>
      <c r="J106" s="44">
        <f>119099.78+245880.4+9250</f>
        <v>374230.18</v>
      </c>
      <c r="K106" s="44">
        <f>Table1[[#This Row],[Actual Expenditure (including admin fees)]]*AF106</f>
        <v>206666.47758404547</v>
      </c>
      <c r="L106" s="35" t="s">
        <v>71</v>
      </c>
      <c r="M106" s="42" t="s">
        <v>72</v>
      </c>
      <c r="N106" s="42">
        <v>42957</v>
      </c>
      <c r="O106" s="100" t="s">
        <v>73</v>
      </c>
      <c r="P106" s="42"/>
      <c r="Q106" s="42"/>
      <c r="R106" s="42">
        <v>43465</v>
      </c>
      <c r="S106" s="36" t="s">
        <v>71</v>
      </c>
      <c r="T106" s="89" t="s">
        <v>256</v>
      </c>
      <c r="U106" s="9"/>
      <c r="V106" s="118" t="s">
        <v>71</v>
      </c>
      <c r="W106" s="118" t="s">
        <v>135</v>
      </c>
      <c r="X106" s="136">
        <v>6</v>
      </c>
      <c r="Y106" s="132" t="s">
        <v>336</v>
      </c>
      <c r="Z106" s="88" t="s">
        <v>337</v>
      </c>
      <c r="AA106" s="34" t="s">
        <v>264</v>
      </c>
      <c r="AB106" s="5"/>
      <c r="AC106" s="5"/>
      <c r="AE106" s="10">
        <f ca="1"/>
        <v>0.73989650177735711</v>
      </c>
      <c r="AF106" s="10">
        <v>0.55224428340879794</v>
      </c>
    </row>
    <row r="107" spans="1:32" s="10" customFormat="1" ht="28.5" customHeight="1">
      <c r="A107" s="96">
        <v>106</v>
      </c>
      <c r="B107" s="5" t="s">
        <v>66</v>
      </c>
      <c r="C107" s="5" t="s">
        <v>118</v>
      </c>
      <c r="D107" s="5" t="s">
        <v>14</v>
      </c>
      <c r="E107" s="5" t="s">
        <v>81</v>
      </c>
      <c r="F107" s="5" t="s">
        <v>115</v>
      </c>
      <c r="G107" s="35" t="s">
        <v>70</v>
      </c>
      <c r="H107" s="46">
        <f>255036.64+4150</f>
        <v>259186.64</v>
      </c>
      <c r="I107" s="46">
        <f>Table1[[#This Row],[Contracted Amount]]*AF107</f>
        <v>175389.69542358952</v>
      </c>
      <c r="J107" s="44">
        <f>255036.64+4150</f>
        <v>259186.64</v>
      </c>
      <c r="K107" s="44">
        <f>Table1[[#This Row],[Actual Expenditure (including admin fees)]]*AF107</f>
        <v>175389.69542358952</v>
      </c>
      <c r="L107" s="35" t="s">
        <v>71</v>
      </c>
      <c r="M107" s="42" t="s">
        <v>72</v>
      </c>
      <c r="N107" s="42">
        <v>42961</v>
      </c>
      <c r="O107" s="100" t="s">
        <v>73</v>
      </c>
      <c r="P107" s="42"/>
      <c r="Q107" s="42"/>
      <c r="R107" s="42">
        <v>43465</v>
      </c>
      <c r="S107" s="36" t="s">
        <v>71</v>
      </c>
      <c r="T107" s="89" t="s">
        <v>272</v>
      </c>
      <c r="U107" s="9"/>
      <c r="V107" s="118" t="s">
        <v>71</v>
      </c>
      <c r="W107" s="118" t="s">
        <v>111</v>
      </c>
      <c r="X107" s="136">
        <v>1</v>
      </c>
      <c r="Y107" s="22" t="s">
        <v>338</v>
      </c>
      <c r="Z107" s="34" t="s">
        <v>339</v>
      </c>
      <c r="AA107" s="34" t="s">
        <v>340</v>
      </c>
      <c r="AB107" s="5">
        <v>32.07490277777778</v>
      </c>
      <c r="AC107" s="5">
        <v>20.230697222222222</v>
      </c>
      <c r="AE107" s="10">
        <f ca="1"/>
        <v>0.6694063047107075</v>
      </c>
      <c r="AF107" s="10">
        <v>0.67669265446548288</v>
      </c>
    </row>
    <row r="108" spans="1:32" s="10" customFormat="1" ht="28.5" customHeight="1">
      <c r="A108" s="96">
        <v>107</v>
      </c>
      <c r="B108" s="5" t="s">
        <v>66</v>
      </c>
      <c r="C108" s="5" t="s">
        <v>118</v>
      </c>
      <c r="D108" s="5" t="s">
        <v>14</v>
      </c>
      <c r="E108" s="5" t="s">
        <v>4</v>
      </c>
      <c r="F108" s="5" t="s">
        <v>107</v>
      </c>
      <c r="G108" s="35" t="s">
        <v>70</v>
      </c>
      <c r="H108" s="46">
        <f>(200015.29/3)+(43885.27/10)</f>
        <v>71060.290333333338</v>
      </c>
      <c r="I108" s="46">
        <f>Table1[[#This Row],[Contracted Amount]]*AF108</f>
        <v>46846.737739255506</v>
      </c>
      <c r="J108" s="46">
        <f>(200015.29/3)+(43885.27/10)</f>
        <v>71060.290333333338</v>
      </c>
      <c r="K108" s="46">
        <f>Table1[[#This Row],[Actual Expenditure (including admin fees)]]*AF108</f>
        <v>46846.737739255506</v>
      </c>
      <c r="L108" s="35" t="s">
        <v>71</v>
      </c>
      <c r="M108" s="42" t="s">
        <v>72</v>
      </c>
      <c r="N108" s="42">
        <v>42461</v>
      </c>
      <c r="O108" s="100" t="s">
        <v>73</v>
      </c>
      <c r="P108" s="42"/>
      <c r="Q108" s="42"/>
      <c r="R108" s="42">
        <v>42767</v>
      </c>
      <c r="S108" s="35" t="s">
        <v>71</v>
      </c>
      <c r="T108" s="89"/>
      <c r="U108" s="9"/>
      <c r="V108" s="118" t="s">
        <v>71</v>
      </c>
      <c r="W108" s="118" t="s">
        <v>108</v>
      </c>
      <c r="X108" s="136">
        <v>1</v>
      </c>
      <c r="Y108" s="23" t="s">
        <v>288</v>
      </c>
      <c r="Z108" s="34" t="s">
        <v>289</v>
      </c>
      <c r="AA108" s="34">
        <v>98720</v>
      </c>
      <c r="AB108" s="5">
        <v>32.050199999999997</v>
      </c>
      <c r="AC108" s="5">
        <v>20.110058333333335</v>
      </c>
      <c r="AE108" s="10">
        <f ca="1"/>
        <v>0.6128073848279475</v>
      </c>
      <c r="AF108" s="10">
        <v>0.65925339622881318</v>
      </c>
    </row>
    <row r="109" spans="1:32" s="10" customFormat="1" ht="28.5" customHeight="1">
      <c r="A109" s="96">
        <v>108</v>
      </c>
      <c r="B109" s="5" t="s">
        <v>66</v>
      </c>
      <c r="C109" s="5" t="s">
        <v>118</v>
      </c>
      <c r="D109" s="5" t="s">
        <v>14</v>
      </c>
      <c r="E109" s="5" t="s">
        <v>4</v>
      </c>
      <c r="F109" s="5" t="s">
        <v>107</v>
      </c>
      <c r="G109" s="35" t="s">
        <v>70</v>
      </c>
      <c r="H109" s="46">
        <f>(200015.29/3)+(43885.27/10)</f>
        <v>71060.290333333338</v>
      </c>
      <c r="I109" s="46">
        <f>Table1[[#This Row],[Contracted Amount]]*AF109</f>
        <v>38443.648180707743</v>
      </c>
      <c r="J109" s="46">
        <f>(200015.29/3)+(43885.27/10)</f>
        <v>71060.290333333338</v>
      </c>
      <c r="K109" s="46">
        <f>Table1[[#This Row],[Actual Expenditure (including admin fees)]]*AF109</f>
        <v>38443.648180707743</v>
      </c>
      <c r="L109" s="35" t="s">
        <v>71</v>
      </c>
      <c r="M109" s="42" t="s">
        <v>72</v>
      </c>
      <c r="N109" s="42">
        <v>42461</v>
      </c>
      <c r="O109" s="100" t="s">
        <v>73</v>
      </c>
      <c r="P109" s="42"/>
      <c r="Q109" s="42"/>
      <c r="R109" s="42">
        <v>42767</v>
      </c>
      <c r="S109" s="35" t="s">
        <v>71</v>
      </c>
      <c r="T109" s="89"/>
      <c r="U109" s="9"/>
      <c r="V109" s="118" t="s">
        <v>71</v>
      </c>
      <c r="W109" s="118" t="s">
        <v>108</v>
      </c>
      <c r="X109" s="136">
        <v>1</v>
      </c>
      <c r="Y109" s="23" t="s">
        <v>288</v>
      </c>
      <c r="Z109" s="34" t="s">
        <v>289</v>
      </c>
      <c r="AA109" s="34">
        <v>98720</v>
      </c>
      <c r="AB109" s="5">
        <v>32.019911111111114</v>
      </c>
      <c r="AC109" s="5">
        <v>20.123897222222222</v>
      </c>
      <c r="AE109" s="10">
        <f ca="1"/>
        <v>0.68281579805576031</v>
      </c>
      <c r="AF109" s="10">
        <v>0.54100043780252316</v>
      </c>
    </row>
    <row r="110" spans="1:32" s="10" customFormat="1" ht="28.5" customHeight="1">
      <c r="A110" s="96">
        <v>109</v>
      </c>
      <c r="B110" s="5" t="s">
        <v>66</v>
      </c>
      <c r="C110" s="5" t="s">
        <v>67</v>
      </c>
      <c r="D110" s="5" t="s">
        <v>17</v>
      </c>
      <c r="E110" s="5" t="s">
        <v>4</v>
      </c>
      <c r="F110" s="5" t="s">
        <v>90</v>
      </c>
      <c r="G110" s="35" t="s">
        <v>70</v>
      </c>
      <c r="H110" s="44">
        <f>(622115.12/10)*2+(40075/10)*2</f>
        <v>132438.024</v>
      </c>
      <c r="I110" s="44">
        <f>Table1[[#This Row],[Contracted Amount]]*AF110</f>
        <v>91831.444140569176</v>
      </c>
      <c r="J110" s="44">
        <v>106394.21</v>
      </c>
      <c r="K110" s="44">
        <f>Table1[[#This Row],[Actual Expenditure (including admin fees)]]*AF110</f>
        <v>73772.876228468842</v>
      </c>
      <c r="L110" s="35" t="s">
        <v>71</v>
      </c>
      <c r="M110" s="42" t="s">
        <v>72</v>
      </c>
      <c r="N110" s="42">
        <v>42461</v>
      </c>
      <c r="O110" s="100" t="s">
        <v>73</v>
      </c>
      <c r="P110" s="42"/>
      <c r="Q110" s="42"/>
      <c r="R110" s="42">
        <v>42767</v>
      </c>
      <c r="S110" s="36" t="s">
        <v>71</v>
      </c>
      <c r="T110" s="89" t="s">
        <v>341</v>
      </c>
      <c r="U110" s="9"/>
      <c r="V110" s="118" t="s">
        <v>71</v>
      </c>
      <c r="W110" s="118" t="s">
        <v>91</v>
      </c>
      <c r="X110" s="136">
        <v>2</v>
      </c>
      <c r="Y110" s="22" t="s">
        <v>288</v>
      </c>
      <c r="Z110" s="34" t="s">
        <v>289</v>
      </c>
      <c r="AA110" s="34">
        <v>98720</v>
      </c>
      <c r="AB110" s="5">
        <v>32.065398000000002</v>
      </c>
      <c r="AC110" s="5">
        <v>12.695327000000001</v>
      </c>
      <c r="AE110" s="10">
        <f ca="1"/>
        <v>0.60064817464349396</v>
      </c>
      <c r="AF110" s="10">
        <v>0.6933918323982935</v>
      </c>
    </row>
    <row r="111" spans="1:32" s="10" customFormat="1" ht="28.5" customHeight="1">
      <c r="A111" s="96">
        <v>110</v>
      </c>
      <c r="B111" s="5" t="s">
        <v>66</v>
      </c>
      <c r="C111" s="5" t="s">
        <v>67</v>
      </c>
      <c r="D111" s="5" t="s">
        <v>17</v>
      </c>
      <c r="E111" s="5" t="s">
        <v>4</v>
      </c>
      <c r="F111" s="5" t="s">
        <v>125</v>
      </c>
      <c r="G111" s="35" t="s">
        <v>70</v>
      </c>
      <c r="H111" s="61">
        <f>315892.6+7000+10795.45</f>
        <v>333688.05</v>
      </c>
      <c r="I111" s="61">
        <f>Table1[[#This Row],[Contracted Amount]]*AF111</f>
        <v>229796.36548649048</v>
      </c>
      <c r="J111" s="61">
        <v>332731.04999999987</v>
      </c>
      <c r="K111" s="61">
        <f>Table1[[#This Row],[Actual Expenditure (including admin fees)]]*AF111</f>
        <v>229137.32144289766</v>
      </c>
      <c r="L111" s="35" t="s">
        <v>71</v>
      </c>
      <c r="M111" s="42" t="s">
        <v>72</v>
      </c>
      <c r="N111" s="42">
        <v>43425</v>
      </c>
      <c r="O111" s="100" t="s">
        <v>73</v>
      </c>
      <c r="P111" s="42"/>
      <c r="Q111" s="42"/>
      <c r="R111" s="42">
        <v>43815</v>
      </c>
      <c r="S111" s="36" t="s">
        <v>71</v>
      </c>
      <c r="T111" s="89" t="s">
        <v>342</v>
      </c>
      <c r="U111" s="9">
        <v>43992</v>
      </c>
      <c r="V111" s="118" t="s">
        <v>71</v>
      </c>
      <c r="W111" s="118" t="s">
        <v>126</v>
      </c>
      <c r="X111" s="136">
        <v>1</v>
      </c>
      <c r="Y111" s="23">
        <v>187</v>
      </c>
      <c r="Z111" s="34" t="str">
        <f>IF(ISERROR(VLOOKUP(Y111,'Data inputs '!$N$4:$O$23,2,0)),"",(VLOOKUP(Y111,'Data inputs '!$N$4:$O$23,2,0)))</f>
        <v>Norway</v>
      </c>
      <c r="AA111" s="34">
        <v>98720</v>
      </c>
      <c r="AB111" s="5">
        <v>32.064526000000001</v>
      </c>
      <c r="AC111" s="5">
        <v>12.690493</v>
      </c>
      <c r="AE111" s="10">
        <f ca="1"/>
        <v>0.72568429559866054</v>
      </c>
      <c r="AF111" s="10">
        <v>0.6886562628973093</v>
      </c>
    </row>
    <row r="112" spans="1:32" s="10" customFormat="1" ht="28.5" customHeight="1">
      <c r="A112" s="96">
        <v>111</v>
      </c>
      <c r="B112" s="5" t="s">
        <v>84</v>
      </c>
      <c r="C112" s="5" t="s">
        <v>67</v>
      </c>
      <c r="D112" s="5" t="s">
        <v>17</v>
      </c>
      <c r="E112" s="5" t="s">
        <v>4</v>
      </c>
      <c r="F112" s="5" t="s">
        <v>109</v>
      </c>
      <c r="G112" s="35" t="s">
        <v>70</v>
      </c>
      <c r="H112" s="61">
        <f>423635+35616</f>
        <v>459251</v>
      </c>
      <c r="I112" s="61">
        <f>Table1[[#This Row],[Contracted Amount]]*AF112</f>
        <v>242458.93715826562</v>
      </c>
      <c r="J112" s="61">
        <f>423635+35616</f>
        <v>459251</v>
      </c>
      <c r="K112" s="61">
        <f>Table1[[#This Row],[Actual Expenditure (including admin fees)]]*AF112</f>
        <v>242458.93715826562</v>
      </c>
      <c r="L112" s="35" t="s">
        <v>71</v>
      </c>
      <c r="M112" s="42" t="s">
        <v>72</v>
      </c>
      <c r="N112" s="42">
        <v>42919</v>
      </c>
      <c r="O112" s="100" t="s">
        <v>73</v>
      </c>
      <c r="P112" s="42">
        <v>42900</v>
      </c>
      <c r="Q112" s="42">
        <f>Table1[[#This Row],[Site handover date]]+7</f>
        <v>42907</v>
      </c>
      <c r="R112" s="42">
        <v>43148</v>
      </c>
      <c r="S112" s="36" t="s">
        <v>71</v>
      </c>
      <c r="T112" s="89" t="s">
        <v>343</v>
      </c>
      <c r="U112" s="9"/>
      <c r="V112" s="118" t="s">
        <v>71</v>
      </c>
      <c r="W112" s="118" t="s">
        <v>110</v>
      </c>
      <c r="X112" s="136">
        <v>1</v>
      </c>
      <c r="Y112" s="23">
        <v>10283</v>
      </c>
      <c r="Z112" s="34" t="str">
        <f>IF(ISERROR(VLOOKUP(Y112,'Data inputs '!$N$4:$O$23,2,0)),"",(VLOOKUP(Y112,'Data inputs '!$N$4:$O$23,2,0)))</f>
        <v>Germay(KfW)</v>
      </c>
      <c r="AA112" s="34">
        <v>98720</v>
      </c>
      <c r="AB112" s="5">
        <v>32.064526000000001</v>
      </c>
      <c r="AC112" s="5">
        <v>12.690493</v>
      </c>
      <c r="AE112" s="10">
        <f ca="1"/>
        <v>0.66362604598655495</v>
      </c>
      <c r="AF112" s="10">
        <v>0.52794427700378577</v>
      </c>
    </row>
    <row r="113" spans="1:32" s="10" customFormat="1" ht="28.5" customHeight="1">
      <c r="A113" s="96">
        <v>112</v>
      </c>
      <c r="B113" s="5" t="s">
        <v>84</v>
      </c>
      <c r="C113" s="5" t="s">
        <v>67</v>
      </c>
      <c r="D113" s="5" t="s">
        <v>17</v>
      </c>
      <c r="E113" s="5" t="s">
        <v>4</v>
      </c>
      <c r="F113" s="5" t="s">
        <v>109</v>
      </c>
      <c r="G113" s="35" t="s">
        <v>70</v>
      </c>
      <c r="H113" s="61">
        <v>15525</v>
      </c>
      <c r="I113" s="61">
        <f>Table1[[#This Row],[Contracted Amount]]*AF113</f>
        <v>11350.915776797812</v>
      </c>
      <c r="J113" s="61">
        <v>15525</v>
      </c>
      <c r="K113" s="61">
        <f>Table1[[#This Row],[Actual Expenditure (including admin fees)]]*AF113</f>
        <v>11350.915776797812</v>
      </c>
      <c r="L113" s="35" t="s">
        <v>71</v>
      </c>
      <c r="M113" s="42" t="s">
        <v>72</v>
      </c>
      <c r="N113" s="42">
        <v>43166</v>
      </c>
      <c r="O113" s="100" t="s">
        <v>73</v>
      </c>
      <c r="P113" s="42">
        <v>43189</v>
      </c>
      <c r="Q113" s="42">
        <f>Table1[[#This Row],[Site handover date]]+7</f>
        <v>43196</v>
      </c>
      <c r="R113" s="42">
        <v>43228</v>
      </c>
      <c r="S113" s="36" t="s">
        <v>71</v>
      </c>
      <c r="T113" s="89"/>
      <c r="U113" s="9"/>
      <c r="V113" s="118" t="s">
        <v>71</v>
      </c>
      <c r="W113" s="118" t="s">
        <v>88</v>
      </c>
      <c r="X113" s="136">
        <v>1</v>
      </c>
      <c r="Y113" s="23">
        <v>11410</v>
      </c>
      <c r="Z113" s="34" t="str">
        <f>IF(ISERROR(VLOOKUP(Y113,'Data inputs '!$N$4:$O$23,2,0)),"",(VLOOKUP(Y113,'Data inputs '!$N$4:$O$23,2,0)))</f>
        <v>UK (FCO)</v>
      </c>
      <c r="AA113" s="34">
        <v>98720</v>
      </c>
      <c r="AB113" s="5">
        <v>32.065092</v>
      </c>
      <c r="AC113" s="5">
        <v>12.690769</v>
      </c>
      <c r="AE113" s="10">
        <f ca="1"/>
        <v>0.72375100725349506</v>
      </c>
      <c r="AF113" s="10">
        <v>0.7311378922253019</v>
      </c>
    </row>
    <row r="114" spans="1:32" s="10" customFormat="1" ht="28.5" customHeight="1">
      <c r="A114" s="96">
        <v>113</v>
      </c>
      <c r="B114" s="5" t="s">
        <v>84</v>
      </c>
      <c r="C114" s="5" t="s">
        <v>67</v>
      </c>
      <c r="D114" s="5" t="s">
        <v>17</v>
      </c>
      <c r="E114" s="5" t="s">
        <v>4</v>
      </c>
      <c r="F114" s="5" t="s">
        <v>109</v>
      </c>
      <c r="G114" s="35" t="s">
        <v>70</v>
      </c>
      <c r="H114" s="61">
        <v>126762</v>
      </c>
      <c r="I114" s="61">
        <f>Table1[[#This Row],[Contracted Amount]]*AF114</f>
        <v>67748.888408951359</v>
      </c>
      <c r="J114" s="61">
        <v>126762</v>
      </c>
      <c r="K114" s="61">
        <f>Table1[[#This Row],[Actual Expenditure (including admin fees)]]*AF114</f>
        <v>67748.888408951359</v>
      </c>
      <c r="L114" s="35" t="s">
        <v>71</v>
      </c>
      <c r="M114" s="42" t="s">
        <v>72</v>
      </c>
      <c r="N114" s="42">
        <v>42877</v>
      </c>
      <c r="O114" s="100" t="s">
        <v>73</v>
      </c>
      <c r="P114" s="42">
        <v>42890</v>
      </c>
      <c r="Q114" s="42">
        <f>Table1[[#This Row],[Site handover date]]+7</f>
        <v>42897</v>
      </c>
      <c r="R114" s="42">
        <v>43019</v>
      </c>
      <c r="S114" s="36" t="s">
        <v>71</v>
      </c>
      <c r="T114" s="89" t="s">
        <v>316</v>
      </c>
      <c r="U114" s="9"/>
      <c r="V114" s="118" t="s">
        <v>71</v>
      </c>
      <c r="W114" s="118" t="s">
        <v>110</v>
      </c>
      <c r="X114" s="136">
        <v>1</v>
      </c>
      <c r="Y114" s="23">
        <v>141</v>
      </c>
      <c r="Z114" s="34" t="str">
        <f>IF(ISERROR(VLOOKUP(Y114,'Data inputs '!$N$4:$O$23,2,0)),"",(VLOOKUP(Y114,'Data inputs '!$N$4:$O$23,2,0)))</f>
        <v>Japan</v>
      </c>
      <c r="AA114" s="34">
        <v>98720</v>
      </c>
      <c r="AB114" s="5">
        <v>32.065043000000003</v>
      </c>
      <c r="AC114" s="5">
        <v>12.689734</v>
      </c>
      <c r="AE114" s="10">
        <f ca="1"/>
        <v>0.66725310210201794</v>
      </c>
      <c r="AF114" s="10">
        <v>0.5344573958201303</v>
      </c>
    </row>
    <row r="115" spans="1:32" s="10" customFormat="1" ht="28.5" customHeight="1">
      <c r="A115" s="96">
        <v>114</v>
      </c>
      <c r="B115" s="5" t="s">
        <v>66</v>
      </c>
      <c r="C115" s="5" t="s">
        <v>67</v>
      </c>
      <c r="D115" s="5" t="s">
        <v>17</v>
      </c>
      <c r="E115" s="5" t="s">
        <v>112</v>
      </c>
      <c r="F115" s="6" t="s">
        <v>136</v>
      </c>
      <c r="G115" s="35" t="s">
        <v>70</v>
      </c>
      <c r="H115" s="61">
        <v>196117.04</v>
      </c>
      <c r="I115" s="61">
        <f>Table1[[#This Row],[Contracted Amount]]*AF115</f>
        <v>122240.98846262561</v>
      </c>
      <c r="J115" s="61">
        <v>204075.18</v>
      </c>
      <c r="K115" s="61">
        <f>Table1[[#This Row],[Actual Expenditure (including admin fees)]]*AF115</f>
        <v>127201.34733773385</v>
      </c>
      <c r="L115" s="35" t="s">
        <v>71</v>
      </c>
      <c r="M115" s="42" t="s">
        <v>72</v>
      </c>
      <c r="N115" s="42">
        <v>42401</v>
      </c>
      <c r="O115" s="100" t="s">
        <v>73</v>
      </c>
      <c r="P115" s="42"/>
      <c r="Q115" s="42"/>
      <c r="R115" s="42">
        <v>42691</v>
      </c>
      <c r="S115" s="36" t="s">
        <v>71</v>
      </c>
      <c r="T115" s="89" t="s">
        <v>344</v>
      </c>
      <c r="U115" s="9"/>
      <c r="V115" s="118" t="s">
        <v>71</v>
      </c>
      <c r="W115" s="118" t="s">
        <v>137</v>
      </c>
      <c r="X115" s="136">
        <v>1</v>
      </c>
      <c r="Y115" s="23">
        <v>117</v>
      </c>
      <c r="Z115" s="34" t="str">
        <f>IF(ISERROR(VLOOKUP(Y115,'Data inputs '!$N$4:$O$23,2,0)),"",(VLOOKUP(Y115,'Data inputs '!$N$4:$O$23,2,0)))</f>
        <v>Germany(MOFA)</v>
      </c>
      <c r="AA115" s="34">
        <v>98720</v>
      </c>
      <c r="AB115" s="5">
        <v>32.065398000000002</v>
      </c>
      <c r="AC115" s="5">
        <v>12.695327000000001</v>
      </c>
      <c r="AE115" s="10">
        <f ca="1"/>
        <v>0.61127745214208085</v>
      </c>
      <c r="AF115" s="10">
        <v>0.62330630965379452</v>
      </c>
    </row>
    <row r="116" spans="1:32" s="10" customFormat="1" ht="28.5" customHeight="1">
      <c r="A116" s="96">
        <v>115</v>
      </c>
      <c r="B116" s="5" t="s">
        <v>66</v>
      </c>
      <c r="C116" s="5" t="s">
        <v>67</v>
      </c>
      <c r="D116" s="5" t="s">
        <v>17</v>
      </c>
      <c r="E116" s="5" t="s">
        <v>112</v>
      </c>
      <c r="F116" s="6" t="s">
        <v>138</v>
      </c>
      <c r="G116" s="35" t="s">
        <v>70</v>
      </c>
      <c r="H116" s="61">
        <v>19475</v>
      </c>
      <c r="I116" s="61">
        <f>Table1[[#This Row],[Contracted Amount]]*AF116</f>
        <v>10397.603795563071</v>
      </c>
      <c r="J116" s="61">
        <v>19270</v>
      </c>
      <c r="K116" s="61">
        <f>Table1[[#This Row],[Actual Expenditure (including admin fees)]]*AF116</f>
        <v>10288.155334557145</v>
      </c>
      <c r="L116" s="35" t="s">
        <v>71</v>
      </c>
      <c r="M116" s="42" t="s">
        <v>72</v>
      </c>
      <c r="N116" s="42">
        <v>42769</v>
      </c>
      <c r="O116" s="100" t="s">
        <v>73</v>
      </c>
      <c r="P116" s="42"/>
      <c r="Q116" s="42"/>
      <c r="R116" s="42">
        <v>42789</v>
      </c>
      <c r="S116" s="36" t="s">
        <v>71</v>
      </c>
      <c r="T116" s="89" t="s">
        <v>345</v>
      </c>
      <c r="U116" s="9"/>
      <c r="V116" s="118" t="s">
        <v>71</v>
      </c>
      <c r="W116" s="118" t="s">
        <v>139</v>
      </c>
      <c r="X116" s="136">
        <v>1</v>
      </c>
      <c r="Y116" s="23">
        <v>137</v>
      </c>
      <c r="Z116" s="34" t="str">
        <f>IF(ISERROR(VLOOKUP(Y116,'Data inputs '!$N$4:$O$23,2,0)),"",(VLOOKUP(Y116,'Data inputs '!$N$4:$O$23,2,0)))</f>
        <v>Italy</v>
      </c>
      <c r="AA116" s="34">
        <v>98720</v>
      </c>
      <c r="AB116" s="5">
        <v>32.065398000000002</v>
      </c>
      <c r="AC116" s="5">
        <v>12.695327000000001</v>
      </c>
      <c r="AE116" s="10">
        <f ca="1"/>
        <v>0.6751149312018655</v>
      </c>
      <c r="AF116" s="10">
        <v>0.53389493173622959</v>
      </c>
    </row>
    <row r="117" spans="1:32" s="10" customFormat="1" ht="28.5" customHeight="1">
      <c r="A117" s="96">
        <v>116</v>
      </c>
      <c r="B117" s="5" t="s">
        <v>66</v>
      </c>
      <c r="C117" s="5" t="s">
        <v>67</v>
      </c>
      <c r="D117" s="5" t="s">
        <v>17</v>
      </c>
      <c r="E117" s="5" t="s">
        <v>112</v>
      </c>
      <c r="F117" s="6" t="s">
        <v>140</v>
      </c>
      <c r="G117" s="35" t="s">
        <v>70</v>
      </c>
      <c r="H117" s="61">
        <v>13963</v>
      </c>
      <c r="I117" s="61">
        <f>Table1[[#This Row],[Contracted Amount]]*AF117</f>
        <v>9555.4974782013251</v>
      </c>
      <c r="J117" s="61">
        <v>13963</v>
      </c>
      <c r="K117" s="61">
        <f>Table1[[#This Row],[Actual Expenditure (including admin fees)]]*AF117</f>
        <v>9555.4974782013251</v>
      </c>
      <c r="L117" s="35" t="s">
        <v>71</v>
      </c>
      <c r="M117" s="42" t="s">
        <v>72</v>
      </c>
      <c r="N117" s="42">
        <v>42733</v>
      </c>
      <c r="O117" s="100" t="s">
        <v>73</v>
      </c>
      <c r="P117" s="42"/>
      <c r="Q117" s="42"/>
      <c r="R117" s="42">
        <v>43100</v>
      </c>
      <c r="S117" s="36" t="s">
        <v>71</v>
      </c>
      <c r="T117" s="89" t="s">
        <v>272</v>
      </c>
      <c r="U117" s="9"/>
      <c r="V117" s="118" t="s">
        <v>71</v>
      </c>
      <c r="W117" s="118" t="s">
        <v>141</v>
      </c>
      <c r="X117" s="136">
        <v>1</v>
      </c>
      <c r="Y117" s="23">
        <v>137</v>
      </c>
      <c r="Z117" s="34" t="str">
        <f>IF(ISERROR(VLOOKUP(Y117,'Data inputs '!$N$4:$O$23,2,0)),"",(VLOOKUP(Y117,'Data inputs '!$N$4:$O$23,2,0)))</f>
        <v>Italy</v>
      </c>
      <c r="AA117" s="34">
        <v>98720</v>
      </c>
      <c r="AB117" s="5">
        <v>32.065398000000002</v>
      </c>
      <c r="AC117" s="5">
        <v>12.695327000000001</v>
      </c>
      <c r="AE117" s="10">
        <f ca="1"/>
        <v>0.72810876346047204</v>
      </c>
      <c r="AF117" s="10">
        <v>0.68434415800338932</v>
      </c>
    </row>
    <row r="118" spans="1:32" s="10" customFormat="1" ht="28.5" customHeight="1">
      <c r="A118" s="96">
        <v>117</v>
      </c>
      <c r="B118" s="5" t="s">
        <v>66</v>
      </c>
      <c r="C118" s="5" t="s">
        <v>67</v>
      </c>
      <c r="D118" s="5" t="s">
        <v>17</v>
      </c>
      <c r="E118" s="5" t="s">
        <v>112</v>
      </c>
      <c r="F118" s="6" t="s">
        <v>142</v>
      </c>
      <c r="G118" s="35" t="s">
        <v>70</v>
      </c>
      <c r="H118" s="61">
        <v>64413</v>
      </c>
      <c r="I118" s="61">
        <f>Table1[[#This Row],[Contracted Amount]]*AF118</f>
        <v>46842.070275097605</v>
      </c>
      <c r="J118" s="61">
        <v>64413</v>
      </c>
      <c r="K118" s="61">
        <f>Table1[[#This Row],[Actual Expenditure (including admin fees)]]*AF118</f>
        <v>46842.070275097605</v>
      </c>
      <c r="L118" s="35" t="s">
        <v>71</v>
      </c>
      <c r="M118" s="42" t="s">
        <v>72</v>
      </c>
      <c r="N118" s="42">
        <v>42856</v>
      </c>
      <c r="O118" s="100" t="s">
        <v>73</v>
      </c>
      <c r="P118" s="42"/>
      <c r="Q118" s="42"/>
      <c r="R118" s="42">
        <v>43140</v>
      </c>
      <c r="S118" s="36" t="s">
        <v>71</v>
      </c>
      <c r="T118" s="89" t="s">
        <v>346</v>
      </c>
      <c r="U118" s="9"/>
      <c r="V118" s="118" t="s">
        <v>71</v>
      </c>
      <c r="W118" s="118" t="s">
        <v>143</v>
      </c>
      <c r="X118" s="136">
        <v>1</v>
      </c>
      <c r="Y118" s="23">
        <v>10283</v>
      </c>
      <c r="Z118" s="34" t="str">
        <f>IF(ISERROR(VLOOKUP(Y118,'Data inputs '!$N$4:$O$23,2,0)),"",(VLOOKUP(Y118,'Data inputs '!$N$4:$O$23,2,0)))</f>
        <v>Germay(KfW)</v>
      </c>
      <c r="AA118" s="34">
        <v>98720</v>
      </c>
      <c r="AB118" s="5">
        <v>32.065398000000002</v>
      </c>
      <c r="AC118" s="5">
        <v>12.695327000000001</v>
      </c>
      <c r="AE118" s="10">
        <f ca="1"/>
        <v>0.67851217953293874</v>
      </c>
      <c r="AF118" s="10">
        <v>0.72721454170893463</v>
      </c>
    </row>
    <row r="119" spans="1:32" s="10" customFormat="1" ht="28.5" customHeight="1">
      <c r="A119" s="96">
        <v>118</v>
      </c>
      <c r="B119" s="5" t="s">
        <v>84</v>
      </c>
      <c r="C119" s="5" t="s">
        <v>67</v>
      </c>
      <c r="D119" s="5" t="s">
        <v>17</v>
      </c>
      <c r="E119" s="5" t="s">
        <v>112</v>
      </c>
      <c r="F119" s="5" t="s">
        <v>119</v>
      </c>
      <c r="G119" s="35" t="s">
        <v>70</v>
      </c>
      <c r="H119" s="46">
        <v>76370</v>
      </c>
      <c r="I119" s="46">
        <f>Table1[[#This Row],[Contracted Amount]]*AF119</f>
        <v>44231.468714032439</v>
      </c>
      <c r="J119" s="65">
        <v>76370</v>
      </c>
      <c r="K119" s="65">
        <f>Table1[[#This Row],[Actual Expenditure (including admin fees)]]*AF119</f>
        <v>44231.468714032439</v>
      </c>
      <c r="L119" s="35" t="s">
        <v>71</v>
      </c>
      <c r="M119" s="42" t="s">
        <v>72</v>
      </c>
      <c r="N119" s="42">
        <v>42796</v>
      </c>
      <c r="O119" s="100" t="s">
        <v>73</v>
      </c>
      <c r="P119" s="42">
        <v>42807</v>
      </c>
      <c r="Q119" s="42">
        <f>Table1[[#This Row],[Site handover date]]+7</f>
        <v>42814</v>
      </c>
      <c r="R119" s="42">
        <v>42869</v>
      </c>
      <c r="S119" s="36" t="s">
        <v>71</v>
      </c>
      <c r="T119" s="89" t="s">
        <v>316</v>
      </c>
      <c r="U119" s="9"/>
      <c r="V119" s="118" t="s">
        <v>71</v>
      </c>
      <c r="W119" s="118" t="s">
        <v>120</v>
      </c>
      <c r="X119" s="136">
        <v>1</v>
      </c>
      <c r="Y119" s="23">
        <v>10159</v>
      </c>
      <c r="Z119" s="34" t="str">
        <f>IF(ISERROR(VLOOKUP(Y119,'Data inputs '!$N$4:$O$23,2,0)),"",(VLOOKUP(Y119,'Data inputs '!$N$4:$O$23,2,0)))</f>
        <v>EU</v>
      </c>
      <c r="AA119" s="34">
        <v>98720</v>
      </c>
      <c r="AB119" s="5">
        <v>32.027749999999997</v>
      </c>
      <c r="AC119" s="5">
        <v>12.707803</v>
      </c>
      <c r="AE119" s="10">
        <f ca="1"/>
        <v>0.59671390272293623</v>
      </c>
      <c r="AF119" s="10">
        <v>0.57917334966652401</v>
      </c>
    </row>
    <row r="120" spans="1:32" s="10" customFormat="1" ht="28.5" customHeight="1">
      <c r="A120" s="96">
        <v>119</v>
      </c>
      <c r="B120" s="5" t="s">
        <v>66</v>
      </c>
      <c r="C120" s="5" t="s">
        <v>67</v>
      </c>
      <c r="D120" s="5" t="s">
        <v>17</v>
      </c>
      <c r="E120" s="5" t="s">
        <v>122</v>
      </c>
      <c r="F120" s="5" t="s">
        <v>144</v>
      </c>
      <c r="G120" s="35" t="s">
        <v>70</v>
      </c>
      <c r="H120" s="46">
        <f>(312804.14/7)*2+(43885.27/10)*2</f>
        <v>98149.665428571432</v>
      </c>
      <c r="I120" s="46">
        <f>Table1[[#This Row],[Contracted Amount]]*AF120</f>
        <v>56751.49174498675</v>
      </c>
      <c r="J120" s="46">
        <f>(312804.14/7)*2+(43885.27/10)*2</f>
        <v>98149.665428571432</v>
      </c>
      <c r="K120" s="46">
        <f>Table1[[#This Row],[Actual Expenditure (including admin fees)]]*AF120</f>
        <v>56751.49174498675</v>
      </c>
      <c r="L120" s="35" t="s">
        <v>71</v>
      </c>
      <c r="M120" s="42" t="s">
        <v>72</v>
      </c>
      <c r="N120" s="42">
        <v>42491</v>
      </c>
      <c r="O120" s="100" t="s">
        <v>73</v>
      </c>
      <c r="P120" s="42"/>
      <c r="Q120" s="42"/>
      <c r="R120" s="42">
        <v>42767</v>
      </c>
      <c r="S120" s="36" t="s">
        <v>71</v>
      </c>
      <c r="T120" s="89" t="s">
        <v>341</v>
      </c>
      <c r="U120" s="9"/>
      <c r="V120" s="118" t="s">
        <v>71</v>
      </c>
      <c r="W120" s="118" t="s">
        <v>108</v>
      </c>
      <c r="X120" s="136">
        <v>2</v>
      </c>
      <c r="Y120" s="23" t="s">
        <v>288</v>
      </c>
      <c r="Z120" s="34" t="s">
        <v>289</v>
      </c>
      <c r="AA120" s="34">
        <v>98720</v>
      </c>
      <c r="AB120" s="5">
        <v>32.065398000000002</v>
      </c>
      <c r="AC120" s="5">
        <v>12.695327000000001</v>
      </c>
      <c r="AE120" s="10">
        <f ca="1"/>
        <v>0.74987445403010855</v>
      </c>
      <c r="AF120" s="10">
        <v>0.57821380742543371</v>
      </c>
    </row>
    <row r="121" spans="1:32" s="10" customFormat="1" ht="28.5" customHeight="1">
      <c r="A121" s="96">
        <v>120</v>
      </c>
      <c r="B121" s="5" t="s">
        <v>66</v>
      </c>
      <c r="C121" s="5" t="s">
        <v>67</v>
      </c>
      <c r="D121" s="5" t="s">
        <v>17</v>
      </c>
      <c r="E121" s="5" t="s">
        <v>96</v>
      </c>
      <c r="F121" s="5" t="s">
        <v>117</v>
      </c>
      <c r="G121" s="35" t="s">
        <v>70</v>
      </c>
      <c r="H121" s="64">
        <v>92919.17</v>
      </c>
      <c r="I121" s="64">
        <f>Table1[[#This Row],[Contracted Amount]]*AF121</f>
        <v>50964.935711725855</v>
      </c>
      <c r="J121" s="64">
        <v>92919.17</v>
      </c>
      <c r="K121" s="64">
        <f>Table1[[#This Row],[Actual Expenditure (including admin fees)]]*AF121</f>
        <v>50964.935711725855</v>
      </c>
      <c r="L121" s="35" t="s">
        <v>71</v>
      </c>
      <c r="M121" s="42" t="s">
        <v>72</v>
      </c>
      <c r="N121" s="42">
        <v>43026</v>
      </c>
      <c r="O121" s="100" t="s">
        <v>73</v>
      </c>
      <c r="P121" s="42"/>
      <c r="Q121" s="42"/>
      <c r="R121" s="42">
        <v>43100</v>
      </c>
      <c r="S121" s="36" t="s">
        <v>71</v>
      </c>
      <c r="T121" s="89" t="s">
        <v>272</v>
      </c>
      <c r="U121" s="9"/>
      <c r="V121" s="118" t="s">
        <v>71</v>
      </c>
      <c r="W121" s="118" t="s">
        <v>145</v>
      </c>
      <c r="X121" s="136">
        <v>1</v>
      </c>
      <c r="Y121" s="23">
        <v>10283</v>
      </c>
      <c r="Z121" s="34" t="str">
        <f>IF(ISERROR(VLOOKUP(Y121,'Data inputs '!$N$4:$O$23,2,0)),"",(VLOOKUP(Y121,'Data inputs '!$N$4:$O$23,2,0)))</f>
        <v>Germay(KfW)</v>
      </c>
      <c r="AA121" s="34">
        <v>98720</v>
      </c>
      <c r="AB121" s="5">
        <v>32.065398000000002</v>
      </c>
      <c r="AC121" s="5">
        <v>12.695327000000001</v>
      </c>
      <c r="AE121" s="10">
        <f ca="1"/>
        <v>0.60505850943217898</v>
      </c>
      <c r="AF121" s="10">
        <v>0.54848677309241844</v>
      </c>
    </row>
    <row r="122" spans="1:32" s="10" customFormat="1" ht="28.5" customHeight="1">
      <c r="A122" s="96">
        <v>121</v>
      </c>
      <c r="B122" s="5" t="s">
        <v>66</v>
      </c>
      <c r="C122" s="5" t="s">
        <v>67</v>
      </c>
      <c r="D122" s="5" t="s">
        <v>17</v>
      </c>
      <c r="E122" s="5" t="s">
        <v>96</v>
      </c>
      <c r="F122" s="5" t="s">
        <v>117</v>
      </c>
      <c r="G122" s="35" t="s">
        <v>70</v>
      </c>
      <c r="H122" s="45" t="s">
        <v>322</v>
      </c>
      <c r="I122" s="45" t="e">
        <f>Table1[[#This Row],[Contracted Amount]]*AF122</f>
        <v>#VALUE!</v>
      </c>
      <c r="J122" s="45" t="s">
        <v>322</v>
      </c>
      <c r="K122" s="45" t="e">
        <f>Table1[[#This Row],[Actual Expenditure (including admin fees)]]*AF122</f>
        <v>#VALUE!</v>
      </c>
      <c r="L122" s="35" t="s">
        <v>71</v>
      </c>
      <c r="M122" s="42" t="s">
        <v>72</v>
      </c>
      <c r="N122" s="42">
        <v>43026</v>
      </c>
      <c r="O122" s="100" t="s">
        <v>73</v>
      </c>
      <c r="P122" s="42"/>
      <c r="Q122" s="42"/>
      <c r="R122" s="42">
        <v>43100</v>
      </c>
      <c r="S122" s="36" t="s">
        <v>71</v>
      </c>
      <c r="T122" s="89" t="s">
        <v>347</v>
      </c>
      <c r="U122" s="9"/>
      <c r="V122" s="118" t="s">
        <v>71</v>
      </c>
      <c r="W122" s="118" t="s">
        <v>145</v>
      </c>
      <c r="X122" s="136">
        <v>1</v>
      </c>
      <c r="Y122" s="23">
        <v>10283</v>
      </c>
      <c r="Z122" s="34" t="str">
        <f>IF(ISERROR(VLOOKUP(Y122,'Data inputs '!$N$4:$O$23,2,0)),"",(VLOOKUP(Y122,'Data inputs '!$N$4:$O$23,2,0)))</f>
        <v>Germay(KfW)</v>
      </c>
      <c r="AA122" s="34">
        <v>98720</v>
      </c>
      <c r="AB122" s="5">
        <v>32.065398000000002</v>
      </c>
      <c r="AC122" s="5">
        <v>12.695327000000001</v>
      </c>
      <c r="AE122" s="10">
        <f ca="1"/>
        <v>0.54271759426829225</v>
      </c>
      <c r="AF122" s="10">
        <v>0.50373156681183995</v>
      </c>
    </row>
    <row r="123" spans="1:32" s="10" customFormat="1" ht="28.5" customHeight="1">
      <c r="A123" s="96">
        <v>122</v>
      </c>
      <c r="B123" s="5" t="s">
        <v>66</v>
      </c>
      <c r="C123" s="5" t="s">
        <v>67</v>
      </c>
      <c r="D123" s="5" t="s">
        <v>17</v>
      </c>
      <c r="E123" s="5" t="s">
        <v>96</v>
      </c>
      <c r="F123" s="5" t="s">
        <v>117</v>
      </c>
      <c r="G123" s="35" t="s">
        <v>70</v>
      </c>
      <c r="H123" s="64">
        <v>30308</v>
      </c>
      <c r="I123" s="64">
        <f>Table1[[#This Row],[Contracted Amount]]*AF123</f>
        <v>19649.288814355627</v>
      </c>
      <c r="J123" s="64">
        <v>30308</v>
      </c>
      <c r="K123" s="64">
        <f>Table1[[#This Row],[Actual Expenditure (including admin fees)]]*AF123</f>
        <v>19649.288814355627</v>
      </c>
      <c r="L123" s="35" t="s">
        <v>71</v>
      </c>
      <c r="M123" s="42" t="s">
        <v>72</v>
      </c>
      <c r="N123" s="42">
        <v>42768</v>
      </c>
      <c r="O123" s="100" t="s">
        <v>73</v>
      </c>
      <c r="P123" s="42"/>
      <c r="Q123" s="42"/>
      <c r="R123" s="42">
        <v>43100</v>
      </c>
      <c r="S123" s="36" t="s">
        <v>71</v>
      </c>
      <c r="T123" s="89" t="s">
        <v>272</v>
      </c>
      <c r="U123" s="9"/>
      <c r="V123" s="118" t="s">
        <v>71</v>
      </c>
      <c r="W123" s="118" t="s">
        <v>145</v>
      </c>
      <c r="X123" s="136">
        <v>1</v>
      </c>
      <c r="Y123" s="23">
        <v>137</v>
      </c>
      <c r="Z123" s="34" t="str">
        <f>IF(ISERROR(VLOOKUP(Y123,'Data inputs '!$N$4:$O$23,2,0)),"",(VLOOKUP(Y123,'Data inputs '!$N$4:$O$23,2,0)))</f>
        <v>Italy</v>
      </c>
      <c r="AA123" s="34">
        <v>98720</v>
      </c>
      <c r="AB123" s="5">
        <v>32.065398000000002</v>
      </c>
      <c r="AC123" s="5">
        <v>12.695327000000001</v>
      </c>
      <c r="AE123" s="10">
        <f ca="1"/>
        <v>0.62030801791331802</v>
      </c>
      <c r="AF123" s="10">
        <v>0.64832020635989263</v>
      </c>
    </row>
    <row r="124" spans="1:32" s="10" customFormat="1" ht="28.5" customHeight="1">
      <c r="A124" s="96">
        <v>123</v>
      </c>
      <c r="B124" s="5" t="s">
        <v>66</v>
      </c>
      <c r="C124" s="5" t="s">
        <v>67</v>
      </c>
      <c r="D124" s="5" t="s">
        <v>17</v>
      </c>
      <c r="E124" s="5" t="s">
        <v>96</v>
      </c>
      <c r="F124" s="5" t="s">
        <v>117</v>
      </c>
      <c r="G124" s="35" t="s">
        <v>70</v>
      </c>
      <c r="H124" s="64">
        <v>82383</v>
      </c>
      <c r="I124" s="64">
        <f>Table1[[#This Row],[Contracted Amount]]*AF124</f>
        <v>59775.658742450687</v>
      </c>
      <c r="J124" s="64">
        <v>82383</v>
      </c>
      <c r="K124" s="64">
        <f>Table1[[#This Row],[Actual Expenditure (including admin fees)]]*AF124</f>
        <v>59775.658742450687</v>
      </c>
      <c r="L124" s="35" t="s">
        <v>71</v>
      </c>
      <c r="M124" s="42" t="s">
        <v>72</v>
      </c>
      <c r="N124" s="42">
        <v>42491</v>
      </c>
      <c r="O124" s="100" t="s">
        <v>73</v>
      </c>
      <c r="P124" s="42"/>
      <c r="Q124" s="42"/>
      <c r="R124" s="42">
        <v>42767</v>
      </c>
      <c r="S124" s="36" t="s">
        <v>71</v>
      </c>
      <c r="T124" s="89" t="s">
        <v>341</v>
      </c>
      <c r="U124" s="9"/>
      <c r="V124" s="118" t="s">
        <v>71</v>
      </c>
      <c r="W124" s="118" t="s">
        <v>145</v>
      </c>
      <c r="X124" s="136">
        <v>1</v>
      </c>
      <c r="Y124" s="23">
        <v>117</v>
      </c>
      <c r="Z124" s="34" t="str">
        <f>IF(ISERROR(VLOOKUP(Y124,'Data inputs '!$N$4:$O$23,2,0)),"",(VLOOKUP(Y124,'Data inputs '!$N$4:$O$23,2,0)))</f>
        <v>Germany(MOFA)</v>
      </c>
      <c r="AA124" s="34">
        <v>98720</v>
      </c>
      <c r="AB124" s="5">
        <v>32.065398000000002</v>
      </c>
      <c r="AC124" s="5">
        <v>12.695327000000001</v>
      </c>
      <c r="AE124" s="10">
        <f ca="1"/>
        <v>0.72884467351970195</v>
      </c>
      <c r="AF124" s="10">
        <v>0.72558244713655351</v>
      </c>
    </row>
    <row r="125" spans="1:32" s="10" customFormat="1" ht="28.5" customHeight="1">
      <c r="A125" s="96">
        <v>124</v>
      </c>
      <c r="B125" s="5" t="s">
        <v>66</v>
      </c>
      <c r="C125" s="5" t="s">
        <v>67</v>
      </c>
      <c r="D125" s="5" t="s">
        <v>17</v>
      </c>
      <c r="E125" s="5" t="s">
        <v>96</v>
      </c>
      <c r="F125" s="5" t="s">
        <v>117</v>
      </c>
      <c r="G125" s="35" t="s">
        <v>70</v>
      </c>
      <c r="H125" s="61">
        <f>10599.42+4914.29+1934.01</f>
        <v>17447.719999999998</v>
      </c>
      <c r="I125" s="61">
        <f>Table1[[#This Row],[Contracted Amount]]*AF125</f>
        <v>12380.972105169149</v>
      </c>
      <c r="J125" s="61">
        <f>10599.42+4914.29+1934.01</f>
        <v>17447.719999999998</v>
      </c>
      <c r="K125" s="61">
        <f>Table1[[#This Row],[Actual Expenditure (including admin fees)]]*AF125</f>
        <v>12380.972105169149</v>
      </c>
      <c r="L125" s="35" t="s">
        <v>71</v>
      </c>
      <c r="M125" s="42" t="s">
        <v>72</v>
      </c>
      <c r="N125" s="42">
        <v>43010</v>
      </c>
      <c r="O125" s="100" t="s">
        <v>73</v>
      </c>
      <c r="P125" s="42"/>
      <c r="Q125" s="42"/>
      <c r="R125" s="42">
        <v>43312</v>
      </c>
      <c r="S125" s="36" t="s">
        <v>71</v>
      </c>
      <c r="T125" s="89" t="s">
        <v>348</v>
      </c>
      <c r="U125" s="9"/>
      <c r="V125" s="118" t="s">
        <v>71</v>
      </c>
      <c r="W125" s="118" t="s">
        <v>145</v>
      </c>
      <c r="X125" s="136">
        <v>1</v>
      </c>
      <c r="Y125" s="23" t="s">
        <v>242</v>
      </c>
      <c r="Z125" s="34" t="s">
        <v>243</v>
      </c>
      <c r="AA125" s="34">
        <v>98720</v>
      </c>
      <c r="AB125" s="5">
        <v>32.065398000000002</v>
      </c>
      <c r="AC125" s="5">
        <v>12.695327000000001</v>
      </c>
      <c r="AE125" s="10">
        <f ca="1"/>
        <v>0.54789769418142742</v>
      </c>
      <c r="AF125" s="10">
        <v>0.70960401159401632</v>
      </c>
    </row>
    <row r="126" spans="1:32" s="10" customFormat="1" ht="28.5" customHeight="1">
      <c r="A126" s="96">
        <v>125</v>
      </c>
      <c r="B126" s="5" t="s">
        <v>84</v>
      </c>
      <c r="C126" s="5" t="s">
        <v>67</v>
      </c>
      <c r="D126" s="5" t="s">
        <v>17</v>
      </c>
      <c r="E126" s="5" t="s">
        <v>96</v>
      </c>
      <c r="F126" s="6" t="s">
        <v>146</v>
      </c>
      <c r="G126" s="35" t="s">
        <v>70</v>
      </c>
      <c r="H126" s="64">
        <v>134500</v>
      </c>
      <c r="I126" s="64">
        <f>Table1[[#This Row],[Contracted Amount]]*AF126</f>
        <v>75085.06745480471</v>
      </c>
      <c r="J126" s="64">
        <v>134500</v>
      </c>
      <c r="K126" s="64">
        <f>Table1[[#This Row],[Actual Expenditure (including admin fees)]]*AF126</f>
        <v>75085.06745480471</v>
      </c>
      <c r="L126" s="35" t="s">
        <v>71</v>
      </c>
      <c r="M126" s="42" t="s">
        <v>72</v>
      </c>
      <c r="N126" s="42">
        <v>42796</v>
      </c>
      <c r="O126" s="100" t="s">
        <v>73</v>
      </c>
      <c r="P126" s="42">
        <v>42807</v>
      </c>
      <c r="Q126" s="42">
        <f>Table1[[#This Row],[Site handover date]]+7</f>
        <v>42814</v>
      </c>
      <c r="R126" s="42">
        <v>42879</v>
      </c>
      <c r="S126" s="36" t="s">
        <v>71</v>
      </c>
      <c r="T126" s="89" t="s">
        <v>349</v>
      </c>
      <c r="U126" s="9"/>
      <c r="V126" s="118" t="s">
        <v>71</v>
      </c>
      <c r="W126" s="118" t="s">
        <v>147</v>
      </c>
      <c r="X126" s="136">
        <v>1</v>
      </c>
      <c r="Y126" s="23">
        <v>10159</v>
      </c>
      <c r="Z126" s="34" t="str">
        <f>IF(ISERROR(VLOOKUP(Y126,'Data inputs '!$N$4:$O$23,2,0)),"",(VLOOKUP(Y126,'Data inputs '!$N$4:$O$23,2,0)))</f>
        <v>EU</v>
      </c>
      <c r="AA126" s="34">
        <v>98720</v>
      </c>
      <c r="AB126" s="5">
        <v>32.057994999999998</v>
      </c>
      <c r="AC126" s="5">
        <v>12.697725999999999</v>
      </c>
      <c r="AE126" s="10">
        <f ca="1"/>
        <v>0.67015423516774963</v>
      </c>
      <c r="AF126" s="10">
        <v>0.55825328962680076</v>
      </c>
    </row>
    <row r="127" spans="1:32" s="10" customFormat="1" ht="28.5" customHeight="1">
      <c r="A127" s="96">
        <v>126</v>
      </c>
      <c r="B127" s="5" t="s">
        <v>84</v>
      </c>
      <c r="C127" s="5" t="s">
        <v>67</v>
      </c>
      <c r="D127" s="5" t="s">
        <v>17</v>
      </c>
      <c r="E127" s="5" t="s">
        <v>96</v>
      </c>
      <c r="F127" s="6" t="s">
        <v>146</v>
      </c>
      <c r="G127" s="35" t="s">
        <v>70</v>
      </c>
      <c r="H127" s="64">
        <v>20825</v>
      </c>
      <c r="I127" s="64">
        <f>Table1[[#This Row],[Contracted Amount]]*AF127</f>
        <v>10835.79796166945</v>
      </c>
      <c r="J127" s="64">
        <v>20825</v>
      </c>
      <c r="K127" s="64">
        <f>Table1[[#This Row],[Actual Expenditure (including admin fees)]]*AF127</f>
        <v>10835.79796166945</v>
      </c>
      <c r="L127" s="35" t="s">
        <v>71</v>
      </c>
      <c r="M127" s="42" t="s">
        <v>72</v>
      </c>
      <c r="N127" s="42">
        <v>43166</v>
      </c>
      <c r="O127" s="100" t="s">
        <v>73</v>
      </c>
      <c r="P127" s="42">
        <v>43189</v>
      </c>
      <c r="Q127" s="42">
        <f>Table1[[#This Row],[Site handover date]]+7</f>
        <v>43196</v>
      </c>
      <c r="R127" s="42">
        <v>43228</v>
      </c>
      <c r="S127" s="36" t="s">
        <v>71</v>
      </c>
      <c r="T127" s="89" t="s">
        <v>256</v>
      </c>
      <c r="U127" s="9"/>
      <c r="V127" s="118" t="s">
        <v>71</v>
      </c>
      <c r="W127" s="118" t="s">
        <v>101</v>
      </c>
      <c r="X127" s="136">
        <v>1</v>
      </c>
      <c r="Y127" s="23">
        <v>11410</v>
      </c>
      <c r="Z127" s="34" t="str">
        <f>IF(ISERROR(VLOOKUP(Y127,'Data inputs '!$N$4:$O$23,2,0)),"",(VLOOKUP(Y127,'Data inputs '!$N$4:$O$23,2,0)))</f>
        <v>UK (FCO)</v>
      </c>
      <c r="AA127" s="34">
        <v>98720</v>
      </c>
      <c r="AB127" s="5">
        <v>32.059027999999998</v>
      </c>
      <c r="AC127" s="5">
        <v>12.696137</v>
      </c>
      <c r="AE127" s="10">
        <f ca="1"/>
        <v>0.50880157482983035</v>
      </c>
      <c r="AF127" s="10">
        <v>0.52032643273322687</v>
      </c>
    </row>
    <row r="128" spans="1:32" s="10" customFormat="1" ht="28.5" customHeight="1">
      <c r="A128" s="96">
        <v>127</v>
      </c>
      <c r="B128" s="5" t="s">
        <v>66</v>
      </c>
      <c r="C128" s="5" t="s">
        <v>67</v>
      </c>
      <c r="D128" s="5" t="s">
        <v>17</v>
      </c>
      <c r="E128" s="5" t="s">
        <v>96</v>
      </c>
      <c r="F128" s="5" t="s">
        <v>117</v>
      </c>
      <c r="G128" s="35" t="s">
        <v>70</v>
      </c>
      <c r="H128" s="64">
        <v>4280</v>
      </c>
      <c r="I128" s="64">
        <f>Table1[[#This Row],[Contracted Amount]]*AF128</f>
        <v>2571.5796309736074</v>
      </c>
      <c r="J128" s="64">
        <v>4280</v>
      </c>
      <c r="K128" s="64">
        <f>Table1[[#This Row],[Actual Expenditure (including admin fees)]]*AF128</f>
        <v>2571.5796309736074</v>
      </c>
      <c r="L128" s="35" t="s">
        <v>71</v>
      </c>
      <c r="M128" s="42" t="s">
        <v>72</v>
      </c>
      <c r="N128" s="42">
        <v>42779</v>
      </c>
      <c r="O128" s="100" t="s">
        <v>73</v>
      </c>
      <c r="P128" s="42"/>
      <c r="Q128" s="42"/>
      <c r="R128" s="42">
        <v>42789</v>
      </c>
      <c r="S128" s="36" t="s">
        <v>71</v>
      </c>
      <c r="T128" s="89" t="s">
        <v>345</v>
      </c>
      <c r="U128" s="9"/>
      <c r="V128" s="118" t="s">
        <v>71</v>
      </c>
      <c r="W128" s="118" t="s">
        <v>145</v>
      </c>
      <c r="X128" s="136">
        <v>1</v>
      </c>
      <c r="Y128" s="23">
        <v>10283</v>
      </c>
      <c r="Z128" s="34" t="str">
        <f>IF(ISERROR(VLOOKUP(Y128,'Data inputs '!$N$4:$O$23,2,0)),"",(VLOOKUP(Y128,'Data inputs '!$N$4:$O$23,2,0)))</f>
        <v>Germay(KfW)</v>
      </c>
      <c r="AA128" s="34">
        <v>98720</v>
      </c>
      <c r="AB128" s="5">
        <v>32.065398000000002</v>
      </c>
      <c r="AC128" s="5">
        <v>12.695327000000001</v>
      </c>
      <c r="AE128" s="10">
        <f ca="1"/>
        <v>0.63809873172331932</v>
      </c>
      <c r="AF128" s="10">
        <v>0.6008363623770111</v>
      </c>
    </row>
    <row r="129" spans="1:32" s="10" customFormat="1" ht="28.5" customHeight="1">
      <c r="A129" s="96">
        <v>128</v>
      </c>
      <c r="B129" s="5" t="s">
        <v>84</v>
      </c>
      <c r="C129" s="5" t="s">
        <v>148</v>
      </c>
      <c r="D129" s="5" t="s">
        <v>20</v>
      </c>
      <c r="E129" s="5" t="s">
        <v>96</v>
      </c>
      <c r="F129" s="6" t="s">
        <v>146</v>
      </c>
      <c r="G129" s="35" t="s">
        <v>70</v>
      </c>
      <c r="H129" s="46">
        <v>147800</v>
      </c>
      <c r="I129" s="46">
        <f>Table1[[#This Row],[Contracted Amount]]*AF129</f>
        <v>77277.672413241075</v>
      </c>
      <c r="J129" s="46">
        <v>147723.41</v>
      </c>
      <c r="K129" s="46">
        <f>Table1[[#This Row],[Actual Expenditure (including admin fees)]]*AF129</f>
        <v>77237.627102482424</v>
      </c>
      <c r="L129" s="35" t="s">
        <v>71</v>
      </c>
      <c r="M129" s="42" t="s">
        <v>72</v>
      </c>
      <c r="N129" s="92">
        <v>43069</v>
      </c>
      <c r="O129" s="100" t="s">
        <v>73</v>
      </c>
      <c r="P129" s="42">
        <v>43084</v>
      </c>
      <c r="Q129" s="42">
        <f>Table1[[#This Row],[Site handover date]]+9</f>
        <v>43093</v>
      </c>
      <c r="R129" s="42">
        <v>43375</v>
      </c>
      <c r="S129" s="36" t="s">
        <v>71</v>
      </c>
      <c r="T129" s="89" t="s">
        <v>350</v>
      </c>
      <c r="U129" s="9"/>
      <c r="V129" s="118" t="s">
        <v>71</v>
      </c>
      <c r="W129" s="118" t="s">
        <v>101</v>
      </c>
      <c r="X129" s="136">
        <v>1</v>
      </c>
      <c r="Y129" s="23">
        <v>95</v>
      </c>
      <c r="Z129" s="34" t="str">
        <f>IF(ISERROR(VLOOKUP(Y129,'Data inputs '!$N$4:$O$23,2,0)),"",(VLOOKUP(Y129,'Data inputs '!$N$4:$O$23,2,0)))</f>
        <v>Denmark</v>
      </c>
      <c r="AA129" s="34">
        <v>98720</v>
      </c>
      <c r="AB129" s="5">
        <v>27.044647222222224</v>
      </c>
      <c r="AC129" s="5">
        <v>14.438600000000001</v>
      </c>
      <c r="AE129" s="10">
        <f ca="1"/>
        <v>0.67714765988658498</v>
      </c>
      <c r="AF129" s="10">
        <v>0.52285299332368795</v>
      </c>
    </row>
    <row r="130" spans="1:32" s="10" customFormat="1" ht="28.5" customHeight="1">
      <c r="A130" s="96">
        <v>129</v>
      </c>
      <c r="B130" s="5" t="s">
        <v>84</v>
      </c>
      <c r="C130" s="5" t="s">
        <v>148</v>
      </c>
      <c r="D130" s="5" t="s">
        <v>20</v>
      </c>
      <c r="E130" s="5" t="s">
        <v>96</v>
      </c>
      <c r="F130" s="6" t="s">
        <v>146</v>
      </c>
      <c r="G130" s="35" t="s">
        <v>70</v>
      </c>
      <c r="H130" s="61">
        <v>63613</v>
      </c>
      <c r="I130" s="61">
        <f>Table1[[#This Row],[Contracted Amount]]*AF130</f>
        <v>43322.522176334816</v>
      </c>
      <c r="J130" s="61">
        <v>69974.3</v>
      </c>
      <c r="K130" s="61">
        <f>Table1[[#This Row],[Actual Expenditure (including admin fees)]]*AF130</f>
        <v>47654.774393968299</v>
      </c>
      <c r="L130" s="35" t="s">
        <v>71</v>
      </c>
      <c r="M130" s="42" t="s">
        <v>72</v>
      </c>
      <c r="N130" s="42">
        <v>42927</v>
      </c>
      <c r="O130" s="100" t="s">
        <v>73</v>
      </c>
      <c r="P130" s="42">
        <v>42938</v>
      </c>
      <c r="Q130" s="42">
        <f>Table1[[#This Row],[Site handover date]]+7</f>
        <v>42945</v>
      </c>
      <c r="R130" s="42">
        <v>43282</v>
      </c>
      <c r="S130" s="36" t="s">
        <v>71</v>
      </c>
      <c r="T130" s="89" t="s">
        <v>351</v>
      </c>
      <c r="U130" s="9"/>
      <c r="V130" s="118" t="s">
        <v>71</v>
      </c>
      <c r="W130" s="118" t="s">
        <v>147</v>
      </c>
      <c r="X130" s="136">
        <v>1</v>
      </c>
      <c r="Y130" s="23">
        <v>10283</v>
      </c>
      <c r="Z130" s="34" t="str">
        <f>IF(ISERROR(VLOOKUP(Y130,'Data inputs '!$N$4:$O$23,2,0)),"",(VLOOKUP(Y130,'Data inputs '!$N$4:$O$23,2,0)))</f>
        <v>Germay(KfW)</v>
      </c>
      <c r="AA130" s="34">
        <v>98720</v>
      </c>
      <c r="AB130" s="5">
        <v>27.039502777777781</v>
      </c>
      <c r="AC130" s="5">
        <v>14.4434</v>
      </c>
      <c r="AE130" s="10">
        <f ca="1"/>
        <v>0.69969031882359234</v>
      </c>
      <c r="AF130" s="10">
        <v>0.68103252757038368</v>
      </c>
    </row>
    <row r="131" spans="1:32" s="10" customFormat="1" ht="28.5" customHeight="1">
      <c r="A131" s="96">
        <v>130</v>
      </c>
      <c r="B131" s="5" t="s">
        <v>66</v>
      </c>
      <c r="C131" s="5" t="s">
        <v>148</v>
      </c>
      <c r="D131" s="5" t="s">
        <v>20</v>
      </c>
      <c r="E131" s="5" t="s">
        <v>81</v>
      </c>
      <c r="F131" s="5" t="s">
        <v>134</v>
      </c>
      <c r="G131" s="35" t="s">
        <v>70</v>
      </c>
      <c r="H131" s="46">
        <f>510444.69+17502.76</f>
        <v>527947.44999999995</v>
      </c>
      <c r="I131" s="46">
        <f>Table1[[#This Row],[Contracted Amount]]*AF131</f>
        <v>315980.98163799971</v>
      </c>
      <c r="J131" s="44">
        <f>427483.92+17502.76</f>
        <v>444986.68</v>
      </c>
      <c r="K131" s="44">
        <f>Table1[[#This Row],[Actual Expenditure (including admin fees)]]*AF131</f>
        <v>266328.26422825694</v>
      </c>
      <c r="L131" s="35" t="s">
        <v>71</v>
      </c>
      <c r="M131" s="42" t="s">
        <v>72</v>
      </c>
      <c r="N131" s="42">
        <v>43272</v>
      </c>
      <c r="O131" s="100" t="s">
        <v>73</v>
      </c>
      <c r="P131" s="42"/>
      <c r="Q131" s="42"/>
      <c r="R131" s="42">
        <v>43722</v>
      </c>
      <c r="S131" s="36" t="s">
        <v>71</v>
      </c>
      <c r="T131" s="89" t="s">
        <v>352</v>
      </c>
      <c r="U131" s="9">
        <v>43732</v>
      </c>
      <c r="V131" s="118" t="s">
        <v>71</v>
      </c>
      <c r="W131" s="118" t="s">
        <v>111</v>
      </c>
      <c r="X131" s="136">
        <v>35</v>
      </c>
      <c r="Y131" s="132" t="s">
        <v>353</v>
      </c>
      <c r="Z131" s="88" t="s">
        <v>354</v>
      </c>
      <c r="AA131" s="34" t="s">
        <v>264</v>
      </c>
      <c r="AB131" s="5" t="s">
        <v>150</v>
      </c>
      <c r="AC131" s="5" t="s">
        <v>150</v>
      </c>
      <c r="AE131" s="10">
        <f ca="1"/>
        <v>0.59250218594333359</v>
      </c>
      <c r="AF131" s="10">
        <v>0.59850839631482211</v>
      </c>
    </row>
    <row r="132" spans="1:32" s="10" customFormat="1" ht="54" customHeight="1">
      <c r="A132" s="96">
        <v>131</v>
      </c>
      <c r="B132" s="5" t="s">
        <v>66</v>
      </c>
      <c r="C132" s="5" t="s">
        <v>148</v>
      </c>
      <c r="D132" s="5" t="s">
        <v>20</v>
      </c>
      <c r="E132" s="5" t="s">
        <v>81</v>
      </c>
      <c r="F132" s="5" t="s">
        <v>107</v>
      </c>
      <c r="G132" s="35" t="s">
        <v>70</v>
      </c>
      <c r="H132" s="46">
        <f>(417986.7/32)*30+21037.54+9349.5+9318.68+16307.69+39.28</f>
        <v>447915.22125</v>
      </c>
      <c r="I132" s="46">
        <f>Table1[[#This Row],[Contracted Amount]]*AF132</f>
        <v>274942.43978417938</v>
      </c>
      <c r="J132" s="44">
        <f>(314202.95+3443.27+23504.09+58836.96+17999.43)/32*30+5835.23+15202.31+9349.5+9318.68+9318.68+6989.01+39.28</f>
        <v>447915.22125000006</v>
      </c>
      <c r="K132" s="67">
        <f>Table1[[#This Row],[Actual Expenditure (including admin fees)]]*AF132</f>
        <v>274942.43978417944</v>
      </c>
      <c r="L132" s="35" t="s">
        <v>71</v>
      </c>
      <c r="M132" s="42" t="s">
        <v>72</v>
      </c>
      <c r="N132" s="42">
        <v>43270</v>
      </c>
      <c r="O132" s="100" t="s">
        <v>73</v>
      </c>
      <c r="P132" s="42"/>
      <c r="Q132" s="42"/>
      <c r="R132" s="42">
        <v>43710</v>
      </c>
      <c r="S132" s="36" t="s">
        <v>71</v>
      </c>
      <c r="T132" s="89" t="s">
        <v>355</v>
      </c>
      <c r="U132" s="9">
        <v>43733</v>
      </c>
      <c r="V132" s="118" t="s">
        <v>71</v>
      </c>
      <c r="W132" s="118" t="s">
        <v>108</v>
      </c>
      <c r="X132" s="136">
        <v>30</v>
      </c>
      <c r="Y132" s="23" t="s">
        <v>356</v>
      </c>
      <c r="Z132" s="34" t="s">
        <v>357</v>
      </c>
      <c r="AA132" s="34" t="s">
        <v>264</v>
      </c>
      <c r="AB132" s="5" t="s">
        <v>150</v>
      </c>
      <c r="AC132" s="5" t="s">
        <v>150</v>
      </c>
      <c r="AE132" s="10">
        <f ca="1"/>
        <v>0.69029403978306536</v>
      </c>
      <c r="AF132" s="10">
        <v>0.61382696264908276</v>
      </c>
    </row>
    <row r="133" spans="1:32" s="10" customFormat="1" ht="28.5" customHeight="1">
      <c r="A133" s="96">
        <v>132</v>
      </c>
      <c r="B133" s="5" t="s">
        <v>84</v>
      </c>
      <c r="C133" s="5" t="s">
        <v>148</v>
      </c>
      <c r="D133" s="5" t="s">
        <v>20</v>
      </c>
      <c r="E133" s="5" t="s">
        <v>81</v>
      </c>
      <c r="F133" s="5" t="s">
        <v>107</v>
      </c>
      <c r="G133" s="35" t="s">
        <v>70</v>
      </c>
      <c r="H133" s="46">
        <f>254922+5714.5</f>
        <v>260636.5</v>
      </c>
      <c r="I133" s="46">
        <f>Table1[[#This Row],[Contracted Amount]]*AF133</f>
        <v>169184.87618884444</v>
      </c>
      <c r="J133" s="44">
        <f>227031.61+7851.6+25753.39</f>
        <v>260636.59999999998</v>
      </c>
      <c r="K133" s="44">
        <f>Table1[[#This Row],[Actual Expenditure (including admin fees)]]*AF133</f>
        <v>169184.9411010406</v>
      </c>
      <c r="L133" s="35" t="s">
        <v>71</v>
      </c>
      <c r="M133" s="42" t="s">
        <v>72</v>
      </c>
      <c r="N133" s="92">
        <v>43534</v>
      </c>
      <c r="O133" s="100" t="s">
        <v>73</v>
      </c>
      <c r="P133" s="42">
        <v>43544</v>
      </c>
      <c r="Q133" s="42">
        <f>Table1[[#This Row],[Site handover date]]+10</f>
        <v>43554</v>
      </c>
      <c r="R133" s="42">
        <v>43687</v>
      </c>
      <c r="S133" s="36" t="s">
        <v>71</v>
      </c>
      <c r="T133" s="89" t="s">
        <v>358</v>
      </c>
      <c r="U133" s="9">
        <v>43733</v>
      </c>
      <c r="V133" s="118" t="s">
        <v>71</v>
      </c>
      <c r="W133" s="118" t="s">
        <v>120</v>
      </c>
      <c r="X133" s="136">
        <v>1</v>
      </c>
      <c r="Y133" s="23" t="s">
        <v>313</v>
      </c>
      <c r="Z133" s="34" t="s">
        <v>314</v>
      </c>
      <c r="AA133" s="34">
        <v>112158</v>
      </c>
      <c r="AB133" s="5" t="s">
        <v>150</v>
      </c>
      <c r="AC133" s="5" t="s">
        <v>150</v>
      </c>
      <c r="AE133" s="10">
        <f ca="1"/>
        <v>0.73802593183439813</v>
      </c>
      <c r="AF133" s="10">
        <v>0.64912196176991499</v>
      </c>
    </row>
    <row r="134" spans="1:32" s="10" customFormat="1" ht="38.25">
      <c r="A134" s="96">
        <v>133</v>
      </c>
      <c r="B134" s="5" t="s">
        <v>66</v>
      </c>
      <c r="C134" s="5" t="s">
        <v>148</v>
      </c>
      <c r="D134" s="5" t="s">
        <v>20</v>
      </c>
      <c r="E134" s="5" t="s">
        <v>81</v>
      </c>
      <c r="F134" s="5" t="s">
        <v>134</v>
      </c>
      <c r="G134" s="35" t="s">
        <v>70</v>
      </c>
      <c r="H134" s="46">
        <f>143661.95+6668.77+(11900/0.904)</f>
        <v>163494.4368141593</v>
      </c>
      <c r="I134" s="46">
        <f>Table1[[#This Row],[Contracted Amount]]*AF134</f>
        <v>109439.50686543614</v>
      </c>
      <c r="J134" s="46">
        <f>143661.95+6668.77+(11900/0.904)+118.81</f>
        <v>163613.2468141593</v>
      </c>
      <c r="K134" s="46">
        <f>Table1[[#This Row],[Actual Expenditure (including admin fees)]]*AF134</f>
        <v>109519.03561310515</v>
      </c>
      <c r="L134" s="35" t="s">
        <v>71</v>
      </c>
      <c r="M134" s="42" t="s">
        <v>72</v>
      </c>
      <c r="N134" s="42">
        <v>43243</v>
      </c>
      <c r="O134" s="100" t="s">
        <v>73</v>
      </c>
      <c r="P134" s="42"/>
      <c r="Q134" s="42"/>
      <c r="R134" s="42">
        <v>43704</v>
      </c>
      <c r="S134" s="36" t="s">
        <v>71</v>
      </c>
      <c r="T134" s="89" t="s">
        <v>359</v>
      </c>
      <c r="U134" s="9">
        <v>43705</v>
      </c>
      <c r="V134" s="118" t="s">
        <v>71</v>
      </c>
      <c r="W134" s="118" t="s">
        <v>135</v>
      </c>
      <c r="X134" s="136">
        <v>2</v>
      </c>
      <c r="Y134" s="23" t="s">
        <v>360</v>
      </c>
      <c r="Z134" s="34" t="s">
        <v>361</v>
      </c>
      <c r="AA134" s="34" t="s">
        <v>264</v>
      </c>
      <c r="AB134" s="5">
        <f>27+ 2/60+25.58/3600</f>
        <v>27.04043888888889</v>
      </c>
      <c r="AC134" s="5">
        <f>14+25/60+46.07/3600</f>
        <v>14.429463888888888</v>
      </c>
      <c r="AE134" s="10">
        <f ca="1"/>
        <v>0.5752053028060603</v>
      </c>
      <c r="AF134" s="10">
        <v>0.66937755802562093</v>
      </c>
    </row>
    <row r="135" spans="1:32" s="10" customFormat="1" ht="28.5" customHeight="1">
      <c r="A135" s="96">
        <v>134</v>
      </c>
      <c r="B135" s="5" t="s">
        <v>66</v>
      </c>
      <c r="C135" s="5" t="s">
        <v>148</v>
      </c>
      <c r="D135" s="5" t="s">
        <v>20</v>
      </c>
      <c r="E135" s="5" t="s">
        <v>81</v>
      </c>
      <c r="F135" s="5" t="s">
        <v>134</v>
      </c>
      <c r="G135" s="35" t="s">
        <v>70</v>
      </c>
      <c r="H135" s="46">
        <f>154915.95+8615.97+34596.94+8825.09+900</f>
        <v>207853.95</v>
      </c>
      <c r="I135" s="46">
        <f>Table1[[#This Row],[Contracted Amount]]*AF135</f>
        <v>151431.28875248175</v>
      </c>
      <c r="J135" s="44">
        <f>154915.95+8615.97+11716.5+2140</f>
        <v>177388.42</v>
      </c>
      <c r="K135" s="67">
        <f>Table1[[#This Row],[Actual Expenditure (including admin fees)]]*AF135</f>
        <v>129235.73042690077</v>
      </c>
      <c r="L135" s="35" t="s">
        <v>71</v>
      </c>
      <c r="M135" s="42" t="s">
        <v>72</v>
      </c>
      <c r="N135" s="42">
        <v>43367</v>
      </c>
      <c r="O135" s="100" t="s">
        <v>73</v>
      </c>
      <c r="P135" s="42"/>
      <c r="Q135" s="42"/>
      <c r="R135" s="42">
        <v>43705</v>
      </c>
      <c r="S135" s="36" t="s">
        <v>71</v>
      </c>
      <c r="T135" s="89" t="s">
        <v>362</v>
      </c>
      <c r="U135" s="9">
        <v>44228</v>
      </c>
      <c r="V135" s="118" t="s">
        <v>71</v>
      </c>
      <c r="W135" s="118" t="s">
        <v>135</v>
      </c>
      <c r="X135" s="136">
        <v>10</v>
      </c>
      <c r="Y135" s="132" t="s">
        <v>363</v>
      </c>
      <c r="Z135" s="88" t="s">
        <v>364</v>
      </c>
      <c r="AA135" s="88" t="s">
        <v>264</v>
      </c>
      <c r="AB135" s="5">
        <f>27+2/60+32.23/3600</f>
        <v>27.042286111111114</v>
      </c>
      <c r="AC135" s="5">
        <f>14+26/60+21.92/3600</f>
        <v>14.439422222222223</v>
      </c>
      <c r="AE135" s="10">
        <f ca="1"/>
        <v>0.64374787541197898</v>
      </c>
      <c r="AF135" s="10">
        <v>0.72854660088240686</v>
      </c>
    </row>
    <row r="136" spans="1:32" s="10" customFormat="1" ht="28.5" customHeight="1">
      <c r="A136" s="96">
        <v>135</v>
      </c>
      <c r="B136" s="5" t="s">
        <v>84</v>
      </c>
      <c r="C136" s="5" t="s">
        <v>148</v>
      </c>
      <c r="D136" s="5" t="s">
        <v>20</v>
      </c>
      <c r="E136" s="5" t="s">
        <v>96</v>
      </c>
      <c r="F136" s="89" t="s">
        <v>97</v>
      </c>
      <c r="G136" s="35" t="s">
        <v>70</v>
      </c>
      <c r="H136" s="62">
        <v>304593.90000000002</v>
      </c>
      <c r="I136" s="62">
        <f>Table1[[#This Row],[Contracted Amount]]*AF136</f>
        <v>224243.41559848268</v>
      </c>
      <c r="J136" s="46"/>
      <c r="K136" s="46">
        <f>Table1[[#This Row],[Actual Expenditure (including admin fees)]]*AF136</f>
        <v>0</v>
      </c>
      <c r="L136" s="35" t="s">
        <v>71</v>
      </c>
      <c r="M136" s="42" t="s">
        <v>151</v>
      </c>
      <c r="N136" s="42"/>
      <c r="O136" s="100"/>
      <c r="P136" s="42"/>
      <c r="Q136" s="42"/>
      <c r="R136" s="42"/>
      <c r="S136" s="36" t="s">
        <v>152</v>
      </c>
      <c r="T136" s="89" t="s">
        <v>365</v>
      </c>
      <c r="U136" s="9">
        <v>44760</v>
      </c>
      <c r="V136" s="118" t="s">
        <v>152</v>
      </c>
      <c r="W136" s="118" t="s">
        <v>98</v>
      </c>
      <c r="X136" s="136">
        <v>6</v>
      </c>
      <c r="Y136" s="34">
        <v>187</v>
      </c>
      <c r="Z136" s="34" t="str">
        <f>IF(ISERROR(VLOOKUP(Y136,'Data inputs '!$N$4:$O$23,2,0)),"",(VLOOKUP(Y136,'Data inputs '!$N$4:$O$23,2,0)))</f>
        <v>Norway</v>
      </c>
      <c r="AA136" s="34">
        <v>112158</v>
      </c>
      <c r="AB136" s="5" t="s">
        <v>153</v>
      </c>
      <c r="AC136" s="5" t="s">
        <v>154</v>
      </c>
      <c r="AE136" s="10">
        <f ca="1"/>
        <v>0.53387615180075609</v>
      </c>
      <c r="AF136" s="10">
        <v>0.73620455169483912</v>
      </c>
    </row>
    <row r="137" spans="1:32" s="10" customFormat="1" ht="28.5" customHeight="1">
      <c r="A137" s="96">
        <v>136</v>
      </c>
      <c r="B137" s="5" t="s">
        <v>66</v>
      </c>
      <c r="C137" s="5" t="s">
        <v>148</v>
      </c>
      <c r="D137" s="5" t="s">
        <v>20</v>
      </c>
      <c r="E137" s="5" t="s">
        <v>96</v>
      </c>
      <c r="F137" s="29" t="s">
        <v>117</v>
      </c>
      <c r="G137" s="35" t="s">
        <v>70</v>
      </c>
      <c r="H137" s="46"/>
      <c r="I137" s="46">
        <f>Table1[[#This Row],[Contracted Amount]]*AF137</f>
        <v>0</v>
      </c>
      <c r="J137" s="46"/>
      <c r="K137" s="46">
        <f>Table1[[#This Row],[Actual Expenditure (including admin fees)]]*AF137</f>
        <v>0</v>
      </c>
      <c r="L137" s="35" t="s">
        <v>75</v>
      </c>
      <c r="M137" s="42"/>
      <c r="N137" s="42"/>
      <c r="O137" s="100"/>
      <c r="P137" s="42"/>
      <c r="Q137" s="42"/>
      <c r="R137" s="42"/>
      <c r="S137" s="36" t="s">
        <v>266</v>
      </c>
      <c r="T137" s="89" t="s">
        <v>366</v>
      </c>
      <c r="U137" s="9">
        <v>43866</v>
      </c>
      <c r="V137" s="118" t="s">
        <v>266</v>
      </c>
      <c r="W137" s="118"/>
      <c r="X137" s="136"/>
      <c r="Y137" s="23"/>
      <c r="Z137" s="34" t="str">
        <f>IF(ISERROR(VLOOKUP(Y137,'Data inputs '!$N$4:$O$23,2,0)),"",(VLOOKUP(Y137,'Data inputs '!$N$4:$O$23,2,0)))</f>
        <v/>
      </c>
      <c r="AA137" s="34"/>
      <c r="AB137" s="5"/>
      <c r="AC137" s="5"/>
      <c r="AE137" s="10">
        <f ca="1"/>
        <v>0.69170796739710916</v>
      </c>
      <c r="AF137" s="10">
        <v>0.71294186719509778</v>
      </c>
    </row>
    <row r="138" spans="1:32" s="10" customFormat="1" ht="28.5" customHeight="1">
      <c r="A138" s="96">
        <v>137</v>
      </c>
      <c r="B138" s="5" t="s">
        <v>66</v>
      </c>
      <c r="C138" s="5" t="s">
        <v>148</v>
      </c>
      <c r="D138" s="5" t="s">
        <v>20</v>
      </c>
      <c r="E138" s="5" t="s">
        <v>96</v>
      </c>
      <c r="F138" s="29" t="s">
        <v>117</v>
      </c>
      <c r="G138" s="35" t="s">
        <v>70</v>
      </c>
      <c r="H138" s="46"/>
      <c r="I138" s="46">
        <f>Table1[[#This Row],[Contracted Amount]]*AF138</f>
        <v>0</v>
      </c>
      <c r="J138" s="46"/>
      <c r="K138" s="46">
        <f>Table1[[#This Row],[Actual Expenditure (including admin fees)]]*AF138</f>
        <v>0</v>
      </c>
      <c r="L138" s="35" t="s">
        <v>75</v>
      </c>
      <c r="M138" s="42"/>
      <c r="N138" s="42"/>
      <c r="O138" s="100"/>
      <c r="P138" s="42"/>
      <c r="Q138" s="42"/>
      <c r="R138" s="42"/>
      <c r="S138" s="36" t="s">
        <v>266</v>
      </c>
      <c r="T138" s="89" t="s">
        <v>366</v>
      </c>
      <c r="U138" s="9">
        <v>43866</v>
      </c>
      <c r="V138" s="118" t="s">
        <v>266</v>
      </c>
      <c r="W138" s="118"/>
      <c r="X138" s="136"/>
      <c r="Y138" s="23"/>
      <c r="Z138" s="34" t="str">
        <f>IF(ISERROR(VLOOKUP(Y138,'Data inputs '!$N$4:$O$23,2,0)),"",(VLOOKUP(Y138,'Data inputs '!$N$4:$O$23,2,0)))</f>
        <v/>
      </c>
      <c r="AA138" s="34"/>
      <c r="AB138" s="5"/>
      <c r="AC138" s="5"/>
      <c r="AE138" s="10">
        <f ca="1"/>
        <v>0.64807048835235104</v>
      </c>
      <c r="AF138" s="10">
        <v>0.64113035140305841</v>
      </c>
    </row>
    <row r="139" spans="1:32" s="10" customFormat="1" ht="28.5" customHeight="1">
      <c r="A139" s="96">
        <v>138</v>
      </c>
      <c r="B139" s="5" t="s">
        <v>66</v>
      </c>
      <c r="C139" s="5" t="s">
        <v>148</v>
      </c>
      <c r="D139" s="5" t="s">
        <v>20</v>
      </c>
      <c r="E139" s="5" t="s">
        <v>4</v>
      </c>
      <c r="F139" s="5" t="s">
        <v>87</v>
      </c>
      <c r="G139" s="35" t="s">
        <v>70</v>
      </c>
      <c r="H139" s="46">
        <v>71800</v>
      </c>
      <c r="I139" s="46">
        <f>Table1[[#This Row],[Contracted Amount]]*AF139</f>
        <v>37105.761280197941</v>
      </c>
      <c r="J139" s="46">
        <v>71300</v>
      </c>
      <c r="K139" s="46">
        <f>Table1[[#This Row],[Actual Expenditure (including admin fees)]]*AF139</f>
        <v>36847.3646139013</v>
      </c>
      <c r="L139" s="35" t="s">
        <v>71</v>
      </c>
      <c r="M139" s="42" t="s">
        <v>72</v>
      </c>
      <c r="N139" s="42">
        <v>43153</v>
      </c>
      <c r="O139" s="100" t="s">
        <v>73</v>
      </c>
      <c r="P139" s="42"/>
      <c r="Q139" s="42"/>
      <c r="R139" s="42">
        <v>43465</v>
      </c>
      <c r="S139" s="36" t="s">
        <v>71</v>
      </c>
      <c r="T139" s="89" t="s">
        <v>367</v>
      </c>
      <c r="U139" s="9"/>
      <c r="V139" s="118" t="s">
        <v>71</v>
      </c>
      <c r="W139" s="118" t="s">
        <v>155</v>
      </c>
      <c r="X139" s="136">
        <v>1</v>
      </c>
      <c r="Y139" s="23">
        <v>10159</v>
      </c>
      <c r="Z139" s="34" t="str">
        <f>IF(ISERROR(VLOOKUP(Y139,'Data inputs '!$N$4:$O$23,2,0)),"",(VLOOKUP(Y139,'Data inputs '!$N$4:$O$23,2,0)))</f>
        <v>EU</v>
      </c>
      <c r="AA139" s="34">
        <v>98720</v>
      </c>
      <c r="AB139" s="5">
        <f>27+ 1/60+34.42/3600</f>
        <v>27.026227777777777</v>
      </c>
      <c r="AC139" s="5">
        <f>14+26/60+17.7/3600</f>
        <v>14.43825</v>
      </c>
      <c r="AE139" s="10">
        <f ca="1"/>
        <v>0.5054038740825656</v>
      </c>
      <c r="AF139" s="10">
        <v>0.51679333259328608</v>
      </c>
    </row>
    <row r="140" spans="1:32" s="10" customFormat="1" ht="28.5" customHeight="1">
      <c r="A140" s="96">
        <v>139</v>
      </c>
      <c r="B140" s="5" t="s">
        <v>84</v>
      </c>
      <c r="C140" s="5" t="s">
        <v>148</v>
      </c>
      <c r="D140" s="5" t="s">
        <v>20</v>
      </c>
      <c r="E140" s="5" t="s">
        <v>4</v>
      </c>
      <c r="F140" s="5" t="s">
        <v>85</v>
      </c>
      <c r="G140" s="35" t="s">
        <v>70</v>
      </c>
      <c r="H140" s="61">
        <v>32212</v>
      </c>
      <c r="I140" s="61">
        <f>Table1[[#This Row],[Contracted Amount]]*AF140</f>
        <v>23418.249322711916</v>
      </c>
      <c r="J140" s="61">
        <v>32135</v>
      </c>
      <c r="K140" s="61">
        <f>Table1[[#This Row],[Actual Expenditure (including admin fees)]]*AF140</f>
        <v>23362.270023138812</v>
      </c>
      <c r="L140" s="35" t="s">
        <v>71</v>
      </c>
      <c r="M140" s="42" t="s">
        <v>72</v>
      </c>
      <c r="N140" s="42">
        <v>43072</v>
      </c>
      <c r="O140" s="100" t="s">
        <v>73</v>
      </c>
      <c r="P140" s="42">
        <v>43084</v>
      </c>
      <c r="Q140" s="42">
        <f>Table1[[#This Row],[Site handover date]]+8</f>
        <v>43092</v>
      </c>
      <c r="R140" s="42">
        <v>43132</v>
      </c>
      <c r="S140" s="36" t="s">
        <v>71</v>
      </c>
      <c r="T140" s="89" t="s">
        <v>256</v>
      </c>
      <c r="U140" s="9"/>
      <c r="V140" s="118" t="s">
        <v>71</v>
      </c>
      <c r="W140" s="118" t="s">
        <v>110</v>
      </c>
      <c r="X140" s="136">
        <v>1</v>
      </c>
      <c r="Y140" s="23">
        <v>10283</v>
      </c>
      <c r="Z140" s="34" t="str">
        <f>IF(ISERROR(VLOOKUP(Y140,'Data inputs '!$N$4:$O$23,2,0)),"",(VLOOKUP(Y140,'Data inputs '!$N$4:$O$23,2,0)))</f>
        <v>Germay(KfW)</v>
      </c>
      <c r="AA140" s="34">
        <v>98720</v>
      </c>
      <c r="AB140" s="5">
        <v>27.024941666666667</v>
      </c>
      <c r="AC140" s="5">
        <v>14.439755555555555</v>
      </c>
      <c r="AE140" s="10">
        <f ca="1"/>
        <v>0.72639546386342313</v>
      </c>
      <c r="AF140" s="10">
        <v>0.72700389055978876</v>
      </c>
    </row>
    <row r="141" spans="1:32" s="10" customFormat="1" ht="63.75" customHeight="1">
      <c r="A141" s="96">
        <v>140</v>
      </c>
      <c r="B141" s="5" t="s">
        <v>66</v>
      </c>
      <c r="C141" s="5" t="s">
        <v>148</v>
      </c>
      <c r="D141" s="5" t="s">
        <v>20</v>
      </c>
      <c r="E141" s="5" t="s">
        <v>4</v>
      </c>
      <c r="F141" s="147" t="s">
        <v>104</v>
      </c>
      <c r="G141" s="36" t="s">
        <v>70</v>
      </c>
      <c r="H141" s="46"/>
      <c r="I141" s="46">
        <f>Table1[[#This Row],[Contracted Amount]]*AF141</f>
        <v>0</v>
      </c>
      <c r="J141" s="46"/>
      <c r="K141" s="46">
        <f>Table1[[#This Row],[Actual Expenditure (including admin fees)]]*AF141</f>
        <v>0</v>
      </c>
      <c r="L141" s="35"/>
      <c r="M141" s="42"/>
      <c r="N141" s="42"/>
      <c r="O141" s="100"/>
      <c r="P141" s="42"/>
      <c r="Q141" s="42"/>
      <c r="R141" s="42"/>
      <c r="S141" s="36" t="s">
        <v>266</v>
      </c>
      <c r="T141" s="89" t="s">
        <v>368</v>
      </c>
      <c r="U141" s="9">
        <v>43574</v>
      </c>
      <c r="V141" s="118" t="s">
        <v>266</v>
      </c>
      <c r="W141" s="118"/>
      <c r="X141" s="136"/>
      <c r="Y141" s="23"/>
      <c r="Z141" s="34" t="str">
        <f>IF(ISERROR(VLOOKUP(Y141,'Data inputs '!$N$4:$O$23,2,0)),"",(VLOOKUP(Y141,'Data inputs '!$N$4:$O$23,2,0)))</f>
        <v/>
      </c>
      <c r="AA141" s="34"/>
      <c r="AB141" s="5"/>
      <c r="AC141" s="5"/>
      <c r="AE141" s="10">
        <f ca="1"/>
        <v>0.7045233353146112</v>
      </c>
      <c r="AF141" s="10">
        <v>0.55552738325940532</v>
      </c>
    </row>
    <row r="142" spans="1:32" s="10" customFormat="1" ht="28.5" customHeight="1">
      <c r="A142" s="96">
        <v>141</v>
      </c>
      <c r="B142" s="5" t="s">
        <v>84</v>
      </c>
      <c r="C142" s="5" t="s">
        <v>148</v>
      </c>
      <c r="D142" s="5" t="s">
        <v>24</v>
      </c>
      <c r="E142" s="5" t="s">
        <v>96</v>
      </c>
      <c r="F142" s="5" t="s">
        <v>97</v>
      </c>
      <c r="G142" s="35" t="s">
        <v>70</v>
      </c>
      <c r="H142" s="44">
        <f>712320+5400</f>
        <v>717720</v>
      </c>
      <c r="I142" s="44">
        <f>Table1[[#This Row],[Contracted Amount]]*AF142</f>
        <v>383091.57834784826</v>
      </c>
      <c r="J142" s="44">
        <f>712320+3811.7</f>
        <v>716131.7</v>
      </c>
      <c r="K142" s="44">
        <f>Table1[[#This Row],[Actual Expenditure (including admin fees)]]*AF142</f>
        <v>382243.80434978509</v>
      </c>
      <c r="L142" s="35" t="s">
        <v>71</v>
      </c>
      <c r="M142" s="42" t="s">
        <v>72</v>
      </c>
      <c r="N142" s="42">
        <v>42845</v>
      </c>
      <c r="O142" s="100" t="s">
        <v>73</v>
      </c>
      <c r="P142" s="42">
        <v>42858</v>
      </c>
      <c r="Q142" s="42">
        <f>Table1[[#This Row],[Site handover date]]+7</f>
        <v>42865</v>
      </c>
      <c r="R142" s="42">
        <v>43046</v>
      </c>
      <c r="S142" s="36" t="s">
        <v>71</v>
      </c>
      <c r="T142" s="89" t="s">
        <v>369</v>
      </c>
      <c r="U142" s="9">
        <v>43571</v>
      </c>
      <c r="V142" s="118" t="s">
        <v>71</v>
      </c>
      <c r="W142" s="118" t="s">
        <v>98</v>
      </c>
      <c r="X142" s="136">
        <v>1</v>
      </c>
      <c r="Y142" s="23">
        <v>10159</v>
      </c>
      <c r="Z142" s="34" t="str">
        <f>IF(ISERROR(VLOOKUP(Y142,'Data inputs '!$N$4:$O$23,2,0)),"",(VLOOKUP(Y142,'Data inputs '!$N$4:$O$23,2,0)))</f>
        <v>EU</v>
      </c>
      <c r="AA142" s="34">
        <v>98720</v>
      </c>
      <c r="AB142" s="5">
        <v>26.594666666666665</v>
      </c>
      <c r="AC142" s="5">
        <v>12.78001388888889</v>
      </c>
      <c r="AE142" s="10">
        <f ca="1"/>
        <v>0.50427659542249315</v>
      </c>
      <c r="AF142" s="10">
        <v>0.53376188255565993</v>
      </c>
    </row>
    <row r="143" spans="1:32" s="10" customFormat="1" ht="28.5" customHeight="1">
      <c r="A143" s="96">
        <v>142</v>
      </c>
      <c r="B143" s="5" t="s">
        <v>84</v>
      </c>
      <c r="C143" s="5" t="s">
        <v>148</v>
      </c>
      <c r="D143" s="5" t="s">
        <v>24</v>
      </c>
      <c r="E143" s="5" t="s">
        <v>96</v>
      </c>
      <c r="F143" s="5" t="s">
        <v>97</v>
      </c>
      <c r="G143" s="35" t="s">
        <v>70</v>
      </c>
      <c r="H143" s="46">
        <v>454863</v>
      </c>
      <c r="I143" s="46">
        <f>Table1[[#This Row],[Contracted Amount]]*AF143</f>
        <v>305252.94609984208</v>
      </c>
      <c r="J143" s="46">
        <v>453501.19</v>
      </c>
      <c r="K143" s="46">
        <f>Table1[[#This Row],[Actual Expenditure (including admin fees)]]*AF143</f>
        <v>304339.05221414851</v>
      </c>
      <c r="L143" s="35" t="s">
        <v>71</v>
      </c>
      <c r="M143" s="42" t="s">
        <v>72</v>
      </c>
      <c r="N143" s="42">
        <v>42846</v>
      </c>
      <c r="O143" s="100" t="s">
        <v>73</v>
      </c>
      <c r="P143" s="42">
        <v>42932</v>
      </c>
      <c r="Q143" s="42">
        <f>Table1[[#This Row],[Site handover date]]+7</f>
        <v>42939</v>
      </c>
      <c r="R143" s="42">
        <v>43100</v>
      </c>
      <c r="S143" s="36" t="s">
        <v>71</v>
      </c>
      <c r="T143" s="89" t="s">
        <v>316</v>
      </c>
      <c r="U143" s="9"/>
      <c r="V143" s="118" t="s">
        <v>71</v>
      </c>
      <c r="W143" s="118" t="s">
        <v>98</v>
      </c>
      <c r="X143" s="136">
        <v>1</v>
      </c>
      <c r="Y143" s="23">
        <v>10283</v>
      </c>
      <c r="Z143" s="34" t="str">
        <f>IF(ISERROR(VLOOKUP(Y143,'Data inputs '!$N$4:$O$23,2,0)),"",(VLOOKUP(Y143,'Data inputs '!$N$4:$O$23,2,0)))</f>
        <v>Germay(KfW)</v>
      </c>
      <c r="AA143" s="34">
        <v>98720</v>
      </c>
      <c r="AB143" s="5">
        <v>26.59386111111111</v>
      </c>
      <c r="AC143" s="5">
        <v>12.779658333333334</v>
      </c>
      <c r="AE143" s="10">
        <f ca="1"/>
        <v>0.68348201611891368</v>
      </c>
      <c r="AF143" s="10">
        <v>0.67108765958066952</v>
      </c>
    </row>
    <row r="144" spans="1:32" s="10" customFormat="1" ht="28.5" customHeight="1">
      <c r="A144" s="96">
        <v>143</v>
      </c>
      <c r="B144" s="5" t="s">
        <v>84</v>
      </c>
      <c r="C144" s="5" t="s">
        <v>148</v>
      </c>
      <c r="D144" s="5" t="s">
        <v>24</v>
      </c>
      <c r="E144" s="5" t="s">
        <v>96</v>
      </c>
      <c r="F144" s="5" t="s">
        <v>97</v>
      </c>
      <c r="G144" s="35" t="s">
        <v>70</v>
      </c>
      <c r="H144" s="46">
        <v>220600</v>
      </c>
      <c r="I144" s="46">
        <f>Table1[[#This Row],[Contracted Amount]]*AF144</f>
        <v>111125.51125221179</v>
      </c>
      <c r="J144" s="46">
        <f>39708+70592+88110.47+22058.21</f>
        <v>220468.68</v>
      </c>
      <c r="K144" s="46">
        <f>Table1[[#This Row],[Actual Expenditure (including admin fees)]]*AF144</f>
        <v>111059.35983726328</v>
      </c>
      <c r="L144" s="35" t="s">
        <v>71</v>
      </c>
      <c r="M144" s="42" t="s">
        <v>72</v>
      </c>
      <c r="N144" s="42">
        <v>42807</v>
      </c>
      <c r="O144" s="100" t="s">
        <v>73</v>
      </c>
      <c r="P144" s="42">
        <v>42857</v>
      </c>
      <c r="Q144" s="42">
        <f>Table1[[#This Row],[Site handover date]]+7</f>
        <v>42864</v>
      </c>
      <c r="R144" s="42">
        <v>42984</v>
      </c>
      <c r="S144" s="36" t="s">
        <v>71</v>
      </c>
      <c r="T144" s="89" t="s">
        <v>370</v>
      </c>
      <c r="U144" s="9"/>
      <c r="V144" s="118" t="s">
        <v>71</v>
      </c>
      <c r="W144" s="118" t="s">
        <v>98</v>
      </c>
      <c r="X144" s="136">
        <v>1</v>
      </c>
      <c r="Y144" s="23" t="s">
        <v>371</v>
      </c>
      <c r="Z144" s="34" t="s">
        <v>372</v>
      </c>
      <c r="AA144" s="34">
        <v>98720</v>
      </c>
      <c r="AB144" s="5">
        <v>26.589630555555555</v>
      </c>
      <c r="AC144" s="5">
        <v>12.771119444444444</v>
      </c>
      <c r="AE144" s="10">
        <f ca="1"/>
        <v>0.55573554816267889</v>
      </c>
      <c r="AF144" s="10">
        <v>0.5037421180970616</v>
      </c>
    </row>
    <row r="145" spans="1:32" s="10" customFormat="1" ht="28.5" customHeight="1">
      <c r="A145" s="96">
        <v>144</v>
      </c>
      <c r="B145" s="5" t="s">
        <v>84</v>
      </c>
      <c r="C145" s="5" t="s">
        <v>148</v>
      </c>
      <c r="D145" s="5" t="s">
        <v>24</v>
      </c>
      <c r="E145" s="5" t="s">
        <v>96</v>
      </c>
      <c r="F145" s="5" t="s">
        <v>97</v>
      </c>
      <c r="G145" s="35" t="s">
        <v>70</v>
      </c>
      <c r="H145" s="44">
        <f>429814.25+85774.22</f>
        <v>515588.47</v>
      </c>
      <c r="I145" s="44">
        <f>Table1[[#This Row],[Contracted Amount]]*AF145</f>
        <v>311395.50680241728</v>
      </c>
      <c r="J145" s="44">
        <f>429814.25+85725.18</f>
        <v>515539.43</v>
      </c>
      <c r="K145" s="44">
        <f>Table1[[#This Row],[Actual Expenditure (including admin fees)]]*AF145</f>
        <v>311365.88853796385</v>
      </c>
      <c r="L145" s="35" t="s">
        <v>71</v>
      </c>
      <c r="M145" s="42" t="s">
        <v>72</v>
      </c>
      <c r="N145" s="42">
        <v>42923</v>
      </c>
      <c r="O145" s="100" t="s">
        <v>73</v>
      </c>
      <c r="P145" s="42">
        <v>42943</v>
      </c>
      <c r="Q145" s="42">
        <f>Table1[[#This Row],[Site handover date]]+7</f>
        <v>42950</v>
      </c>
      <c r="R145" s="42">
        <v>43070</v>
      </c>
      <c r="S145" s="36" t="s">
        <v>71</v>
      </c>
      <c r="T145" s="89" t="s">
        <v>316</v>
      </c>
      <c r="U145" s="9"/>
      <c r="V145" s="118" t="s">
        <v>71</v>
      </c>
      <c r="W145" s="118" t="s">
        <v>98</v>
      </c>
      <c r="X145" s="136">
        <v>1</v>
      </c>
      <c r="Y145" s="23">
        <v>10283</v>
      </c>
      <c r="Z145" s="34" t="str">
        <f>IF(ISERROR(VLOOKUP(Y145,'Data inputs '!$N$4:$O$23,2,0)),"",(VLOOKUP(Y145,'Data inputs '!$N$4:$O$23,2,0)))</f>
        <v>Germay(KfW)</v>
      </c>
      <c r="AA145" s="34">
        <v>98720</v>
      </c>
      <c r="AB145" s="5">
        <v>26.589700000000001</v>
      </c>
      <c r="AC145" s="5">
        <v>12.769525000000002</v>
      </c>
      <c r="AE145" s="10">
        <f ca="1"/>
        <v>0.73731161982712612</v>
      </c>
      <c r="AF145" s="10">
        <v>0.60396134692930059</v>
      </c>
    </row>
    <row r="146" spans="1:32" s="10" customFormat="1" ht="28.5" customHeight="1">
      <c r="A146" s="96">
        <v>145</v>
      </c>
      <c r="B146" s="5" t="s">
        <v>84</v>
      </c>
      <c r="C146" s="5" t="s">
        <v>148</v>
      </c>
      <c r="D146" s="5" t="s">
        <v>24</v>
      </c>
      <c r="E146" s="5" t="s">
        <v>4</v>
      </c>
      <c r="F146" s="5" t="s">
        <v>109</v>
      </c>
      <c r="G146" s="35" t="s">
        <v>70</v>
      </c>
      <c r="H146" s="46">
        <v>360401</v>
      </c>
      <c r="I146" s="46">
        <f>Table1[[#This Row],[Contracted Amount]]*AF146</f>
        <v>266921.71499208972</v>
      </c>
      <c r="J146" s="46">
        <v>360401</v>
      </c>
      <c r="K146" s="46">
        <f>Table1[[#This Row],[Actual Expenditure (including admin fees)]]*AF146</f>
        <v>266921.71499208972</v>
      </c>
      <c r="L146" s="35" t="s">
        <v>71</v>
      </c>
      <c r="M146" s="42" t="s">
        <v>72</v>
      </c>
      <c r="N146" s="42">
        <v>42795</v>
      </c>
      <c r="O146" s="100" t="s">
        <v>73</v>
      </c>
      <c r="P146" s="42">
        <v>42806</v>
      </c>
      <c r="Q146" s="42">
        <f>Table1[[#This Row],[Site handover date]]+7</f>
        <v>42813</v>
      </c>
      <c r="R146" s="42">
        <v>42933</v>
      </c>
      <c r="S146" s="36" t="s">
        <v>71</v>
      </c>
      <c r="T146" s="89" t="s">
        <v>316</v>
      </c>
      <c r="U146" s="9"/>
      <c r="V146" s="118" t="s">
        <v>71</v>
      </c>
      <c r="W146" s="118" t="s">
        <v>110</v>
      </c>
      <c r="X146" s="136">
        <v>1</v>
      </c>
      <c r="Y146" s="23">
        <v>141</v>
      </c>
      <c r="Z146" s="34" t="str">
        <f>IF(ISERROR(VLOOKUP(Y146,'Data inputs '!$N$4:$O$23,2,0)),"",(VLOOKUP(Y146,'Data inputs '!$N$4:$O$23,2,0)))</f>
        <v>Japan</v>
      </c>
      <c r="AA146" s="34">
        <v>98720</v>
      </c>
      <c r="AB146" s="5">
        <v>26.592819444444444</v>
      </c>
      <c r="AC146" s="5">
        <v>12.762944444444445</v>
      </c>
      <c r="AE146" s="10">
        <f ca="1"/>
        <v>0.61848147611832016</v>
      </c>
      <c r="AF146" s="10">
        <v>0.74062423520492371</v>
      </c>
    </row>
    <row r="147" spans="1:32" s="10" customFormat="1" ht="28.5" customHeight="1">
      <c r="A147" s="96">
        <v>146</v>
      </c>
      <c r="B147" s="5" t="s">
        <v>66</v>
      </c>
      <c r="C147" s="5" t="s">
        <v>148</v>
      </c>
      <c r="D147" s="5" t="s">
        <v>24</v>
      </c>
      <c r="E147" s="5" t="s">
        <v>4</v>
      </c>
      <c r="F147" s="5" t="s">
        <v>125</v>
      </c>
      <c r="G147" s="35" t="s">
        <v>70</v>
      </c>
      <c r="H147" s="44">
        <f>(69429.3+8800)/0.88</f>
        <v>88896.931818181823</v>
      </c>
      <c r="I147" s="44">
        <f>Table1[[#This Row],[Contracted Amount]]*AF147</f>
        <v>55914.055962879836</v>
      </c>
      <c r="J147" s="46">
        <v>87282.15</v>
      </c>
      <c r="K147" s="46">
        <f>Table1[[#This Row],[Actual Expenditure (including admin fees)]]*AF147</f>
        <v>54898.396602055946</v>
      </c>
      <c r="L147" s="35" t="s">
        <v>71</v>
      </c>
      <c r="M147" s="42" t="s">
        <v>72</v>
      </c>
      <c r="N147" s="42">
        <v>43411</v>
      </c>
      <c r="O147" s="100" t="s">
        <v>73</v>
      </c>
      <c r="P147" s="42"/>
      <c r="Q147" s="42"/>
      <c r="R147" s="42">
        <v>43699</v>
      </c>
      <c r="S147" s="36" t="s">
        <v>71</v>
      </c>
      <c r="T147" s="89" t="s">
        <v>373</v>
      </c>
      <c r="U147" s="27">
        <v>43700</v>
      </c>
      <c r="V147" s="118" t="s">
        <v>71</v>
      </c>
      <c r="W147" s="118" t="s">
        <v>126</v>
      </c>
      <c r="X147" s="136">
        <v>1</v>
      </c>
      <c r="Y147" s="24" t="s">
        <v>374</v>
      </c>
      <c r="Z147" s="34" t="s">
        <v>375</v>
      </c>
      <c r="AA147" s="34">
        <v>98720</v>
      </c>
      <c r="AB147" s="5">
        <v>26.592819444444444</v>
      </c>
      <c r="AC147" s="5">
        <v>12.762944444444445</v>
      </c>
      <c r="AE147" s="10">
        <f ca="1"/>
        <v>0.6778516710274618</v>
      </c>
      <c r="AF147" s="10">
        <v>0.62897621795585867</v>
      </c>
    </row>
    <row r="148" spans="1:32" s="10" customFormat="1" ht="28.5" customHeight="1">
      <c r="A148" s="96">
        <v>147</v>
      </c>
      <c r="B148" s="5" t="s">
        <v>66</v>
      </c>
      <c r="C148" s="5" t="s">
        <v>148</v>
      </c>
      <c r="D148" s="5" t="s">
        <v>24</v>
      </c>
      <c r="E148" s="5" t="s">
        <v>4</v>
      </c>
      <c r="F148" s="5" t="s">
        <v>90</v>
      </c>
      <c r="G148" s="35" t="s">
        <v>70</v>
      </c>
      <c r="H148" s="46">
        <f>(477284.51/10)*2</f>
        <v>95456.902000000002</v>
      </c>
      <c r="I148" s="46">
        <f>Table1[[#This Row],[Contracted Amount]]*AF148</f>
        <v>62002.57413350018</v>
      </c>
      <c r="J148" s="46">
        <v>106394.21</v>
      </c>
      <c r="K148" s="46">
        <f>Table1[[#This Row],[Actual Expenditure (including admin fees)]]*AF148</f>
        <v>69106.735654381351</v>
      </c>
      <c r="L148" s="35" t="s">
        <v>71</v>
      </c>
      <c r="M148" s="42" t="s">
        <v>72</v>
      </c>
      <c r="N148" s="42">
        <v>42401</v>
      </c>
      <c r="O148" s="100" t="s">
        <v>73</v>
      </c>
      <c r="P148" s="42"/>
      <c r="Q148" s="42"/>
      <c r="R148" s="42">
        <v>43100</v>
      </c>
      <c r="S148" s="36" t="s">
        <v>71</v>
      </c>
      <c r="T148" s="89" t="s">
        <v>376</v>
      </c>
      <c r="U148" s="9"/>
      <c r="V148" s="118" t="s">
        <v>71</v>
      </c>
      <c r="W148" s="118" t="s">
        <v>91</v>
      </c>
      <c r="X148" s="136">
        <v>2</v>
      </c>
      <c r="Y148" s="23">
        <v>717</v>
      </c>
      <c r="Z148" s="34" t="str">
        <f>IF(ISERROR(VLOOKUP(Y148,'Data inputs '!$N$4:$O$23,2,0)),"",(VLOOKUP(Y148,'Data inputs '!$N$4:$O$23,2,0)))</f>
        <v>C/S ROK</v>
      </c>
      <c r="AA148" s="34">
        <v>98720</v>
      </c>
      <c r="AB148" s="5">
        <v>26.592819444444444</v>
      </c>
      <c r="AC148" s="5">
        <v>12.762944444444445</v>
      </c>
      <c r="AE148" s="10">
        <f ca="1"/>
        <v>0.56672853036100135</v>
      </c>
      <c r="AF148" s="10">
        <v>0.64953474117042032</v>
      </c>
    </row>
    <row r="149" spans="1:32" s="10" customFormat="1" ht="28.5" customHeight="1">
      <c r="A149" s="96">
        <v>148</v>
      </c>
      <c r="B149" s="5" t="s">
        <v>66</v>
      </c>
      <c r="C149" s="5" t="s">
        <v>148</v>
      </c>
      <c r="D149" s="5" t="s">
        <v>24</v>
      </c>
      <c r="E149" s="5" t="s">
        <v>4</v>
      </c>
      <c r="F149" s="5" t="s">
        <v>107</v>
      </c>
      <c r="G149" s="35" t="s">
        <v>70</v>
      </c>
      <c r="H149" s="46">
        <f>(312804.14/7)*2+(43885.27/10)*2+7337.88</f>
        <v>105487.54542857144</v>
      </c>
      <c r="I149" s="46">
        <f>Table1[[#This Row],[Contracted Amount]]*AF149</f>
        <v>78445.162986374678</v>
      </c>
      <c r="J149" s="46">
        <f>(312804.14/7)*2+(43885.27/10)*2+7606.13</f>
        <v>105755.79542857144</v>
      </c>
      <c r="K149" s="46">
        <f>Table1[[#This Row],[Actual Expenditure (including admin fees)]]*AF149</f>
        <v>78644.645445518094</v>
      </c>
      <c r="L149" s="35" t="s">
        <v>71</v>
      </c>
      <c r="M149" s="42" t="s">
        <v>72</v>
      </c>
      <c r="N149" s="42">
        <v>42401</v>
      </c>
      <c r="O149" s="100" t="s">
        <v>73</v>
      </c>
      <c r="P149" s="42"/>
      <c r="Q149" s="42"/>
      <c r="R149" s="42">
        <v>43100</v>
      </c>
      <c r="S149" s="36" t="s">
        <v>71</v>
      </c>
      <c r="T149" s="89" t="s">
        <v>376</v>
      </c>
      <c r="U149" s="9"/>
      <c r="V149" s="118" t="s">
        <v>71</v>
      </c>
      <c r="W149" s="118" t="s">
        <v>108</v>
      </c>
      <c r="X149" s="136">
        <v>2</v>
      </c>
      <c r="Y149" s="23" t="s">
        <v>377</v>
      </c>
      <c r="Z149" s="88" t="s">
        <v>378</v>
      </c>
      <c r="AA149" s="34">
        <v>98720</v>
      </c>
      <c r="AB149" s="5" t="s">
        <v>156</v>
      </c>
      <c r="AC149" s="5" t="s">
        <v>157</v>
      </c>
      <c r="AE149" s="10">
        <f ca="1"/>
        <v>0.66733730153387394</v>
      </c>
      <c r="AF149" s="10">
        <v>0.74364383650856758</v>
      </c>
    </row>
    <row r="150" spans="1:32" s="10" customFormat="1" ht="28.5" customHeight="1">
      <c r="A150" s="96">
        <v>149</v>
      </c>
      <c r="B150" s="5" t="s">
        <v>66</v>
      </c>
      <c r="C150" s="5" t="s">
        <v>148</v>
      </c>
      <c r="D150" s="5" t="s">
        <v>24</v>
      </c>
      <c r="E150" s="5" t="s">
        <v>68</v>
      </c>
      <c r="F150" s="5" t="s">
        <v>69</v>
      </c>
      <c r="G150" s="35" t="s">
        <v>70</v>
      </c>
      <c r="H150" s="46">
        <f>(927051.52/8)+8000</f>
        <v>123881.44</v>
      </c>
      <c r="I150" s="46">
        <f>Table1[[#This Row],[Contracted Amount]]*AF150</f>
        <v>89838.38834607249</v>
      </c>
      <c r="J150" s="46">
        <f>115881.44+7856.34</f>
        <v>123737.78</v>
      </c>
      <c r="K150" s="46">
        <f>Table1[[#This Row],[Actual Expenditure (including admin fees)]]*AF150</f>
        <v>89734.20661497704</v>
      </c>
      <c r="L150" s="35" t="s">
        <v>71</v>
      </c>
      <c r="M150" s="42" t="s">
        <v>72</v>
      </c>
      <c r="N150" s="42">
        <v>42856</v>
      </c>
      <c r="O150" s="100" t="s">
        <v>73</v>
      </c>
      <c r="P150" s="42"/>
      <c r="Q150" s="42"/>
      <c r="R150" s="42">
        <v>43524</v>
      </c>
      <c r="S150" s="36" t="s">
        <v>71</v>
      </c>
      <c r="T150" s="89" t="s">
        <v>379</v>
      </c>
      <c r="U150" s="9"/>
      <c r="V150" s="118" t="s">
        <v>71</v>
      </c>
      <c r="W150" s="118" t="s">
        <v>74</v>
      </c>
      <c r="X150" s="136">
        <v>1</v>
      </c>
      <c r="Y150" s="23" t="s">
        <v>380</v>
      </c>
      <c r="Z150" s="34" t="s">
        <v>381</v>
      </c>
      <c r="AA150" s="34">
        <v>98720</v>
      </c>
      <c r="AB150" s="5">
        <v>26.587822222222222</v>
      </c>
      <c r="AC150" s="5">
        <v>12.773866666666667</v>
      </c>
      <c r="AE150" s="10">
        <f ca="1"/>
        <v>0.67844191205971172</v>
      </c>
      <c r="AF150" s="10">
        <v>0.72519651326358892</v>
      </c>
    </row>
    <row r="151" spans="1:32" s="10" customFormat="1" ht="28.5" customHeight="1">
      <c r="A151" s="96">
        <v>150</v>
      </c>
      <c r="B151" s="5" t="s">
        <v>84</v>
      </c>
      <c r="C151" s="5" t="s">
        <v>148</v>
      </c>
      <c r="D151" s="5" t="s">
        <v>24</v>
      </c>
      <c r="E151" s="5" t="s">
        <v>112</v>
      </c>
      <c r="F151" s="5" t="s">
        <v>119</v>
      </c>
      <c r="G151" s="35" t="s">
        <v>70</v>
      </c>
      <c r="H151" s="46">
        <v>96781</v>
      </c>
      <c r="I151" s="46">
        <f>Table1[[#This Row],[Contracted Amount]]*AF151</f>
        <v>49698.325333913133</v>
      </c>
      <c r="J151" s="46">
        <v>96781</v>
      </c>
      <c r="K151" s="46">
        <f>Table1[[#This Row],[Actual Expenditure (including admin fees)]]*AF151</f>
        <v>49698.325333913133</v>
      </c>
      <c r="L151" s="35" t="s">
        <v>71</v>
      </c>
      <c r="M151" s="42" t="s">
        <v>72</v>
      </c>
      <c r="N151" s="42">
        <v>42802</v>
      </c>
      <c r="O151" s="100" t="s">
        <v>73</v>
      </c>
      <c r="P151" s="42">
        <v>42807</v>
      </c>
      <c r="Q151" s="42">
        <f>Table1[[#This Row],[Site handover date]]+7</f>
        <v>42814</v>
      </c>
      <c r="R151" s="42">
        <v>42934</v>
      </c>
      <c r="S151" s="36" t="s">
        <v>71</v>
      </c>
      <c r="T151" s="89" t="s">
        <v>316</v>
      </c>
      <c r="U151" s="9"/>
      <c r="V151" s="118" t="s">
        <v>71</v>
      </c>
      <c r="W151" s="118" t="s">
        <v>120</v>
      </c>
      <c r="X151" s="136">
        <v>1</v>
      </c>
      <c r="Y151" s="23">
        <v>10159</v>
      </c>
      <c r="Z151" s="34" t="str">
        <f>IF(ISERROR(VLOOKUP(Y151,'Data inputs '!$N$4:$O$23,2,0)),"",(VLOOKUP(Y151,'Data inputs '!$N$4:$O$23,2,0)))</f>
        <v>EU</v>
      </c>
      <c r="AA151" s="34">
        <v>98720</v>
      </c>
      <c r="AB151" s="5">
        <v>26.590994444444444</v>
      </c>
      <c r="AC151" s="5">
        <v>12.766483333333333</v>
      </c>
      <c r="AE151" s="10">
        <f ca="1"/>
        <v>0.60968622121892391</v>
      </c>
      <c r="AF151" s="10">
        <v>0.51351324468555948</v>
      </c>
    </row>
    <row r="152" spans="1:32" s="10" customFormat="1" ht="28.5" customHeight="1">
      <c r="A152" s="96">
        <v>151</v>
      </c>
      <c r="B152" s="5" t="s">
        <v>66</v>
      </c>
      <c r="C152" s="5" t="s">
        <v>148</v>
      </c>
      <c r="D152" s="5" t="s">
        <v>24</v>
      </c>
      <c r="E152" s="5" t="s">
        <v>112</v>
      </c>
      <c r="F152" s="5" t="s">
        <v>138</v>
      </c>
      <c r="G152" s="35" t="s">
        <v>70</v>
      </c>
      <c r="H152" s="46">
        <v>7275</v>
      </c>
      <c r="I152" s="46">
        <f>Table1[[#This Row],[Contracted Amount]]*AF152</f>
        <v>4604.36334880099</v>
      </c>
      <c r="J152" s="46">
        <v>7275</v>
      </c>
      <c r="K152" s="46">
        <f>Table1[[#This Row],[Actual Expenditure (including admin fees)]]*AF152</f>
        <v>4604.36334880099</v>
      </c>
      <c r="L152" s="35" t="s">
        <v>71</v>
      </c>
      <c r="M152" s="42" t="s">
        <v>72</v>
      </c>
      <c r="N152" s="42">
        <v>43300</v>
      </c>
      <c r="O152" s="100" t="s">
        <v>73</v>
      </c>
      <c r="P152" s="42"/>
      <c r="Q152" s="42"/>
      <c r="R152" s="42">
        <v>43465</v>
      </c>
      <c r="S152" s="36" t="s">
        <v>71</v>
      </c>
      <c r="T152" s="89" t="s">
        <v>256</v>
      </c>
      <c r="U152" s="9"/>
      <c r="V152" s="118" t="s">
        <v>71</v>
      </c>
      <c r="W152" s="118" t="s">
        <v>139</v>
      </c>
      <c r="X152" s="136">
        <v>1</v>
      </c>
      <c r="Y152" s="23">
        <v>141</v>
      </c>
      <c r="Z152" s="34" t="str">
        <f>IF(ISERROR(VLOOKUP(Y152,'Data inputs '!$N$4:$O$23,2,0)),"",(VLOOKUP(Y152,'Data inputs '!$N$4:$O$23,2,0)))</f>
        <v>Japan</v>
      </c>
      <c r="AA152" s="34">
        <v>98720</v>
      </c>
      <c r="AB152" s="5">
        <v>26.590994444444444</v>
      </c>
      <c r="AC152" s="5">
        <v>12.766483333333333</v>
      </c>
      <c r="AE152" s="10">
        <f ca="1"/>
        <v>0.55922418005786834</v>
      </c>
      <c r="AF152" s="10">
        <v>0.63290217852934572</v>
      </c>
    </row>
    <row r="153" spans="1:32" s="10" customFormat="1" ht="28.5" customHeight="1">
      <c r="A153" s="96">
        <v>152</v>
      </c>
      <c r="B153" s="5" t="s">
        <v>66</v>
      </c>
      <c r="C153" s="5" t="s">
        <v>148</v>
      </c>
      <c r="D153" s="5" t="s">
        <v>24</v>
      </c>
      <c r="E153" s="5" t="s">
        <v>112</v>
      </c>
      <c r="F153" s="5" t="s">
        <v>158</v>
      </c>
      <c r="G153" s="35" t="s">
        <v>70</v>
      </c>
      <c r="H153" s="46">
        <v>5035.75</v>
      </c>
      <c r="I153" s="46">
        <f>Table1[[#This Row],[Contracted Amount]]*AF153</f>
        <v>3547.502875722349</v>
      </c>
      <c r="J153" s="46">
        <v>5035.75</v>
      </c>
      <c r="K153" s="46">
        <f>Table1[[#This Row],[Actual Expenditure (including admin fees)]]*AF153</f>
        <v>3547.502875722349</v>
      </c>
      <c r="L153" s="35" t="s">
        <v>71</v>
      </c>
      <c r="M153" s="42" t="s">
        <v>72</v>
      </c>
      <c r="N153" s="42">
        <v>43300</v>
      </c>
      <c r="O153" s="100" t="s">
        <v>73</v>
      </c>
      <c r="P153" s="42"/>
      <c r="Q153" s="42"/>
      <c r="R153" s="42">
        <v>43465</v>
      </c>
      <c r="S153" s="36" t="s">
        <v>71</v>
      </c>
      <c r="T153" s="89" t="s">
        <v>256</v>
      </c>
      <c r="U153" s="9"/>
      <c r="V153" s="118" t="s">
        <v>71</v>
      </c>
      <c r="W153" s="118" t="s">
        <v>159</v>
      </c>
      <c r="X153" s="136">
        <v>1</v>
      </c>
      <c r="Y153" s="23">
        <v>141</v>
      </c>
      <c r="Z153" s="34" t="str">
        <f>IF(ISERROR(VLOOKUP(Y153,'Data inputs '!$N$4:$O$23,2,0)),"",(VLOOKUP(Y153,'Data inputs '!$N$4:$O$23,2,0)))</f>
        <v>Japan</v>
      </c>
      <c r="AA153" s="34">
        <v>98720</v>
      </c>
      <c r="AB153" s="5">
        <v>26.590994444444444</v>
      </c>
      <c r="AC153" s="5">
        <v>12.766483333333333</v>
      </c>
      <c r="AE153" s="10">
        <f ca="1"/>
        <v>0.72229243544547816</v>
      </c>
      <c r="AF153" s="10">
        <v>0.70446365997564397</v>
      </c>
    </row>
    <row r="154" spans="1:32" s="10" customFormat="1" ht="28.5" customHeight="1">
      <c r="A154" s="96">
        <v>153</v>
      </c>
      <c r="B154" s="5" t="s">
        <v>84</v>
      </c>
      <c r="C154" s="5" t="s">
        <v>148</v>
      </c>
      <c r="D154" s="5" t="s">
        <v>24</v>
      </c>
      <c r="E154" s="5" t="s">
        <v>4</v>
      </c>
      <c r="F154" s="5" t="s">
        <v>109</v>
      </c>
      <c r="G154" s="35" t="s">
        <v>70</v>
      </c>
      <c r="H154" s="46">
        <v>19850</v>
      </c>
      <c r="I154" s="46">
        <f>Table1[[#This Row],[Contracted Amount]]*AF154</f>
        <v>12065.773950654826</v>
      </c>
      <c r="J154" s="44">
        <v>19842</v>
      </c>
      <c r="K154" s="44">
        <f>Table1[[#This Row],[Actual Expenditure (including admin fees)]]*AF154</f>
        <v>12060.911170221314</v>
      </c>
      <c r="L154" s="35" t="s">
        <v>71</v>
      </c>
      <c r="M154" s="42" t="s">
        <v>72</v>
      </c>
      <c r="N154" s="42">
        <v>43224</v>
      </c>
      <c r="O154" s="100" t="s">
        <v>73</v>
      </c>
      <c r="P154" s="42"/>
      <c r="Q154" s="42"/>
      <c r="R154" s="42">
        <v>43282</v>
      </c>
      <c r="S154" s="36" t="s">
        <v>71</v>
      </c>
      <c r="T154" s="89" t="s">
        <v>256</v>
      </c>
      <c r="U154" s="9"/>
      <c r="V154" s="118" t="s">
        <v>71</v>
      </c>
      <c r="W154" s="118" t="s">
        <v>88</v>
      </c>
      <c r="X154" s="136">
        <v>1</v>
      </c>
      <c r="Y154" s="23">
        <v>11410</v>
      </c>
      <c r="Z154" s="34" t="str">
        <f>IF(ISERROR(VLOOKUP(Y154,'Data inputs '!$N$4:$O$23,2,0)),"",(VLOOKUP(Y154,'Data inputs '!$N$4:$O$23,2,0)))</f>
        <v>UK (FCO)</v>
      </c>
      <c r="AA154" s="34">
        <v>98720</v>
      </c>
      <c r="AB154" s="5">
        <v>26.59044722222222</v>
      </c>
      <c r="AC154" s="5">
        <v>12.819963888888889</v>
      </c>
      <c r="AE154" s="10">
        <f ca="1"/>
        <v>0.59737666604140049</v>
      </c>
      <c r="AF154" s="10">
        <v>0.60784755418916003</v>
      </c>
    </row>
    <row r="155" spans="1:32" s="10" customFormat="1" ht="28.5" customHeight="1">
      <c r="A155" s="96">
        <v>154</v>
      </c>
      <c r="B155" s="5" t="s">
        <v>84</v>
      </c>
      <c r="C155" s="5" t="s">
        <v>148</v>
      </c>
      <c r="D155" s="5" t="s">
        <v>24</v>
      </c>
      <c r="E155" s="5" t="s">
        <v>4</v>
      </c>
      <c r="F155" s="5" t="s">
        <v>85</v>
      </c>
      <c r="G155" s="35" t="s">
        <v>70</v>
      </c>
      <c r="H155" s="46">
        <v>39400</v>
      </c>
      <c r="I155" s="46">
        <f>Table1[[#This Row],[Contracted Amount]]*AF155</f>
        <v>24459.720636997336</v>
      </c>
      <c r="J155" s="44">
        <f>39230.8*0.9+(39230.8*0.1)</f>
        <v>39230.800000000003</v>
      </c>
      <c r="K155" s="44">
        <f>Table1[[#This Row],[Actual Expenditure (including admin fees)]]*AF155</f>
        <v>24354.680415378556</v>
      </c>
      <c r="L155" s="35" t="s">
        <v>71</v>
      </c>
      <c r="M155" s="42" t="s">
        <v>72</v>
      </c>
      <c r="N155" s="42">
        <v>43224</v>
      </c>
      <c r="O155" s="100" t="s">
        <v>73</v>
      </c>
      <c r="P155" s="42"/>
      <c r="Q155" s="42"/>
      <c r="R155" s="42">
        <v>43326</v>
      </c>
      <c r="S155" s="36" t="s">
        <v>71</v>
      </c>
      <c r="T155" s="89" t="s">
        <v>256</v>
      </c>
      <c r="U155" s="9"/>
      <c r="V155" s="118" t="s">
        <v>71</v>
      </c>
      <c r="W155" s="118" t="s">
        <v>88</v>
      </c>
      <c r="X155" s="136">
        <v>1</v>
      </c>
      <c r="Y155" s="23">
        <v>10480</v>
      </c>
      <c r="Z155" s="34" t="str">
        <f>IF(ISERROR(VLOOKUP(Y155,'Data inputs '!$N$4:$O$23,2,0)),"",(VLOOKUP(Y155,'Data inputs '!$N$4:$O$23,2,0)))</f>
        <v>USAID</v>
      </c>
      <c r="AA155" s="34">
        <v>98720</v>
      </c>
      <c r="AB155" s="5">
        <v>26.585799999999999</v>
      </c>
      <c r="AC155" s="5">
        <v>12.799869444444445</v>
      </c>
      <c r="AE155" s="10">
        <f ca="1"/>
        <v>0.61058181477058071</v>
      </c>
      <c r="AF155" s="10">
        <v>0.62080509230957703</v>
      </c>
    </row>
    <row r="156" spans="1:32" s="10" customFormat="1" ht="28.5" customHeight="1">
      <c r="A156" s="96">
        <v>155</v>
      </c>
      <c r="B156" s="5" t="s">
        <v>84</v>
      </c>
      <c r="C156" s="5" t="s">
        <v>148</v>
      </c>
      <c r="D156" s="5" t="s">
        <v>24</v>
      </c>
      <c r="E156" s="5" t="s">
        <v>112</v>
      </c>
      <c r="F156" s="5" t="s">
        <v>160</v>
      </c>
      <c r="G156" s="35" t="s">
        <v>70</v>
      </c>
      <c r="H156" s="46">
        <f>478260.9+32359.19</f>
        <v>510620.09</v>
      </c>
      <c r="I156" s="46">
        <f>Table1[[#This Row],[Contracted Amount]]*AF156</f>
        <v>314647.94223115809</v>
      </c>
      <c r="J156" s="46">
        <f>478260.9+32359.19</f>
        <v>510620.09</v>
      </c>
      <c r="K156" s="46">
        <f>Table1[[#This Row],[Actual Expenditure (including admin fees)]]*AF156</f>
        <v>314647.94223115809</v>
      </c>
      <c r="L156" s="35" t="s">
        <v>71</v>
      </c>
      <c r="M156" s="42" t="s">
        <v>72</v>
      </c>
      <c r="N156" s="42">
        <v>42933</v>
      </c>
      <c r="O156" s="100" t="s">
        <v>73</v>
      </c>
      <c r="P156" s="42">
        <v>42950</v>
      </c>
      <c r="Q156" s="42">
        <f>Table1[[#This Row],[Site handover date]]+7</f>
        <v>42957</v>
      </c>
      <c r="R156" s="42">
        <v>43221</v>
      </c>
      <c r="S156" s="36" t="s">
        <v>71</v>
      </c>
      <c r="T156" s="89" t="s">
        <v>256</v>
      </c>
      <c r="U156" s="9"/>
      <c r="V156" s="118" t="s">
        <v>71</v>
      </c>
      <c r="W156" s="118" t="s">
        <v>120</v>
      </c>
      <c r="X156" s="136">
        <v>1</v>
      </c>
      <c r="Y156" s="23">
        <v>10283</v>
      </c>
      <c r="Z156" s="34" t="str">
        <f>IF(ISERROR(VLOOKUP(Y156,'Data inputs '!$N$4:$O$23,2,0)),"",(VLOOKUP(Y156,'Data inputs '!$N$4:$O$23,2,0)))</f>
        <v>Germay(KfW)</v>
      </c>
      <c r="AA156" s="34">
        <v>98720</v>
      </c>
      <c r="AB156" s="5">
        <v>26.588061111111109</v>
      </c>
      <c r="AC156" s="5">
        <v>12.77771388888889</v>
      </c>
      <c r="AE156" s="10">
        <f ca="1"/>
        <v>0.71462665411912929</v>
      </c>
      <c r="AF156" s="10">
        <v>0.61620752569911241</v>
      </c>
    </row>
    <row r="157" spans="1:32" s="10" customFormat="1" ht="28.5" customHeight="1">
      <c r="A157" s="96">
        <v>156</v>
      </c>
      <c r="B157" s="5" t="s">
        <v>66</v>
      </c>
      <c r="C157" s="5" t="s">
        <v>148</v>
      </c>
      <c r="D157" s="5" t="s">
        <v>24</v>
      </c>
      <c r="E157" s="5" t="s">
        <v>81</v>
      </c>
      <c r="F157" s="47" t="s">
        <v>113</v>
      </c>
      <c r="G157" s="40" t="s">
        <v>70</v>
      </c>
      <c r="H157" s="66">
        <f>34240+7140</f>
        <v>41380</v>
      </c>
      <c r="I157" s="145">
        <f>Table1[[#This Row],[Contracted Amount]]*AF157</f>
        <v>30860.800562164444</v>
      </c>
      <c r="J157" s="67">
        <f>32000+6440</f>
        <v>38440</v>
      </c>
      <c r="K157" s="67">
        <f>Table1[[#This Row],[Actual Expenditure (including admin fees)]]*AF157</f>
        <v>28668.177225944932</v>
      </c>
      <c r="L157" s="35" t="s">
        <v>71</v>
      </c>
      <c r="M157" s="42" t="s">
        <v>72</v>
      </c>
      <c r="N157" s="42">
        <v>42859</v>
      </c>
      <c r="O157" s="100" t="s">
        <v>73</v>
      </c>
      <c r="P157" s="42"/>
      <c r="Q157" s="42"/>
      <c r="R157" s="42">
        <v>43100</v>
      </c>
      <c r="S157" s="36" t="s">
        <v>71</v>
      </c>
      <c r="T157" s="89" t="s">
        <v>376</v>
      </c>
      <c r="U157" s="33"/>
      <c r="V157" s="119" t="s">
        <v>71</v>
      </c>
      <c r="W157" s="119" t="s">
        <v>114</v>
      </c>
      <c r="X157" s="115">
        <v>1</v>
      </c>
      <c r="Y157" s="26">
        <v>10159</v>
      </c>
      <c r="Z157" s="34" t="str">
        <f>IF(ISERROR(VLOOKUP(Y157,'Data inputs '!$N$4:$O$23,2,0)),"",(VLOOKUP(Y157,'Data inputs '!$N$4:$O$23,2,0)))</f>
        <v>EU</v>
      </c>
      <c r="AA157" s="34">
        <v>98720</v>
      </c>
      <c r="AB157" s="5">
        <v>26.587822222222222</v>
      </c>
      <c r="AC157" s="5">
        <v>12.773866666666667</v>
      </c>
      <c r="AE157" s="10">
        <f ca="1"/>
        <v>0.51549880576978435</v>
      </c>
      <c r="AF157" s="10">
        <v>0.74579025041480052</v>
      </c>
    </row>
    <row r="158" spans="1:32" s="10" customFormat="1" ht="28.5" customHeight="1">
      <c r="A158" s="96">
        <v>157</v>
      </c>
      <c r="B158" s="5" t="s">
        <v>84</v>
      </c>
      <c r="C158" s="5" t="s">
        <v>67</v>
      </c>
      <c r="D158" s="5" t="s">
        <v>23</v>
      </c>
      <c r="E158" s="5" t="s">
        <v>4</v>
      </c>
      <c r="F158" s="5" t="s">
        <v>109</v>
      </c>
      <c r="G158" s="35" t="s">
        <v>70</v>
      </c>
      <c r="H158" s="44">
        <v>450605</v>
      </c>
      <c r="I158" s="44">
        <f>Table1[[#This Row],[Contracted Amount]]*AF158</f>
        <v>324059.8004818898</v>
      </c>
      <c r="J158" s="44">
        <f>(250128.91+192559.92+7600)*0.9+45028.88</f>
        <v>450288.82700000005</v>
      </c>
      <c r="K158" s="44">
        <f>Table1[[#This Row],[Actual Expenditure (including admin fees)]]*AF158</f>
        <v>323832.41960662708</v>
      </c>
      <c r="L158" s="35" t="s">
        <v>71</v>
      </c>
      <c r="M158" s="42" t="s">
        <v>72</v>
      </c>
      <c r="N158" s="42">
        <v>43165</v>
      </c>
      <c r="O158" s="100" t="s">
        <v>73</v>
      </c>
      <c r="P158" s="42">
        <v>43177</v>
      </c>
      <c r="Q158" s="42">
        <v>43647</v>
      </c>
      <c r="R158" s="42">
        <v>43881</v>
      </c>
      <c r="S158" s="36" t="s">
        <v>71</v>
      </c>
      <c r="T158" s="89" t="s">
        <v>382</v>
      </c>
      <c r="U158" s="9">
        <v>43881</v>
      </c>
      <c r="V158" s="118" t="s">
        <v>71</v>
      </c>
      <c r="W158" s="118" t="s">
        <v>110</v>
      </c>
      <c r="X158" s="136">
        <v>1</v>
      </c>
      <c r="Y158" s="23" t="s">
        <v>383</v>
      </c>
      <c r="Z158" s="34" t="s">
        <v>384</v>
      </c>
      <c r="AA158" s="34">
        <v>98720</v>
      </c>
      <c r="AB158" s="5">
        <v>32.880434000000001</v>
      </c>
      <c r="AC158" s="5">
        <v>13.190073</v>
      </c>
      <c r="AE158" s="10">
        <f ca="1"/>
        <v>0.65275344000612234</v>
      </c>
      <c r="AF158" s="10">
        <v>0.71916601121134871</v>
      </c>
    </row>
    <row r="159" spans="1:32" s="10" customFormat="1" ht="28.5" customHeight="1">
      <c r="A159" s="96">
        <v>158</v>
      </c>
      <c r="B159" s="5" t="s">
        <v>84</v>
      </c>
      <c r="C159" s="5" t="s">
        <v>67</v>
      </c>
      <c r="D159" s="5" t="s">
        <v>23</v>
      </c>
      <c r="E159" s="5" t="s">
        <v>4</v>
      </c>
      <c r="F159" s="5" t="s">
        <v>109</v>
      </c>
      <c r="G159" s="35" t="s">
        <v>70</v>
      </c>
      <c r="H159" s="44">
        <v>185699</v>
      </c>
      <c r="I159" s="44">
        <f>Table1[[#This Row],[Contracted Amount]]*AF159</f>
        <v>100109.50806530769</v>
      </c>
      <c r="J159" s="44">
        <f>167129+18569.9</f>
        <v>185698.9</v>
      </c>
      <c r="K159" s="44">
        <f>Table1[[#This Row],[Actual Expenditure (including admin fees)]]*AF159</f>
        <v>100109.45415575079</v>
      </c>
      <c r="L159" s="35" t="s">
        <v>71</v>
      </c>
      <c r="M159" s="42" t="s">
        <v>72</v>
      </c>
      <c r="N159" s="92">
        <v>43696</v>
      </c>
      <c r="O159" s="100" t="s">
        <v>73</v>
      </c>
      <c r="P159" s="42">
        <v>43999</v>
      </c>
      <c r="Q159" s="42"/>
      <c r="R159" s="42">
        <v>44223</v>
      </c>
      <c r="S159" s="36" t="s">
        <v>71</v>
      </c>
      <c r="T159" s="89" t="s">
        <v>385</v>
      </c>
      <c r="U159" s="9">
        <v>44228</v>
      </c>
      <c r="V159" s="118" t="s">
        <v>71</v>
      </c>
      <c r="W159" s="118" t="s">
        <v>110</v>
      </c>
      <c r="X159" s="136">
        <v>1</v>
      </c>
      <c r="Y159" s="23">
        <v>10283</v>
      </c>
      <c r="Z159" s="34" t="str">
        <f>IF(ISERROR(VLOOKUP(Y159,'Data inputs '!$N$4:$O$23,2,0)),"",(VLOOKUP(Y159,'Data inputs '!$N$4:$O$23,2,0)))</f>
        <v>Germay(KfW)</v>
      </c>
      <c r="AA159" s="34">
        <v>112158</v>
      </c>
      <c r="AB159" s="5">
        <v>32.558340999999999</v>
      </c>
      <c r="AC159" s="5">
        <v>13.178202000000001</v>
      </c>
      <c r="AE159" s="10">
        <f ca="1"/>
        <v>0.55057247473608584</v>
      </c>
      <c r="AF159" s="10">
        <v>0.53909556898695032</v>
      </c>
    </row>
    <row r="160" spans="1:32" s="10" customFormat="1" ht="28.5" customHeight="1">
      <c r="A160" s="96">
        <v>159</v>
      </c>
      <c r="B160" s="5" t="s">
        <v>84</v>
      </c>
      <c r="C160" s="5" t="s">
        <v>67</v>
      </c>
      <c r="D160" s="5" t="s">
        <v>23</v>
      </c>
      <c r="E160" s="5" t="s">
        <v>4</v>
      </c>
      <c r="F160" s="5" t="s">
        <v>109</v>
      </c>
      <c r="G160" s="35" t="s">
        <v>70</v>
      </c>
      <c r="H160" s="44">
        <v>146172</v>
      </c>
      <c r="I160" s="44">
        <f>Table1[[#This Row],[Contracted Amount]]*AF160</f>
        <v>78479.379026710099</v>
      </c>
      <c r="J160" s="44">
        <f>106374.6+25173.9+14616.5</f>
        <v>146165</v>
      </c>
      <c r="K160" s="44">
        <f>Table1[[#This Row],[Actual Expenditure (including admin fees)]]*AF160</f>
        <v>78475.620744322325</v>
      </c>
      <c r="L160" s="35" t="s">
        <v>71</v>
      </c>
      <c r="M160" s="42" t="s">
        <v>72</v>
      </c>
      <c r="N160" s="92">
        <v>43634</v>
      </c>
      <c r="O160" s="100" t="s">
        <v>73</v>
      </c>
      <c r="P160" s="42">
        <v>43670</v>
      </c>
      <c r="Q160" s="42"/>
      <c r="R160" s="42">
        <v>43881</v>
      </c>
      <c r="S160" s="36" t="s">
        <v>71</v>
      </c>
      <c r="T160" s="89" t="s">
        <v>386</v>
      </c>
      <c r="U160" s="9">
        <v>43881</v>
      </c>
      <c r="V160" s="118" t="s">
        <v>71</v>
      </c>
      <c r="W160" s="118" t="s">
        <v>110</v>
      </c>
      <c r="X160" s="136">
        <v>1</v>
      </c>
      <c r="Y160" s="23">
        <v>10159</v>
      </c>
      <c r="Z160" s="34" t="str">
        <f>IF(ISERROR(VLOOKUP(Y160,'Data inputs '!$N$4:$O$23,2,0)),"",(VLOOKUP(Y160,'Data inputs '!$N$4:$O$23,2,0)))</f>
        <v>EU</v>
      </c>
      <c r="AA160" s="34">
        <v>112158</v>
      </c>
      <c r="AB160" s="5">
        <v>32.884281999999999</v>
      </c>
      <c r="AC160" s="5">
        <v>13.162879</v>
      </c>
      <c r="AE160" s="10">
        <f ca="1"/>
        <v>0.6497272015461405</v>
      </c>
      <c r="AF160" s="10">
        <v>0.53689748396895509</v>
      </c>
    </row>
    <row r="161" spans="1:32" s="10" customFormat="1" ht="28.5" customHeight="1">
      <c r="A161" s="96">
        <v>160</v>
      </c>
      <c r="B161" s="5" t="s">
        <v>84</v>
      </c>
      <c r="C161" s="5" t="s">
        <v>67</v>
      </c>
      <c r="D161" s="5" t="s">
        <v>23</v>
      </c>
      <c r="E161" s="5" t="s">
        <v>4</v>
      </c>
      <c r="F161" s="89" t="s">
        <v>109</v>
      </c>
      <c r="G161" s="35" t="s">
        <v>70</v>
      </c>
      <c r="H161" s="44">
        <v>225665</v>
      </c>
      <c r="I161" s="44">
        <f>Table1[[#This Row],[Contracted Amount]]*AF161</f>
        <v>163688.98058866395</v>
      </c>
      <c r="J161" s="44">
        <f>70434.45+132535.44</f>
        <v>202969.89</v>
      </c>
      <c r="K161" s="44">
        <f>Table1[[#This Row],[Actual Expenditure (including admin fees)]]*AF161</f>
        <v>147226.79362902205</v>
      </c>
      <c r="L161" s="35" t="s">
        <v>71</v>
      </c>
      <c r="M161" s="42" t="s">
        <v>72</v>
      </c>
      <c r="N161" s="92">
        <v>44083</v>
      </c>
      <c r="O161" s="100" t="s">
        <v>73</v>
      </c>
      <c r="P161" s="92">
        <v>44105</v>
      </c>
      <c r="Q161" s="42">
        <v>44133</v>
      </c>
      <c r="R161" s="42">
        <v>44356</v>
      </c>
      <c r="S161" s="36" t="s">
        <v>71</v>
      </c>
      <c r="T161" s="89" t="s">
        <v>387</v>
      </c>
      <c r="U161" s="9">
        <v>44357</v>
      </c>
      <c r="V161" s="118" t="s">
        <v>71</v>
      </c>
      <c r="W161" s="118" t="s">
        <v>110</v>
      </c>
      <c r="X161" s="136">
        <v>1</v>
      </c>
      <c r="Y161" s="23" t="s">
        <v>291</v>
      </c>
      <c r="Z161" s="34" t="s">
        <v>292</v>
      </c>
      <c r="AA161" s="34">
        <v>112158</v>
      </c>
      <c r="AB161" s="5">
        <v>32.877130000000001</v>
      </c>
      <c r="AC161" s="5">
        <v>13.396316000000001</v>
      </c>
      <c r="AE161" s="10">
        <f ca="1"/>
        <v>0.57105866251233528</v>
      </c>
      <c r="AF161" s="10">
        <v>0.72536273054600386</v>
      </c>
    </row>
    <row r="162" spans="1:32" s="10" customFormat="1" ht="28.5" customHeight="1">
      <c r="A162" s="96">
        <v>161</v>
      </c>
      <c r="B162" s="5" t="s">
        <v>84</v>
      </c>
      <c r="C162" s="5" t="s">
        <v>67</v>
      </c>
      <c r="D162" s="5" t="s">
        <v>23</v>
      </c>
      <c r="E162" s="5" t="s">
        <v>4</v>
      </c>
      <c r="F162" s="89" t="s">
        <v>109</v>
      </c>
      <c r="G162" s="35" t="s">
        <v>70</v>
      </c>
      <c r="H162" s="44">
        <v>120500</v>
      </c>
      <c r="I162" s="44">
        <f>Table1[[#This Row],[Contracted Amount]]*AF162</f>
        <v>65609.03053481922</v>
      </c>
      <c r="J162" s="44">
        <f>108430.62+12047.85</f>
        <v>120478.47</v>
      </c>
      <c r="K162" s="44">
        <f>Table1[[#This Row],[Actual Expenditure (including admin fees)]]*AF162</f>
        <v>65597.308025048143</v>
      </c>
      <c r="L162" s="35" t="s">
        <v>71</v>
      </c>
      <c r="M162" s="42" t="s">
        <v>72</v>
      </c>
      <c r="N162" s="92">
        <v>44040</v>
      </c>
      <c r="O162" s="100" t="s">
        <v>73</v>
      </c>
      <c r="P162" s="42">
        <v>44059</v>
      </c>
      <c r="Q162" s="42"/>
      <c r="R162" s="42">
        <v>44455</v>
      </c>
      <c r="S162" s="36" t="s">
        <v>71</v>
      </c>
      <c r="T162" s="89" t="s">
        <v>388</v>
      </c>
      <c r="U162" s="9">
        <v>44460</v>
      </c>
      <c r="V162" s="118" t="s">
        <v>71</v>
      </c>
      <c r="W162" s="118" t="s">
        <v>110</v>
      </c>
      <c r="X162" s="136">
        <v>1</v>
      </c>
      <c r="Y162" s="23">
        <v>151</v>
      </c>
      <c r="Z162" s="34" t="str">
        <f>IF(ISERROR(VLOOKUP(Y162,'Data inputs '!$N$4:$O$23,2,0)),"",(VLOOKUP(Y162,'Data inputs '!$N$4:$O$23,2,0)))</f>
        <v>Gov't of Libya</v>
      </c>
      <c r="AA162" s="34">
        <v>112158</v>
      </c>
      <c r="AB162" s="5">
        <v>32.854459499999997</v>
      </c>
      <c r="AC162" s="5">
        <v>13.1747602</v>
      </c>
      <c r="AE162" s="10">
        <f ca="1"/>
        <v>0.59967695684777</v>
      </c>
      <c r="AF162" s="10">
        <v>0.54447328244663251</v>
      </c>
    </row>
    <row r="163" spans="1:32" s="10" customFormat="1" ht="28.5" customHeight="1">
      <c r="A163" s="96">
        <v>162</v>
      </c>
      <c r="B163" s="5" t="s">
        <v>66</v>
      </c>
      <c r="C163" s="5" t="s">
        <v>67</v>
      </c>
      <c r="D163" s="5" t="s">
        <v>23</v>
      </c>
      <c r="E163" s="5" t="s">
        <v>81</v>
      </c>
      <c r="F163" s="5" t="s">
        <v>82</v>
      </c>
      <c r="G163" s="35" t="s">
        <v>70</v>
      </c>
      <c r="H163" s="46">
        <f>1098024.64+21289.95+81619.26</f>
        <v>1200933.8499999999</v>
      </c>
      <c r="I163" s="46">
        <f>Table1[[#This Row],[Contracted Amount]]*AF163</f>
        <v>828929.33742092631</v>
      </c>
      <c r="J163" s="46">
        <f>1033145.81+1040.86+81619.26+20562.29</f>
        <v>1136368.22</v>
      </c>
      <c r="K163" s="46">
        <f>Table1[[#This Row],[Actual Expenditure (including admin fees)]]*AF163</f>
        <v>784363.73133357638</v>
      </c>
      <c r="L163" s="35" t="s">
        <v>71</v>
      </c>
      <c r="M163" s="42" t="s">
        <v>72</v>
      </c>
      <c r="N163" s="42">
        <v>43387</v>
      </c>
      <c r="O163" s="100" t="s">
        <v>73</v>
      </c>
      <c r="P163" s="100"/>
      <c r="Q163" s="100"/>
      <c r="R163" s="42">
        <v>43658</v>
      </c>
      <c r="S163" s="36" t="s">
        <v>71</v>
      </c>
      <c r="T163" s="89" t="s">
        <v>389</v>
      </c>
      <c r="U163" s="9">
        <v>43619</v>
      </c>
      <c r="V163" s="118" t="s">
        <v>71</v>
      </c>
      <c r="W163" s="118" t="s">
        <v>83</v>
      </c>
      <c r="X163" s="136">
        <v>5</v>
      </c>
      <c r="Y163" s="23" t="s">
        <v>390</v>
      </c>
      <c r="Z163" s="34" t="s">
        <v>391</v>
      </c>
      <c r="AA163" s="34" t="s">
        <v>264</v>
      </c>
      <c r="AB163" s="5"/>
      <c r="AC163" s="5"/>
      <c r="AE163" s="10">
        <f ca="1"/>
        <v>0.64941574293842663</v>
      </c>
      <c r="AF163" s="10">
        <v>0.69023729943237622</v>
      </c>
    </row>
    <row r="164" spans="1:32" s="10" customFormat="1" ht="38.25">
      <c r="A164" s="96">
        <v>163</v>
      </c>
      <c r="B164" s="5" t="s">
        <v>66</v>
      </c>
      <c r="C164" s="5" t="s">
        <v>67</v>
      </c>
      <c r="D164" s="5" t="s">
        <v>23</v>
      </c>
      <c r="E164" s="5" t="s">
        <v>81</v>
      </c>
      <c r="F164" s="29" t="s">
        <v>82</v>
      </c>
      <c r="G164" s="36" t="s">
        <v>70</v>
      </c>
      <c r="H164" s="46"/>
      <c r="I164" s="46">
        <f>Table1[[#This Row],[Contracted Amount]]*AF164</f>
        <v>0</v>
      </c>
      <c r="J164" s="46"/>
      <c r="K164" s="46">
        <f>Table1[[#This Row],[Actual Expenditure (including admin fees)]]*AF164</f>
        <v>0</v>
      </c>
      <c r="L164" s="35"/>
      <c r="M164" s="42"/>
      <c r="N164" s="42"/>
      <c r="O164" s="100"/>
      <c r="P164" s="42"/>
      <c r="Q164" s="42"/>
      <c r="R164" s="42"/>
      <c r="S164" s="36" t="s">
        <v>266</v>
      </c>
      <c r="T164" s="90" t="s">
        <v>392</v>
      </c>
      <c r="U164" s="9" t="s">
        <v>393</v>
      </c>
      <c r="V164" s="118" t="s">
        <v>266</v>
      </c>
      <c r="W164" s="118"/>
      <c r="X164" s="136"/>
      <c r="Y164" s="23"/>
      <c r="Z164" s="34" t="str">
        <f>IF(ISERROR(VLOOKUP(Y164,'Data inputs '!$N$4:$O$23,2,0)),"",(VLOOKUP(Y164,'Data inputs '!$N$4:$O$23,2,0)))</f>
        <v/>
      </c>
      <c r="AA164" s="34"/>
      <c r="AB164" s="5"/>
      <c r="AC164" s="5"/>
      <c r="AE164" s="10">
        <f ca="1"/>
        <v>0.60974888843143071</v>
      </c>
      <c r="AF164" s="10">
        <v>0.52066566155356675</v>
      </c>
    </row>
    <row r="165" spans="1:32" s="10" customFormat="1" ht="38.25">
      <c r="A165" s="96">
        <v>164</v>
      </c>
      <c r="B165" s="5" t="s">
        <v>66</v>
      </c>
      <c r="C165" s="5" t="s">
        <v>67</v>
      </c>
      <c r="D165" s="5" t="s">
        <v>23</v>
      </c>
      <c r="E165" s="5" t="s">
        <v>81</v>
      </c>
      <c r="F165" s="29" t="s">
        <v>82</v>
      </c>
      <c r="G165" s="36" t="s">
        <v>70</v>
      </c>
      <c r="H165" s="46"/>
      <c r="I165" s="46">
        <f>Table1[[#This Row],[Contracted Amount]]*AF165</f>
        <v>0</v>
      </c>
      <c r="J165" s="46"/>
      <c r="K165" s="46">
        <f>Table1[[#This Row],[Actual Expenditure (including admin fees)]]*AF165</f>
        <v>0</v>
      </c>
      <c r="L165" s="35"/>
      <c r="M165" s="42"/>
      <c r="N165" s="42"/>
      <c r="O165" s="100"/>
      <c r="P165" s="42"/>
      <c r="Q165" s="42"/>
      <c r="R165" s="42"/>
      <c r="S165" s="36" t="s">
        <v>266</v>
      </c>
      <c r="T165" s="90" t="s">
        <v>392</v>
      </c>
      <c r="U165" s="9" t="s">
        <v>393</v>
      </c>
      <c r="V165" s="118" t="s">
        <v>266</v>
      </c>
      <c r="W165" s="118"/>
      <c r="X165" s="136"/>
      <c r="Y165" s="23"/>
      <c r="Z165" s="34" t="str">
        <f>IF(ISERROR(VLOOKUP(Y165,'Data inputs '!$N$4:$O$23,2,0)),"",(VLOOKUP(Y165,'Data inputs '!$N$4:$O$23,2,0)))</f>
        <v/>
      </c>
      <c r="AA165" s="34"/>
      <c r="AB165" s="5"/>
      <c r="AC165" s="5"/>
      <c r="AE165" s="10">
        <f ca="1"/>
        <v>0.62027104764381047</v>
      </c>
      <c r="AF165" s="10">
        <v>0.55826996902376602</v>
      </c>
    </row>
    <row r="166" spans="1:32" s="10" customFormat="1" ht="38.25" customHeight="1">
      <c r="A166" s="96">
        <v>165</v>
      </c>
      <c r="B166" s="5" t="s">
        <v>66</v>
      </c>
      <c r="C166" s="5" t="s">
        <v>67</v>
      </c>
      <c r="D166" s="5" t="s">
        <v>23</v>
      </c>
      <c r="E166" s="5" t="s">
        <v>68</v>
      </c>
      <c r="F166" s="29" t="s">
        <v>394</v>
      </c>
      <c r="G166" s="35" t="s">
        <v>70</v>
      </c>
      <c r="H166" s="44"/>
      <c r="I166" s="44">
        <f>Table1[[#This Row],[Contracted Amount]]*AF166</f>
        <v>0</v>
      </c>
      <c r="J166" s="46"/>
      <c r="K166" s="46">
        <f>Table1[[#This Row],[Actual Expenditure (including admin fees)]]*AF166</f>
        <v>0</v>
      </c>
      <c r="L166" s="35" t="s">
        <v>93</v>
      </c>
      <c r="M166" s="42"/>
      <c r="N166" s="42"/>
      <c r="O166" s="100"/>
      <c r="P166" s="42"/>
      <c r="Q166" s="42"/>
      <c r="R166" s="42"/>
      <c r="S166" s="36" t="s">
        <v>266</v>
      </c>
      <c r="T166" s="90" t="s">
        <v>395</v>
      </c>
      <c r="U166" s="9">
        <v>43564</v>
      </c>
      <c r="V166" s="118" t="s">
        <v>266</v>
      </c>
      <c r="W166" s="118"/>
      <c r="X166" s="136"/>
      <c r="Y166" s="23"/>
      <c r="Z166" s="34" t="str">
        <f>IF(ISERROR(VLOOKUP(Y166,'Data inputs '!$N$4:$O$23,2,0)),"",(VLOOKUP(Y166,'Data inputs '!$N$4:$O$23,2,0)))</f>
        <v/>
      </c>
      <c r="AA166" s="34"/>
      <c r="AB166" s="5"/>
      <c r="AC166" s="5"/>
      <c r="AE166" s="10">
        <f ca="1"/>
        <v>0.55805334958694908</v>
      </c>
      <c r="AF166" s="10">
        <v>0.62879026110712499</v>
      </c>
    </row>
    <row r="167" spans="1:32" s="10" customFormat="1" ht="28.5" customHeight="1">
      <c r="A167" s="96"/>
      <c r="B167" s="5" t="s">
        <v>66</v>
      </c>
      <c r="C167" s="5" t="s">
        <v>67</v>
      </c>
      <c r="D167" s="5" t="s">
        <v>23</v>
      </c>
      <c r="E167" s="5" t="s">
        <v>68</v>
      </c>
      <c r="F167" s="5" t="s">
        <v>69</v>
      </c>
      <c r="G167" s="35" t="s">
        <v>70</v>
      </c>
      <c r="H167" s="46">
        <f>(877005.42/9)+(43952.54/5)</f>
        <v>106235.55466666668</v>
      </c>
      <c r="I167" s="46">
        <f>Table1[[#This Row],[Contracted Amount]]*AF167</f>
        <v>65984.211902542607</v>
      </c>
      <c r="J167" s="46">
        <f>(877005.42/9)+(44415.21/5)</f>
        <v>106328.08866666668</v>
      </c>
      <c r="K167" s="46">
        <f>Table1[[#This Row],[Actual Expenditure (including admin fees)]]*AF167</f>
        <v>66041.685910028595</v>
      </c>
      <c r="L167" s="35" t="s">
        <v>71</v>
      </c>
      <c r="M167" s="42" t="s">
        <v>72</v>
      </c>
      <c r="N167" s="42">
        <f>Table1[[#This Row],[Actual completion date]]-270</f>
        <v>43463</v>
      </c>
      <c r="O167" s="100" t="s">
        <v>73</v>
      </c>
      <c r="P167" s="42"/>
      <c r="Q167" s="42"/>
      <c r="R167" s="42">
        <v>43733</v>
      </c>
      <c r="S167" s="35" t="s">
        <v>71</v>
      </c>
      <c r="T167" s="91" t="s">
        <v>396</v>
      </c>
      <c r="U167" s="9">
        <v>43734</v>
      </c>
      <c r="V167" s="118" t="s">
        <v>71</v>
      </c>
      <c r="W167" s="118" t="s">
        <v>74</v>
      </c>
      <c r="X167" s="136">
        <v>1</v>
      </c>
      <c r="Y167" s="23" t="s">
        <v>242</v>
      </c>
      <c r="Z167" s="34" t="s">
        <v>243</v>
      </c>
      <c r="AA167" s="34">
        <v>98720</v>
      </c>
      <c r="AB167" s="5"/>
      <c r="AC167" s="5"/>
      <c r="AE167" s="10">
        <f ca="1"/>
        <v>0.54192032899927822</v>
      </c>
      <c r="AF167" s="10">
        <v>0.62111232072520395</v>
      </c>
    </row>
    <row r="168" spans="1:32" s="10" customFormat="1" ht="28.5" customHeight="1">
      <c r="A168" s="96">
        <v>167</v>
      </c>
      <c r="B168" s="5" t="s">
        <v>84</v>
      </c>
      <c r="C168" s="5" t="s">
        <v>67</v>
      </c>
      <c r="D168" s="5" t="s">
        <v>397</v>
      </c>
      <c r="E168" s="5" t="s">
        <v>96</v>
      </c>
      <c r="F168" s="5" t="s">
        <v>97</v>
      </c>
      <c r="G168" s="35" t="s">
        <v>70</v>
      </c>
      <c r="H168" s="44">
        <f>79206/3</f>
        <v>26402</v>
      </c>
      <c r="I168" s="44">
        <f>Table1[[#This Row],[Contracted Amount]]*AF168</f>
        <v>19194.852337904544</v>
      </c>
      <c r="J168" s="44">
        <f>79206/3*0.9+79206/3*0.1</f>
        <v>26402</v>
      </c>
      <c r="K168" s="44">
        <f>Table1[[#This Row],[Actual Expenditure (including admin fees)]]*AF168</f>
        <v>19194.852337904544</v>
      </c>
      <c r="L168" s="35" t="s">
        <v>71</v>
      </c>
      <c r="M168" s="42" t="s">
        <v>72</v>
      </c>
      <c r="N168" s="42">
        <v>43311</v>
      </c>
      <c r="O168" s="100" t="s">
        <v>73</v>
      </c>
      <c r="P168" s="42">
        <v>43341</v>
      </c>
      <c r="Q168" s="42">
        <f>Table1[[#This Row],[Site handover date]]+7</f>
        <v>43348</v>
      </c>
      <c r="R168" s="42">
        <v>43436</v>
      </c>
      <c r="S168" s="36" t="s">
        <v>71</v>
      </c>
      <c r="T168" s="91" t="s">
        <v>398</v>
      </c>
      <c r="U168" s="9" t="s">
        <v>399</v>
      </c>
      <c r="V168" s="118" t="s">
        <v>71</v>
      </c>
      <c r="W168" s="118" t="s">
        <v>98</v>
      </c>
      <c r="X168" s="136">
        <v>1</v>
      </c>
      <c r="Y168" s="23">
        <v>187</v>
      </c>
      <c r="Z168" s="34" t="str">
        <f>IF(ISERROR(VLOOKUP(Y168,'Data inputs '!$N$4:$O$23,2,0)),"",(VLOOKUP(Y168,'Data inputs '!$N$4:$O$23,2,0)))</f>
        <v>Norway</v>
      </c>
      <c r="AA168" s="34">
        <v>98720</v>
      </c>
      <c r="AB168" s="5">
        <v>32.845291666666697</v>
      </c>
      <c r="AC168" s="5">
        <v>13.037705555555601</v>
      </c>
      <c r="AE168" s="10">
        <f ca="1"/>
        <v>0.57341435278616459</v>
      </c>
      <c r="AF168" s="10">
        <v>0.72702266259770265</v>
      </c>
    </row>
    <row r="169" spans="1:32" s="13" customFormat="1" ht="28.5" customHeight="1">
      <c r="A169" s="96">
        <v>168</v>
      </c>
      <c r="B169" s="5" t="s">
        <v>84</v>
      </c>
      <c r="C169" s="5" t="s">
        <v>67</v>
      </c>
      <c r="D169" s="5" t="s">
        <v>397</v>
      </c>
      <c r="E169" s="5" t="s">
        <v>96</v>
      </c>
      <c r="F169" s="5" t="s">
        <v>97</v>
      </c>
      <c r="G169" s="35" t="s">
        <v>70</v>
      </c>
      <c r="H169" s="44">
        <f>79206/3</f>
        <v>26402</v>
      </c>
      <c r="I169" s="44">
        <f>Table1[[#This Row],[Contracted Amount]]*AF169</f>
        <v>18259.248575696682</v>
      </c>
      <c r="J169" s="44">
        <f>79206/3*0.9+79206/3*0.1</f>
        <v>26402</v>
      </c>
      <c r="K169" s="44">
        <f>Table1[[#This Row],[Actual Expenditure (including admin fees)]]*AF169</f>
        <v>18259.248575696682</v>
      </c>
      <c r="L169" s="35" t="s">
        <v>71</v>
      </c>
      <c r="M169" s="42" t="s">
        <v>72</v>
      </c>
      <c r="N169" s="42">
        <v>43311</v>
      </c>
      <c r="O169" s="100" t="s">
        <v>73</v>
      </c>
      <c r="P169" s="42">
        <v>43341</v>
      </c>
      <c r="Q169" s="42">
        <f>Table1[[#This Row],[Site handover date]]+7</f>
        <v>43348</v>
      </c>
      <c r="R169" s="42">
        <v>43436</v>
      </c>
      <c r="S169" s="36" t="s">
        <v>71</v>
      </c>
      <c r="T169" s="91" t="s">
        <v>398</v>
      </c>
      <c r="U169" s="9" t="s">
        <v>399</v>
      </c>
      <c r="V169" s="118" t="s">
        <v>71</v>
      </c>
      <c r="W169" s="118" t="s">
        <v>98</v>
      </c>
      <c r="X169" s="136">
        <v>1</v>
      </c>
      <c r="Y169" s="23">
        <v>187</v>
      </c>
      <c r="Z169" s="34" t="str">
        <f>IF(ISERROR(VLOOKUP(Y169,'Data inputs '!$N$4:$O$23,2,0)),"",(VLOOKUP(Y169,'Data inputs '!$N$4:$O$23,2,0)))</f>
        <v>Norway</v>
      </c>
      <c r="AA169" s="34">
        <v>98720</v>
      </c>
      <c r="AB169" s="5">
        <v>32.774833333333298</v>
      </c>
      <c r="AC169" s="5">
        <v>13.004225</v>
      </c>
      <c r="AE169" s="13">
        <f ca="1"/>
        <v>0.57923030312185342</v>
      </c>
      <c r="AF169" s="13">
        <v>0.69158581076042269</v>
      </c>
    </row>
    <row r="170" spans="1:32" s="13" customFormat="1" ht="28.5" customHeight="1">
      <c r="A170" s="96">
        <v>169</v>
      </c>
      <c r="B170" s="5" t="s">
        <v>84</v>
      </c>
      <c r="C170" s="5" t="s">
        <v>67</v>
      </c>
      <c r="D170" s="5" t="s">
        <v>397</v>
      </c>
      <c r="E170" s="5" t="s">
        <v>96</v>
      </c>
      <c r="F170" s="5" t="s">
        <v>97</v>
      </c>
      <c r="G170" s="35" t="s">
        <v>70</v>
      </c>
      <c r="H170" s="44">
        <f>79206/3</f>
        <v>26402</v>
      </c>
      <c r="I170" s="44">
        <f>Table1[[#This Row],[Contracted Amount]]*AF170</f>
        <v>19605.384594473184</v>
      </c>
      <c r="J170" s="44">
        <f>79206/3*0.9+79206/3*0.1</f>
        <v>26402</v>
      </c>
      <c r="K170" s="44">
        <f>Table1[[#This Row],[Actual Expenditure (including admin fees)]]*AF170</f>
        <v>19605.384594473184</v>
      </c>
      <c r="L170" s="35" t="s">
        <v>71</v>
      </c>
      <c r="M170" s="42" t="s">
        <v>72</v>
      </c>
      <c r="N170" s="42">
        <v>43311</v>
      </c>
      <c r="O170" s="100" t="s">
        <v>73</v>
      </c>
      <c r="P170" s="42">
        <v>43341</v>
      </c>
      <c r="Q170" s="42">
        <f>Table1[[#This Row],[Site handover date]]+7</f>
        <v>43348</v>
      </c>
      <c r="R170" s="42">
        <v>43436</v>
      </c>
      <c r="S170" s="36" t="s">
        <v>71</v>
      </c>
      <c r="T170" s="91" t="s">
        <v>398</v>
      </c>
      <c r="U170" s="9" t="s">
        <v>399</v>
      </c>
      <c r="V170" s="118" t="s">
        <v>71</v>
      </c>
      <c r="W170" s="118" t="s">
        <v>98</v>
      </c>
      <c r="X170" s="136">
        <v>1</v>
      </c>
      <c r="Y170" s="23">
        <v>187</v>
      </c>
      <c r="Z170" s="34" t="str">
        <f>IF(ISERROR(VLOOKUP(Y170,'Data inputs '!$N$4:$O$23,2,0)),"",(VLOOKUP(Y170,'Data inputs '!$N$4:$O$23,2,0)))</f>
        <v>Norway</v>
      </c>
      <c r="AA170" s="34">
        <v>98720</v>
      </c>
      <c r="AB170" s="5">
        <v>32.838838888888901</v>
      </c>
      <c r="AC170" s="5">
        <v>13.0627388888889</v>
      </c>
      <c r="AE170" s="13">
        <f ca="1"/>
        <v>0.62626055558170213</v>
      </c>
      <c r="AF170" s="13">
        <v>0.74257194888543232</v>
      </c>
    </row>
    <row r="171" spans="1:32" s="10" customFormat="1" ht="28.5" customHeight="1">
      <c r="A171" s="96">
        <v>170</v>
      </c>
      <c r="B171" s="5" t="s">
        <v>84</v>
      </c>
      <c r="C171" s="5" t="s">
        <v>67</v>
      </c>
      <c r="D171" s="5" t="s">
        <v>397</v>
      </c>
      <c r="E171" s="5" t="s">
        <v>96</v>
      </c>
      <c r="F171" s="5" t="s">
        <v>97</v>
      </c>
      <c r="G171" s="35" t="s">
        <v>70</v>
      </c>
      <c r="H171" s="44">
        <f>88800/3</f>
        <v>29600</v>
      </c>
      <c r="I171" s="44">
        <f>Table1[[#This Row],[Contracted Amount]]*AF171</f>
        <v>19929.634075135855</v>
      </c>
      <c r="J171" s="44">
        <f>88799.93/3</f>
        <v>29599.976666666666</v>
      </c>
      <c r="K171" s="44">
        <f>Table1[[#This Row],[Actual Expenditure (including admin fees)]]*AF171</f>
        <v>19929.618364838723</v>
      </c>
      <c r="L171" s="35" t="s">
        <v>71</v>
      </c>
      <c r="M171" s="42" t="s">
        <v>72</v>
      </c>
      <c r="N171" s="42">
        <v>43230</v>
      </c>
      <c r="O171" s="100" t="s">
        <v>73</v>
      </c>
      <c r="P171" s="42">
        <v>43245</v>
      </c>
      <c r="Q171" s="42">
        <f>Table1[[#This Row],[Site handover date]]+7</f>
        <v>43252</v>
      </c>
      <c r="R171" s="42">
        <v>43398</v>
      </c>
      <c r="S171" s="36" t="s">
        <v>71</v>
      </c>
      <c r="T171" s="91" t="s">
        <v>400</v>
      </c>
      <c r="U171" s="9">
        <v>43671</v>
      </c>
      <c r="V171" s="118" t="s">
        <v>71</v>
      </c>
      <c r="W171" s="118" t="s">
        <v>98</v>
      </c>
      <c r="X171" s="136">
        <v>1</v>
      </c>
      <c r="Y171" s="23">
        <v>141</v>
      </c>
      <c r="Z171" s="34" t="str">
        <f>IF(ISERROR(VLOOKUP(Y171,'Data inputs '!$N$4:$O$23,2,0)),"",(VLOOKUP(Y171,'Data inputs '!$N$4:$O$23,2,0)))</f>
        <v>Japan</v>
      </c>
      <c r="AA171" s="34">
        <v>98720</v>
      </c>
      <c r="AB171" s="5">
        <v>32.826427777777802</v>
      </c>
      <c r="AC171" s="5">
        <v>13.0168472222222</v>
      </c>
      <c r="AE171" s="10">
        <f ca="1"/>
        <v>0.59469658964070105</v>
      </c>
      <c r="AF171" s="10">
        <v>0.67329844848431941</v>
      </c>
    </row>
    <row r="172" spans="1:32" s="10" customFormat="1" ht="28.5" customHeight="1">
      <c r="A172" s="96">
        <v>171</v>
      </c>
      <c r="B172" s="5" t="s">
        <v>84</v>
      </c>
      <c r="C172" s="5" t="s">
        <v>67</v>
      </c>
      <c r="D172" s="5" t="s">
        <v>397</v>
      </c>
      <c r="E172" s="5" t="s">
        <v>96</v>
      </c>
      <c r="F172" s="5" t="s">
        <v>97</v>
      </c>
      <c r="G172" s="35" t="s">
        <v>70</v>
      </c>
      <c r="H172" s="44">
        <f>88800/3</f>
        <v>29600</v>
      </c>
      <c r="I172" s="44">
        <f>Table1[[#This Row],[Contracted Amount]]*AF172</f>
        <v>18698.715920309853</v>
      </c>
      <c r="J172" s="44">
        <f>88799.93/3</f>
        <v>29599.976666666666</v>
      </c>
      <c r="K172" s="44">
        <f>Table1[[#This Row],[Actual Expenditure (including admin fees)]]*AF172</f>
        <v>18698.701180331089</v>
      </c>
      <c r="L172" s="35" t="s">
        <v>71</v>
      </c>
      <c r="M172" s="42" t="s">
        <v>72</v>
      </c>
      <c r="N172" s="42">
        <v>43230</v>
      </c>
      <c r="O172" s="100" t="s">
        <v>73</v>
      </c>
      <c r="P172" s="42">
        <v>43245</v>
      </c>
      <c r="Q172" s="42">
        <f>Table1[[#This Row],[Site handover date]]+7</f>
        <v>43252</v>
      </c>
      <c r="R172" s="42">
        <v>43398</v>
      </c>
      <c r="S172" s="36" t="s">
        <v>71</v>
      </c>
      <c r="T172" s="91" t="s">
        <v>400</v>
      </c>
      <c r="U172" s="9">
        <v>43671</v>
      </c>
      <c r="V172" s="118" t="s">
        <v>71</v>
      </c>
      <c r="W172" s="118" t="s">
        <v>98</v>
      </c>
      <c r="X172" s="136">
        <v>1</v>
      </c>
      <c r="Y172" s="23">
        <v>141</v>
      </c>
      <c r="Z172" s="34" t="str">
        <f>IF(ISERROR(VLOOKUP(Y172,'Data inputs '!$N$4:$O$23,2,0)),"",(VLOOKUP(Y172,'Data inputs '!$N$4:$O$23,2,0)))</f>
        <v>Japan</v>
      </c>
      <c r="AA172" s="34">
        <v>98720</v>
      </c>
      <c r="AB172" s="5">
        <v>32.791844444444401</v>
      </c>
      <c r="AC172" s="5">
        <v>12.998208333333301</v>
      </c>
      <c r="AE172" s="10">
        <f ca="1"/>
        <v>0.64308903551751595</v>
      </c>
      <c r="AF172" s="10">
        <v>0.63171337568614372</v>
      </c>
    </row>
    <row r="173" spans="1:32" s="10" customFormat="1" ht="28.5" customHeight="1">
      <c r="A173" s="96">
        <v>172</v>
      </c>
      <c r="B173" s="5" t="s">
        <v>84</v>
      </c>
      <c r="C173" s="5" t="s">
        <v>67</v>
      </c>
      <c r="D173" s="5" t="s">
        <v>397</v>
      </c>
      <c r="E173" s="5" t="s">
        <v>96</v>
      </c>
      <c r="F173" s="5" t="s">
        <v>97</v>
      </c>
      <c r="G173" s="35" t="s">
        <v>70</v>
      </c>
      <c r="H173" s="44">
        <f>88800/3</f>
        <v>29600</v>
      </c>
      <c r="I173" s="44">
        <f>Table1[[#This Row],[Contracted Amount]]*AF173</f>
        <v>20789.069346128097</v>
      </c>
      <c r="J173" s="44">
        <f>88799.93/3</f>
        <v>29599.976666666666</v>
      </c>
      <c r="K173" s="44">
        <f>Table1[[#This Row],[Actual Expenditure (including admin fees)]]*AF173</f>
        <v>20789.052958348206</v>
      </c>
      <c r="L173" s="35" t="s">
        <v>71</v>
      </c>
      <c r="M173" s="42" t="s">
        <v>72</v>
      </c>
      <c r="N173" s="42">
        <v>43230</v>
      </c>
      <c r="O173" s="100" t="s">
        <v>73</v>
      </c>
      <c r="P173" s="42">
        <v>43245</v>
      </c>
      <c r="Q173" s="42">
        <f>Table1[[#This Row],[Site handover date]]+7</f>
        <v>43252</v>
      </c>
      <c r="R173" s="42">
        <v>43398</v>
      </c>
      <c r="S173" s="36" t="s">
        <v>71</v>
      </c>
      <c r="T173" s="91" t="s">
        <v>400</v>
      </c>
      <c r="U173" s="9">
        <v>43671</v>
      </c>
      <c r="V173" s="118" t="s">
        <v>71</v>
      </c>
      <c r="W173" s="118" t="s">
        <v>98</v>
      </c>
      <c r="X173" s="136">
        <v>1</v>
      </c>
      <c r="Y173" s="23">
        <v>141</v>
      </c>
      <c r="Z173" s="34" t="str">
        <f>IF(ISERROR(VLOOKUP(Y173,'Data inputs '!$N$4:$O$23,2,0)),"",(VLOOKUP(Y173,'Data inputs '!$N$4:$O$23,2,0)))</f>
        <v>Japan</v>
      </c>
      <c r="AA173" s="34">
        <v>98720</v>
      </c>
      <c r="AB173" s="5">
        <v>32.826780555555601</v>
      </c>
      <c r="AC173" s="5">
        <v>12.9845555555556</v>
      </c>
      <c r="AE173" s="10">
        <f ca="1"/>
        <v>0.7234571138267456</v>
      </c>
      <c r="AF173" s="10">
        <v>0.70233342385567898</v>
      </c>
    </row>
    <row r="174" spans="1:32" s="10" customFormat="1" ht="28.5" customHeight="1">
      <c r="A174" s="96">
        <v>173</v>
      </c>
      <c r="B174" s="5" t="s">
        <v>66</v>
      </c>
      <c r="C174" s="5" t="s">
        <v>67</v>
      </c>
      <c r="D174" s="5" t="s">
        <v>397</v>
      </c>
      <c r="E174" s="5" t="s">
        <v>4</v>
      </c>
      <c r="F174" s="5" t="s">
        <v>125</v>
      </c>
      <c r="G174" s="35" t="s">
        <v>70</v>
      </c>
      <c r="H174" s="46">
        <f>1690653.45/65</f>
        <v>26010.053076923075</v>
      </c>
      <c r="I174" s="46">
        <f>Table1[[#This Row],[Contracted Amount]]*AF174</f>
        <v>17209.156055538901</v>
      </c>
      <c r="J174" s="46">
        <f>1404237.94/65</f>
        <v>21603.660615384615</v>
      </c>
      <c r="K174" s="46">
        <f>Table1[[#This Row],[Actual Expenditure (including admin fees)]]*AF174</f>
        <v>14293.733496103812</v>
      </c>
      <c r="L174" s="35" t="s">
        <v>71</v>
      </c>
      <c r="M174" s="42" t="s">
        <v>72</v>
      </c>
      <c r="N174" s="42">
        <v>43494</v>
      </c>
      <c r="O174" s="100" t="s">
        <v>73</v>
      </c>
      <c r="P174" s="42"/>
      <c r="Q174" s="42"/>
      <c r="R174" s="42">
        <v>44140</v>
      </c>
      <c r="S174" s="36" t="s">
        <v>71</v>
      </c>
      <c r="T174" s="91" t="s">
        <v>401</v>
      </c>
      <c r="U174" s="9">
        <v>44146</v>
      </c>
      <c r="V174" s="118" t="s">
        <v>71</v>
      </c>
      <c r="W174" s="118" t="s">
        <v>126</v>
      </c>
      <c r="X174" s="136">
        <v>1</v>
      </c>
      <c r="Y174" s="132" t="s">
        <v>402</v>
      </c>
      <c r="Z174" s="88" t="s">
        <v>403</v>
      </c>
      <c r="AA174" s="34" t="s">
        <v>264</v>
      </c>
      <c r="AB174" s="5">
        <v>32.810652777777797</v>
      </c>
      <c r="AC174" s="5">
        <v>13.001616666666701</v>
      </c>
      <c r="AE174" s="10">
        <f ca="1"/>
        <v>0.69365966791807232</v>
      </c>
      <c r="AF174" s="10">
        <v>0.66163479192618013</v>
      </c>
    </row>
    <row r="175" spans="1:32" s="10" customFormat="1" ht="28.5" customHeight="1">
      <c r="A175" s="96">
        <v>174</v>
      </c>
      <c r="B175" s="5" t="s">
        <v>66</v>
      </c>
      <c r="C175" s="5" t="s">
        <v>67</v>
      </c>
      <c r="D175" s="5" t="s">
        <v>397</v>
      </c>
      <c r="E175" s="5" t="s">
        <v>4</v>
      </c>
      <c r="F175" s="5" t="s">
        <v>125</v>
      </c>
      <c r="G175" s="35" t="s">
        <v>70</v>
      </c>
      <c r="H175" s="46">
        <f>1690653.45/65</f>
        <v>26010.053076923075</v>
      </c>
      <c r="I175" s="46">
        <f>Table1[[#This Row],[Contracted Amount]]*AF175</f>
        <v>19313.31358477331</v>
      </c>
      <c r="J175" s="46">
        <f>1404237.94/65</f>
        <v>21603.660615384615</v>
      </c>
      <c r="K175" s="46">
        <f>Table1[[#This Row],[Actual Expenditure (including admin fees)]]*AF175</f>
        <v>16041.423322358636</v>
      </c>
      <c r="L175" s="35" t="s">
        <v>71</v>
      </c>
      <c r="M175" s="42" t="s">
        <v>72</v>
      </c>
      <c r="N175" s="42">
        <v>43494</v>
      </c>
      <c r="O175" s="100" t="s">
        <v>73</v>
      </c>
      <c r="P175" s="42"/>
      <c r="Q175" s="42"/>
      <c r="R175" s="42">
        <v>44140</v>
      </c>
      <c r="S175" s="36" t="s">
        <v>71</v>
      </c>
      <c r="T175" s="91" t="s">
        <v>401</v>
      </c>
      <c r="U175" s="9">
        <v>44146</v>
      </c>
      <c r="V175" s="118" t="s">
        <v>71</v>
      </c>
      <c r="W175" s="118" t="s">
        <v>126</v>
      </c>
      <c r="X175" s="136">
        <v>1</v>
      </c>
      <c r="Y175" s="132" t="s">
        <v>402</v>
      </c>
      <c r="Z175" s="88" t="s">
        <v>403</v>
      </c>
      <c r="AA175" s="34" t="s">
        <v>264</v>
      </c>
      <c r="AB175" s="5"/>
      <c r="AC175" s="5"/>
      <c r="AE175" s="10">
        <f ca="1"/>
        <v>0.73791065091229124</v>
      </c>
      <c r="AF175" s="10">
        <v>0.74253264795944152</v>
      </c>
    </row>
    <row r="176" spans="1:32" s="10" customFormat="1" ht="28.5" customHeight="1">
      <c r="A176" s="96">
        <v>175</v>
      </c>
      <c r="B176" s="5" t="s">
        <v>66</v>
      </c>
      <c r="C176" s="5" t="s">
        <v>67</v>
      </c>
      <c r="D176" s="5" t="s">
        <v>397</v>
      </c>
      <c r="E176" s="5" t="s">
        <v>4</v>
      </c>
      <c r="F176" s="5" t="s">
        <v>125</v>
      </c>
      <c r="G176" s="35" t="s">
        <v>70</v>
      </c>
      <c r="H176" s="46">
        <f>1690653.45/65</f>
        <v>26010.053076923075</v>
      </c>
      <c r="I176" s="46">
        <f>Table1[[#This Row],[Contracted Amount]]*AF176</f>
        <v>16276.348162659428</v>
      </c>
      <c r="J176" s="46">
        <f>1404237.94/65</f>
        <v>21603.660615384615</v>
      </c>
      <c r="K176" s="46">
        <f>Table1[[#This Row],[Actual Expenditure (including admin fees)]]*AF176</f>
        <v>13518.953641655929</v>
      </c>
      <c r="L176" s="35" t="s">
        <v>71</v>
      </c>
      <c r="M176" s="42" t="s">
        <v>72</v>
      </c>
      <c r="N176" s="42">
        <v>43494</v>
      </c>
      <c r="O176" s="100" t="s">
        <v>73</v>
      </c>
      <c r="P176" s="42"/>
      <c r="Q176" s="42"/>
      <c r="R176" s="42">
        <v>44140</v>
      </c>
      <c r="S176" s="36" t="s">
        <v>71</v>
      </c>
      <c r="T176" s="91" t="s">
        <v>401</v>
      </c>
      <c r="U176" s="9">
        <v>44146</v>
      </c>
      <c r="V176" s="118" t="s">
        <v>71</v>
      </c>
      <c r="W176" s="118" t="s">
        <v>126</v>
      </c>
      <c r="X176" s="136">
        <v>1</v>
      </c>
      <c r="Y176" s="132" t="s">
        <v>402</v>
      </c>
      <c r="Z176" s="88" t="s">
        <v>403</v>
      </c>
      <c r="AA176" s="34" t="s">
        <v>264</v>
      </c>
      <c r="AB176" s="5">
        <v>32.842374999999997</v>
      </c>
      <c r="AC176" s="5">
        <v>13.0413916666667</v>
      </c>
      <c r="AE176" s="10">
        <f ca="1"/>
        <v>0.67964624111184968</v>
      </c>
      <c r="AF176" s="10">
        <v>0.62577143208909125</v>
      </c>
    </row>
    <row r="177" spans="1:32" s="10" customFormat="1" ht="28.5" customHeight="1">
      <c r="A177" s="96">
        <v>176</v>
      </c>
      <c r="B177" s="5" t="s">
        <v>66</v>
      </c>
      <c r="C177" s="5" t="s">
        <v>67</v>
      </c>
      <c r="D177" s="5" t="s">
        <v>397</v>
      </c>
      <c r="E177" s="5" t="s">
        <v>4</v>
      </c>
      <c r="F177" s="5" t="s">
        <v>125</v>
      </c>
      <c r="G177" s="35" t="s">
        <v>70</v>
      </c>
      <c r="H177" s="46">
        <f>1690653.45/65</f>
        <v>26010.053076923075</v>
      </c>
      <c r="I177" s="46">
        <f>Table1[[#This Row],[Contracted Amount]]*AF177</f>
        <v>18454.512337550204</v>
      </c>
      <c r="J177" s="46">
        <f>1404237.94/65</f>
        <v>21603.660615384615</v>
      </c>
      <c r="K177" s="46">
        <f>Table1[[#This Row],[Actual Expenditure (including admin fees)]]*AF177</f>
        <v>15328.112564160378</v>
      </c>
      <c r="L177" s="35" t="s">
        <v>71</v>
      </c>
      <c r="M177" s="42" t="s">
        <v>72</v>
      </c>
      <c r="N177" s="42">
        <v>43494</v>
      </c>
      <c r="O177" s="100" t="s">
        <v>73</v>
      </c>
      <c r="P177" s="42"/>
      <c r="Q177" s="42"/>
      <c r="R177" s="42">
        <v>44140</v>
      </c>
      <c r="S177" s="36" t="s">
        <v>71</v>
      </c>
      <c r="T177" s="91" t="s">
        <v>401</v>
      </c>
      <c r="U177" s="9">
        <v>44146</v>
      </c>
      <c r="V177" s="118" t="s">
        <v>71</v>
      </c>
      <c r="W177" s="118" t="s">
        <v>126</v>
      </c>
      <c r="X177" s="136">
        <v>1</v>
      </c>
      <c r="Y177" s="132" t="s">
        <v>402</v>
      </c>
      <c r="Z177" s="88" t="s">
        <v>403</v>
      </c>
      <c r="AA177" s="34" t="s">
        <v>264</v>
      </c>
      <c r="AB177" s="5">
        <v>32.810608333333299</v>
      </c>
      <c r="AC177" s="5">
        <v>12.9632055555556</v>
      </c>
      <c r="AE177" s="10">
        <f ca="1"/>
        <v>0.57015869228825555</v>
      </c>
      <c r="AF177" s="10">
        <v>0.70951459741247591</v>
      </c>
    </row>
    <row r="178" spans="1:32" s="10" customFormat="1" ht="28.5" customHeight="1">
      <c r="A178" s="96">
        <v>177</v>
      </c>
      <c r="B178" s="5" t="s">
        <v>66</v>
      </c>
      <c r="C178" s="5" t="s">
        <v>67</v>
      </c>
      <c r="D178" s="5" t="s">
        <v>397</v>
      </c>
      <c r="E178" s="5" t="s">
        <v>4</v>
      </c>
      <c r="F178" s="5" t="s">
        <v>125</v>
      </c>
      <c r="G178" s="35" t="s">
        <v>70</v>
      </c>
      <c r="H178" s="46">
        <f>1690653.45/65</f>
        <v>26010.053076923075</v>
      </c>
      <c r="I178" s="46">
        <f>Table1[[#This Row],[Contracted Amount]]*AF178</f>
        <v>15021.916090099343</v>
      </c>
      <c r="J178" s="46">
        <f>1404237.94/65</f>
        <v>21603.660615384615</v>
      </c>
      <c r="K178" s="46">
        <f>Table1[[#This Row],[Actual Expenditure (including admin fees)]]*AF178</f>
        <v>12477.036322975568</v>
      </c>
      <c r="L178" s="35" t="s">
        <v>71</v>
      </c>
      <c r="M178" s="42" t="s">
        <v>72</v>
      </c>
      <c r="N178" s="42">
        <v>43494</v>
      </c>
      <c r="O178" s="100" t="s">
        <v>73</v>
      </c>
      <c r="P178" s="42"/>
      <c r="Q178" s="42"/>
      <c r="R178" s="42">
        <v>44140</v>
      </c>
      <c r="S178" s="36" t="s">
        <v>71</v>
      </c>
      <c r="T178" s="91" t="s">
        <v>401</v>
      </c>
      <c r="U178" s="9">
        <v>44146</v>
      </c>
      <c r="V178" s="118" t="s">
        <v>71</v>
      </c>
      <c r="W178" s="118" t="s">
        <v>126</v>
      </c>
      <c r="X178" s="136">
        <v>1</v>
      </c>
      <c r="Y178" s="132" t="s">
        <v>402</v>
      </c>
      <c r="Z178" s="88" t="s">
        <v>403</v>
      </c>
      <c r="AA178" s="34" t="s">
        <v>264</v>
      </c>
      <c r="AB178" s="5">
        <v>32.833505555555597</v>
      </c>
      <c r="AC178" s="5">
        <v>13.0726333333333</v>
      </c>
      <c r="AE178" s="10">
        <f ca="1"/>
        <v>0.62561770724799093</v>
      </c>
      <c r="AF178" s="10">
        <v>0.57754269265322078</v>
      </c>
    </row>
    <row r="179" spans="1:32" s="10" customFormat="1" ht="28.5" customHeight="1">
      <c r="A179" s="96">
        <v>178</v>
      </c>
      <c r="B179" s="5" t="s">
        <v>84</v>
      </c>
      <c r="C179" s="5" t="s">
        <v>67</v>
      </c>
      <c r="D179" s="5" t="s">
        <v>404</v>
      </c>
      <c r="E179" s="5" t="s">
        <v>96</v>
      </c>
      <c r="F179" s="5" t="s">
        <v>97</v>
      </c>
      <c r="G179" s="35" t="s">
        <v>70</v>
      </c>
      <c r="H179" s="44">
        <v>23467</v>
      </c>
      <c r="I179" s="44">
        <f>Table1[[#This Row],[Contracted Amount]]*AF179</f>
        <v>13321.544887290993</v>
      </c>
      <c r="J179" s="44">
        <f>(8531.5+12659)*0.9+(8531.5+12659)*0.1</f>
        <v>21190.5</v>
      </c>
      <c r="K179" s="44">
        <f>Table1[[#This Row],[Actual Expenditure (including admin fees)]]*AF179</f>
        <v>12029.240931271137</v>
      </c>
      <c r="L179" s="35" t="s">
        <v>71</v>
      </c>
      <c r="M179" s="42" t="s">
        <v>72</v>
      </c>
      <c r="N179" s="42">
        <v>43429</v>
      </c>
      <c r="O179" s="100" t="s">
        <v>73</v>
      </c>
      <c r="P179" s="42">
        <v>43456</v>
      </c>
      <c r="Q179" s="42">
        <f>Table1[[#This Row],[Site handover date]]+7</f>
        <v>43463</v>
      </c>
      <c r="R179" s="42">
        <v>44074</v>
      </c>
      <c r="S179" s="36" t="s">
        <v>71</v>
      </c>
      <c r="T179" s="91" t="s">
        <v>405</v>
      </c>
      <c r="U179" s="9">
        <v>44074</v>
      </c>
      <c r="V179" s="118" t="s">
        <v>71</v>
      </c>
      <c r="W179" s="118" t="s">
        <v>98</v>
      </c>
      <c r="X179" s="136">
        <v>1</v>
      </c>
      <c r="Y179" s="23">
        <v>187</v>
      </c>
      <c r="Z179" s="34" t="str">
        <f>IF(ISERROR(VLOOKUP(Y179,'Data inputs '!$N$4:$O$23,2,0)),"",(VLOOKUP(Y179,'Data inputs '!$N$4:$O$23,2,0)))</f>
        <v>Norway</v>
      </c>
      <c r="AA179" s="34">
        <v>98720</v>
      </c>
      <c r="AB179" s="5">
        <v>32.854790000000001</v>
      </c>
      <c r="AC179" s="5">
        <v>13.160259999999999</v>
      </c>
      <c r="AE179" s="10">
        <f ca="1"/>
        <v>0.60811705572561325</v>
      </c>
      <c r="AF179" s="10">
        <v>0.56767140611458611</v>
      </c>
    </row>
    <row r="180" spans="1:32" s="10" customFormat="1" ht="28.5" customHeight="1">
      <c r="A180" s="96">
        <v>179</v>
      </c>
      <c r="B180" s="5" t="s">
        <v>84</v>
      </c>
      <c r="C180" s="5" t="s">
        <v>67</v>
      </c>
      <c r="D180" s="5" t="s">
        <v>404</v>
      </c>
      <c r="E180" s="5" t="s">
        <v>96</v>
      </c>
      <c r="F180" s="5" t="s">
        <v>97</v>
      </c>
      <c r="G180" s="35" t="s">
        <v>70</v>
      </c>
      <c r="H180" s="44">
        <v>39665</v>
      </c>
      <c r="I180" s="44">
        <f>Table1[[#This Row],[Contracted Amount]]*AF180</f>
        <v>21726.741791012246</v>
      </c>
      <c r="J180" s="44">
        <f>(26017.65+14018.59)*0.9+(26017.65+14018.59)*0.1</f>
        <v>40036.240000000013</v>
      </c>
      <c r="K180" s="44">
        <f>Table1[[#This Row],[Actual Expenditure (including admin fees)]]*AF180</f>
        <v>21930.090728929696</v>
      </c>
      <c r="L180" s="35" t="s">
        <v>71</v>
      </c>
      <c r="M180" s="42" t="s">
        <v>72</v>
      </c>
      <c r="N180" s="42">
        <v>43429</v>
      </c>
      <c r="O180" s="100" t="s">
        <v>73</v>
      </c>
      <c r="P180" s="42">
        <v>43456</v>
      </c>
      <c r="Q180" s="42">
        <f>Table1[[#This Row],[Site handover date]]+7</f>
        <v>43463</v>
      </c>
      <c r="R180" s="42">
        <v>44074</v>
      </c>
      <c r="S180" s="36" t="s">
        <v>71</v>
      </c>
      <c r="T180" s="91" t="s">
        <v>405</v>
      </c>
      <c r="U180" s="9">
        <v>44074</v>
      </c>
      <c r="V180" s="118" t="s">
        <v>71</v>
      </c>
      <c r="W180" s="118" t="s">
        <v>98</v>
      </c>
      <c r="X180" s="136">
        <v>1</v>
      </c>
      <c r="Y180" s="23">
        <v>187</v>
      </c>
      <c r="Z180" s="34" t="str">
        <f>IF(ISERROR(VLOOKUP(Y180,'Data inputs '!$N$4:$O$23,2,0)),"",(VLOOKUP(Y180,'Data inputs '!$N$4:$O$23,2,0)))</f>
        <v>Norway</v>
      </c>
      <c r="AA180" s="34">
        <v>98720</v>
      </c>
      <c r="AB180" s="5">
        <v>32.84657</v>
      </c>
      <c r="AC180" s="5">
        <v>13.178879999999999</v>
      </c>
      <c r="AE180" s="10">
        <f ca="1"/>
        <v>0.51037876266143822</v>
      </c>
      <c r="AF180" s="10">
        <v>0.54775600128607704</v>
      </c>
    </row>
    <row r="181" spans="1:32" s="10" customFormat="1" ht="28.5" customHeight="1">
      <c r="A181" s="96">
        <v>180</v>
      </c>
      <c r="B181" s="5" t="s">
        <v>84</v>
      </c>
      <c r="C181" s="5" t="s">
        <v>67</v>
      </c>
      <c r="D181" s="5" t="s">
        <v>404</v>
      </c>
      <c r="E181" s="5" t="s">
        <v>96</v>
      </c>
      <c r="F181" s="5" t="s">
        <v>97</v>
      </c>
      <c r="G181" s="35" t="s">
        <v>70</v>
      </c>
      <c r="H181" s="44">
        <v>33147</v>
      </c>
      <c r="I181" s="44">
        <f>Table1[[#This Row],[Contracted Amount]]*AF181</f>
        <v>18120.513995041008</v>
      </c>
      <c r="J181" s="44">
        <f>(20145.5+14885)*0.9+(20145.5+14885)*0.1</f>
        <v>35030.5</v>
      </c>
      <c r="K181" s="44">
        <f>Table1[[#This Row],[Actual Expenditure (including admin fees)]]*AF181</f>
        <v>19150.169412112227</v>
      </c>
      <c r="L181" s="35" t="s">
        <v>71</v>
      </c>
      <c r="M181" s="42" t="s">
        <v>72</v>
      </c>
      <c r="N181" s="42">
        <v>43429</v>
      </c>
      <c r="O181" s="100" t="s">
        <v>73</v>
      </c>
      <c r="P181" s="42">
        <v>43456</v>
      </c>
      <c r="Q181" s="42">
        <f>Table1[[#This Row],[Site handover date]]+7</f>
        <v>43463</v>
      </c>
      <c r="R181" s="42">
        <v>44074</v>
      </c>
      <c r="S181" s="36" t="s">
        <v>71</v>
      </c>
      <c r="T181" s="129" t="s">
        <v>405</v>
      </c>
      <c r="U181" s="9">
        <v>44074</v>
      </c>
      <c r="V181" s="118" t="s">
        <v>71</v>
      </c>
      <c r="W181" s="118" t="s">
        <v>98</v>
      </c>
      <c r="X181" s="136">
        <v>1</v>
      </c>
      <c r="Y181" s="23">
        <v>187</v>
      </c>
      <c r="Z181" s="34" t="str">
        <f>IF(ISERROR(VLOOKUP(Y181,'Data inputs '!$N$4:$O$23,2,0)),"",(VLOOKUP(Y181,'Data inputs '!$N$4:$O$23,2,0)))</f>
        <v>Norway</v>
      </c>
      <c r="AA181" s="34">
        <v>98720</v>
      </c>
      <c r="AB181" s="5">
        <v>32.851230000000001</v>
      </c>
      <c r="AC181" s="5">
        <v>13.18383</v>
      </c>
      <c r="AE181" s="10">
        <f ca="1"/>
        <v>0.63069257340582408</v>
      </c>
      <c r="AF181" s="10">
        <v>0.54667131248803835</v>
      </c>
    </row>
    <row r="182" spans="1:32" s="10" customFormat="1" ht="28.5" customHeight="1">
      <c r="A182" s="96">
        <v>181</v>
      </c>
      <c r="B182" s="5" t="s">
        <v>84</v>
      </c>
      <c r="C182" s="5" t="s">
        <v>67</v>
      </c>
      <c r="D182" s="5" t="s">
        <v>404</v>
      </c>
      <c r="E182" s="5" t="s">
        <v>96</v>
      </c>
      <c r="F182" s="5" t="s">
        <v>97</v>
      </c>
      <c r="G182" s="35" t="s">
        <v>70</v>
      </c>
      <c r="H182" s="44">
        <v>33472</v>
      </c>
      <c r="I182" s="44">
        <f>Table1[[#This Row],[Contracted Amount]]*AF182</f>
        <v>20556.399629648611</v>
      </c>
      <c r="J182" s="44">
        <f>36280.8</f>
        <v>36280.800000000003</v>
      </c>
      <c r="K182" s="44">
        <f>Table1[[#This Row],[Actual Expenditure (including admin fees)]]*AF182</f>
        <v>22281.388135855501</v>
      </c>
      <c r="L182" s="35" t="s">
        <v>71</v>
      </c>
      <c r="M182" s="42" t="s">
        <v>72</v>
      </c>
      <c r="N182" s="42">
        <v>43412</v>
      </c>
      <c r="O182" s="100" t="s">
        <v>73</v>
      </c>
      <c r="P182" s="42">
        <v>43419</v>
      </c>
      <c r="Q182" s="42">
        <f>Table1[[#This Row],[Site handover date]]+7</f>
        <v>43426</v>
      </c>
      <c r="R182" s="42">
        <v>43539</v>
      </c>
      <c r="S182" s="36" t="s">
        <v>71</v>
      </c>
      <c r="T182" s="91" t="s">
        <v>406</v>
      </c>
      <c r="U182" s="9">
        <v>43573</v>
      </c>
      <c r="V182" s="118" t="s">
        <v>71</v>
      </c>
      <c r="W182" s="118" t="s">
        <v>98</v>
      </c>
      <c r="X182" s="136">
        <v>1</v>
      </c>
      <c r="Y182" s="23">
        <v>141</v>
      </c>
      <c r="Z182" s="34" t="str">
        <f>IF(ISERROR(VLOOKUP(Y182,'Data inputs '!$N$4:$O$23,2,0)),"",(VLOOKUP(Y182,'Data inputs '!$N$4:$O$23,2,0)))</f>
        <v>Japan</v>
      </c>
      <c r="AA182" s="34">
        <v>98720</v>
      </c>
      <c r="AB182" s="5">
        <v>32.794280000000001</v>
      </c>
      <c r="AC182" s="5">
        <v>13.16423</v>
      </c>
      <c r="AE182" s="10">
        <f ca="1"/>
        <v>0.53463286608850469</v>
      </c>
      <c r="AF182" s="10">
        <v>0.61413717822802971</v>
      </c>
    </row>
    <row r="183" spans="1:32" s="10" customFormat="1" ht="28.5" customHeight="1">
      <c r="A183" s="96">
        <v>182</v>
      </c>
      <c r="B183" s="5" t="s">
        <v>84</v>
      </c>
      <c r="C183" s="5" t="s">
        <v>67</v>
      </c>
      <c r="D183" s="5" t="s">
        <v>404</v>
      </c>
      <c r="E183" s="5" t="s">
        <v>96</v>
      </c>
      <c r="F183" s="5" t="s">
        <v>97</v>
      </c>
      <c r="G183" s="35" t="s">
        <v>70</v>
      </c>
      <c r="H183" s="44">
        <v>24152</v>
      </c>
      <c r="I183" s="44">
        <f>Table1[[#This Row],[Contracted Amount]]*AF183</f>
        <v>12997.801569702055</v>
      </c>
      <c r="J183" s="44">
        <f>19397.84</f>
        <v>19397.84</v>
      </c>
      <c r="K183" s="44">
        <f>Table1[[#This Row],[Actual Expenditure (including admin fees)]]*AF183</f>
        <v>10439.27108317445</v>
      </c>
      <c r="L183" s="35" t="s">
        <v>71</v>
      </c>
      <c r="M183" s="42" t="s">
        <v>72</v>
      </c>
      <c r="N183" s="42">
        <v>43412</v>
      </c>
      <c r="O183" s="100" t="s">
        <v>73</v>
      </c>
      <c r="P183" s="42">
        <v>43419</v>
      </c>
      <c r="Q183" s="42">
        <f>Table1[[#This Row],[Site handover date]]+7</f>
        <v>43426</v>
      </c>
      <c r="R183" s="42">
        <v>43539</v>
      </c>
      <c r="S183" s="36" t="s">
        <v>71</v>
      </c>
      <c r="T183" s="91" t="s">
        <v>407</v>
      </c>
      <c r="U183" s="9">
        <v>43573</v>
      </c>
      <c r="V183" s="118" t="s">
        <v>71</v>
      </c>
      <c r="W183" s="118" t="s">
        <v>98</v>
      </c>
      <c r="X183" s="136">
        <v>1</v>
      </c>
      <c r="Y183" s="23">
        <v>141</v>
      </c>
      <c r="Z183" s="34" t="str">
        <f>IF(ISERROR(VLOOKUP(Y183,'Data inputs '!$N$4:$O$23,2,0)),"",(VLOOKUP(Y183,'Data inputs '!$N$4:$O$23,2,0)))</f>
        <v>Japan</v>
      </c>
      <c r="AA183" s="34">
        <v>98720</v>
      </c>
      <c r="AB183" s="5">
        <v>32.853650000000002</v>
      </c>
      <c r="AC183" s="5">
        <v>13.17802</v>
      </c>
      <c r="AE183" s="10">
        <f ca="1"/>
        <v>0.53428564669231637</v>
      </c>
      <c r="AF183" s="10">
        <v>0.5381666764533809</v>
      </c>
    </row>
    <row r="184" spans="1:32" s="10" customFormat="1" ht="28.5" customHeight="1">
      <c r="A184" s="96">
        <v>183</v>
      </c>
      <c r="B184" s="5" t="s">
        <v>84</v>
      </c>
      <c r="C184" s="5" t="s">
        <v>67</v>
      </c>
      <c r="D184" s="5" t="s">
        <v>404</v>
      </c>
      <c r="E184" s="5" t="s">
        <v>96</v>
      </c>
      <c r="F184" s="5" t="s">
        <v>97</v>
      </c>
      <c r="G184" s="35" t="s">
        <v>70</v>
      </c>
      <c r="H184" s="44">
        <v>22747</v>
      </c>
      <c r="I184" s="44">
        <f>Table1[[#This Row],[Contracted Amount]]*AF184</f>
        <v>12020.870670058008</v>
      </c>
      <c r="J184" s="44">
        <f>24671.89</f>
        <v>24671.89</v>
      </c>
      <c r="K184" s="44">
        <f>Table1[[#This Row],[Actual Expenditure (including admin fees)]]*AF184</f>
        <v>13038.097282098626</v>
      </c>
      <c r="L184" s="35" t="s">
        <v>71</v>
      </c>
      <c r="M184" s="42" t="s">
        <v>72</v>
      </c>
      <c r="N184" s="42">
        <v>43412</v>
      </c>
      <c r="O184" s="100" t="s">
        <v>73</v>
      </c>
      <c r="P184" s="42">
        <v>43419</v>
      </c>
      <c r="Q184" s="42">
        <f>Table1[[#This Row],[Site handover date]]+7</f>
        <v>43426</v>
      </c>
      <c r="R184" s="42">
        <v>43539</v>
      </c>
      <c r="S184" s="36" t="s">
        <v>71</v>
      </c>
      <c r="T184" s="91" t="s">
        <v>408</v>
      </c>
      <c r="U184" s="9">
        <v>43573</v>
      </c>
      <c r="V184" s="118" t="s">
        <v>71</v>
      </c>
      <c r="W184" s="118" t="s">
        <v>98</v>
      </c>
      <c r="X184" s="136">
        <v>1</v>
      </c>
      <c r="Y184" s="23">
        <v>141</v>
      </c>
      <c r="Z184" s="34" t="str">
        <f>IF(ISERROR(VLOOKUP(Y184,'Data inputs '!$N$4:$O$23,2,0)),"",(VLOOKUP(Y184,'Data inputs '!$N$4:$O$23,2,0)))</f>
        <v>Japan</v>
      </c>
      <c r="AA184" s="34">
        <v>98720</v>
      </c>
      <c r="AB184" s="5">
        <v>32.79372</v>
      </c>
      <c r="AC184" s="5">
        <v>13.14245</v>
      </c>
      <c r="AE184" s="10">
        <f ca="1"/>
        <v>0.66143254587354627</v>
      </c>
      <c r="AF184" s="10">
        <v>0.52845960654407209</v>
      </c>
    </row>
    <row r="185" spans="1:32" s="10" customFormat="1" ht="28.5" customHeight="1">
      <c r="A185" s="96">
        <v>184</v>
      </c>
      <c r="B185" s="5" t="s">
        <v>66</v>
      </c>
      <c r="C185" s="5" t="s">
        <v>67</v>
      </c>
      <c r="D185" s="5" t="s">
        <v>404</v>
      </c>
      <c r="E185" s="5" t="s">
        <v>4</v>
      </c>
      <c r="F185" s="5" t="s">
        <v>125</v>
      </c>
      <c r="G185" s="35" t="s">
        <v>70</v>
      </c>
      <c r="H185" s="46">
        <f>1690653.45/65</f>
        <v>26010.053076923075</v>
      </c>
      <c r="I185" s="46">
        <f>Table1[[#This Row],[Contracted Amount]]*AF185</f>
        <v>13913.882245111387</v>
      </c>
      <c r="J185" s="46">
        <f>1404237.94/65</f>
        <v>21603.660615384615</v>
      </c>
      <c r="K185" s="46">
        <f>Table1[[#This Row],[Actual Expenditure (including admin fees)]]*AF185</f>
        <v>11556.715742825823</v>
      </c>
      <c r="L185" s="35" t="s">
        <v>71</v>
      </c>
      <c r="M185" s="42" t="s">
        <v>72</v>
      </c>
      <c r="N185" s="42">
        <v>43494</v>
      </c>
      <c r="O185" s="100" t="s">
        <v>73</v>
      </c>
      <c r="P185" s="42"/>
      <c r="Q185" s="42"/>
      <c r="R185" s="42">
        <v>44140</v>
      </c>
      <c r="S185" s="36" t="s">
        <v>71</v>
      </c>
      <c r="T185" s="91" t="s">
        <v>401</v>
      </c>
      <c r="U185" s="9">
        <v>44146</v>
      </c>
      <c r="V185" s="118" t="s">
        <v>71</v>
      </c>
      <c r="W185" s="118" t="s">
        <v>126</v>
      </c>
      <c r="X185" s="136">
        <v>1</v>
      </c>
      <c r="Y185" s="132" t="s">
        <v>402</v>
      </c>
      <c r="Z185" s="88" t="s">
        <v>403</v>
      </c>
      <c r="AA185" s="34" t="s">
        <v>264</v>
      </c>
      <c r="AB185" s="5"/>
      <c r="AC185" s="5"/>
      <c r="AE185" s="10">
        <f ca="1"/>
        <v>0.58329550020886178</v>
      </c>
      <c r="AF185" s="10">
        <v>0.53494247797042038</v>
      </c>
    </row>
    <row r="186" spans="1:32" s="10" customFormat="1" ht="28.5" customHeight="1">
      <c r="A186" s="96">
        <v>185</v>
      </c>
      <c r="B186" s="5" t="s">
        <v>66</v>
      </c>
      <c r="C186" s="5" t="s">
        <v>67</v>
      </c>
      <c r="D186" s="5" t="s">
        <v>404</v>
      </c>
      <c r="E186" s="5" t="s">
        <v>4</v>
      </c>
      <c r="F186" s="5" t="s">
        <v>125</v>
      </c>
      <c r="G186" s="35" t="s">
        <v>70</v>
      </c>
      <c r="H186" s="46">
        <f>1690653.45/65</f>
        <v>26010.053076923075</v>
      </c>
      <c r="I186" s="46">
        <f>Table1[[#This Row],[Contracted Amount]]*AF186</f>
        <v>17742.850923346959</v>
      </c>
      <c r="J186" s="46">
        <f>1404237.94/65</f>
        <v>21603.660615384615</v>
      </c>
      <c r="K186" s="46">
        <f>Table1[[#This Row],[Actual Expenditure (including admin fees)]]*AF186</f>
        <v>14737.014513724167</v>
      </c>
      <c r="L186" s="35" t="s">
        <v>71</v>
      </c>
      <c r="M186" s="42" t="s">
        <v>72</v>
      </c>
      <c r="N186" s="42">
        <v>43494</v>
      </c>
      <c r="O186" s="100" t="s">
        <v>73</v>
      </c>
      <c r="P186" s="42"/>
      <c r="Q186" s="42"/>
      <c r="R186" s="42">
        <v>44140</v>
      </c>
      <c r="S186" s="36" t="s">
        <v>71</v>
      </c>
      <c r="T186" s="91" t="s">
        <v>401</v>
      </c>
      <c r="U186" s="9">
        <v>44146</v>
      </c>
      <c r="V186" s="118" t="s">
        <v>71</v>
      </c>
      <c r="W186" s="118" t="s">
        <v>126</v>
      </c>
      <c r="X186" s="136">
        <v>1</v>
      </c>
      <c r="Y186" s="132" t="s">
        <v>402</v>
      </c>
      <c r="Z186" s="88" t="s">
        <v>403</v>
      </c>
      <c r="AA186" s="34" t="s">
        <v>264</v>
      </c>
      <c r="AB186" s="5"/>
      <c r="AC186" s="5"/>
      <c r="AE186" s="10">
        <f ca="1"/>
        <v>0.6761412862410201</v>
      </c>
      <c r="AF186" s="10">
        <v>0.68215358388057146</v>
      </c>
    </row>
    <row r="187" spans="1:32" s="10" customFormat="1" ht="28.5" customHeight="1">
      <c r="A187" s="96">
        <v>186</v>
      </c>
      <c r="B187" s="5" t="s">
        <v>66</v>
      </c>
      <c r="C187" s="5" t="s">
        <v>67</v>
      </c>
      <c r="D187" s="5" t="s">
        <v>404</v>
      </c>
      <c r="E187" s="5" t="s">
        <v>4</v>
      </c>
      <c r="F187" s="5" t="s">
        <v>125</v>
      </c>
      <c r="G187" s="35" t="s">
        <v>70</v>
      </c>
      <c r="H187" s="46">
        <f>1690653.45/65</f>
        <v>26010.053076923075</v>
      </c>
      <c r="I187" s="46">
        <f>Table1[[#This Row],[Contracted Amount]]*AF187</f>
        <v>18438.490296596716</v>
      </c>
      <c r="J187" s="46">
        <f>1404237.94/65</f>
        <v>21603.660615384615</v>
      </c>
      <c r="K187" s="46">
        <f>Table1[[#This Row],[Actual Expenditure (including admin fees)]]*AF187</f>
        <v>15314.804835256427</v>
      </c>
      <c r="L187" s="35" t="s">
        <v>71</v>
      </c>
      <c r="M187" s="42" t="s">
        <v>72</v>
      </c>
      <c r="N187" s="42">
        <v>43494</v>
      </c>
      <c r="O187" s="100" t="s">
        <v>73</v>
      </c>
      <c r="P187" s="42"/>
      <c r="Q187" s="42"/>
      <c r="R187" s="42">
        <v>44140</v>
      </c>
      <c r="S187" s="36" t="s">
        <v>71</v>
      </c>
      <c r="T187" s="91" t="s">
        <v>401</v>
      </c>
      <c r="U187" s="9">
        <v>44146</v>
      </c>
      <c r="V187" s="118" t="s">
        <v>71</v>
      </c>
      <c r="W187" s="118" t="s">
        <v>126</v>
      </c>
      <c r="X187" s="136">
        <v>1</v>
      </c>
      <c r="Y187" s="132" t="s">
        <v>402</v>
      </c>
      <c r="Z187" s="88" t="s">
        <v>403</v>
      </c>
      <c r="AA187" s="34" t="s">
        <v>264</v>
      </c>
      <c r="AB187" s="5"/>
      <c r="AC187" s="5"/>
      <c r="AE187" s="10">
        <f ca="1"/>
        <v>0.52421067539551525</v>
      </c>
      <c r="AF187" s="10">
        <v>0.70889860324644682</v>
      </c>
    </row>
    <row r="188" spans="1:32" s="10" customFormat="1" ht="28.5" customHeight="1">
      <c r="A188" s="96">
        <v>187</v>
      </c>
      <c r="B188" s="5" t="s">
        <v>66</v>
      </c>
      <c r="C188" s="5" t="s">
        <v>67</v>
      </c>
      <c r="D188" s="5" t="s">
        <v>404</v>
      </c>
      <c r="E188" s="5" t="s">
        <v>4</v>
      </c>
      <c r="F188" s="5" t="s">
        <v>125</v>
      </c>
      <c r="G188" s="35" t="s">
        <v>70</v>
      </c>
      <c r="H188" s="46">
        <f>1690653.45/65</f>
        <v>26010.053076923075</v>
      </c>
      <c r="I188" s="46">
        <f>Table1[[#This Row],[Contracted Amount]]*AF188</f>
        <v>15044.165605688653</v>
      </c>
      <c r="J188" s="46">
        <f>1404237.94/65</f>
        <v>21603.660615384615</v>
      </c>
      <c r="K188" s="46">
        <f>Table1[[#This Row],[Actual Expenditure (including admin fees)]]*AF188</f>
        <v>12495.516523005403</v>
      </c>
      <c r="L188" s="35" t="s">
        <v>71</v>
      </c>
      <c r="M188" s="42" t="s">
        <v>72</v>
      </c>
      <c r="N188" s="42">
        <v>43494</v>
      </c>
      <c r="O188" s="100" t="s">
        <v>73</v>
      </c>
      <c r="P188" s="42"/>
      <c r="Q188" s="42"/>
      <c r="R188" s="42">
        <v>44140</v>
      </c>
      <c r="S188" s="36" t="s">
        <v>71</v>
      </c>
      <c r="T188" s="91" t="s">
        <v>401</v>
      </c>
      <c r="U188" s="9">
        <v>44146</v>
      </c>
      <c r="V188" s="118" t="s">
        <v>71</v>
      </c>
      <c r="W188" s="118" t="s">
        <v>126</v>
      </c>
      <c r="X188" s="136">
        <v>1</v>
      </c>
      <c r="Y188" s="132" t="s">
        <v>402</v>
      </c>
      <c r="Z188" s="88" t="s">
        <v>403</v>
      </c>
      <c r="AA188" s="34" t="s">
        <v>264</v>
      </c>
      <c r="AB188" s="5"/>
      <c r="AC188" s="5"/>
      <c r="AE188" s="10">
        <f ca="1"/>
        <v>0.60175211343077795</v>
      </c>
      <c r="AF188" s="10">
        <v>0.57839811249890538</v>
      </c>
    </row>
    <row r="189" spans="1:32" s="10" customFormat="1" ht="28.5" customHeight="1">
      <c r="A189" s="96">
        <v>188</v>
      </c>
      <c r="B189" s="5" t="s">
        <v>66</v>
      </c>
      <c r="C189" s="5" t="s">
        <v>67</v>
      </c>
      <c r="D189" s="5" t="s">
        <v>404</v>
      </c>
      <c r="E189" s="5" t="s">
        <v>4</v>
      </c>
      <c r="F189" s="5" t="s">
        <v>125</v>
      </c>
      <c r="G189" s="35" t="s">
        <v>70</v>
      </c>
      <c r="H189" s="46">
        <f>1690653.45/65</f>
        <v>26010.053076923075</v>
      </c>
      <c r="I189" s="46">
        <f>Table1[[#This Row],[Contracted Amount]]*AF189</f>
        <v>16385.599843905824</v>
      </c>
      <c r="J189" s="46">
        <f>1404237.94/65</f>
        <v>21603.660615384615</v>
      </c>
      <c r="K189" s="46">
        <f>Table1[[#This Row],[Actual Expenditure (including admin fees)]]*AF189</f>
        <v>13609.696872218628</v>
      </c>
      <c r="L189" s="35" t="s">
        <v>71</v>
      </c>
      <c r="M189" s="42" t="s">
        <v>72</v>
      </c>
      <c r="N189" s="42">
        <v>43494</v>
      </c>
      <c r="O189" s="100" t="s">
        <v>73</v>
      </c>
      <c r="P189" s="42"/>
      <c r="Q189" s="42"/>
      <c r="R189" s="42">
        <v>44140</v>
      </c>
      <c r="S189" s="36" t="s">
        <v>71</v>
      </c>
      <c r="T189" s="91" t="s">
        <v>401</v>
      </c>
      <c r="U189" s="9">
        <v>44146</v>
      </c>
      <c r="V189" s="118" t="s">
        <v>71</v>
      </c>
      <c r="W189" s="118" t="s">
        <v>126</v>
      </c>
      <c r="X189" s="136">
        <v>1</v>
      </c>
      <c r="Y189" s="132" t="s">
        <v>402</v>
      </c>
      <c r="Z189" s="88" t="s">
        <v>403</v>
      </c>
      <c r="AA189" s="34" t="s">
        <v>264</v>
      </c>
      <c r="AB189" s="5"/>
      <c r="AC189" s="5"/>
      <c r="AE189" s="10">
        <f ca="1"/>
        <v>0.55977852281722273</v>
      </c>
      <c r="AF189" s="10">
        <v>0.62997179573015305</v>
      </c>
    </row>
    <row r="190" spans="1:32" s="14" customFormat="1" ht="28.5" customHeight="1">
      <c r="A190" s="96">
        <v>189</v>
      </c>
      <c r="B190" s="5" t="s">
        <v>84</v>
      </c>
      <c r="C190" s="5" t="s">
        <v>67</v>
      </c>
      <c r="D190" s="5" t="s">
        <v>409</v>
      </c>
      <c r="E190" s="5" t="s">
        <v>96</v>
      </c>
      <c r="F190" s="5" t="s">
        <v>97</v>
      </c>
      <c r="G190" s="35" t="s">
        <v>70</v>
      </c>
      <c r="H190" s="44">
        <v>14360</v>
      </c>
      <c r="I190" s="44">
        <f>Table1[[#This Row],[Contracted Amount]]*AF190</f>
        <v>10393.936218985162</v>
      </c>
      <c r="J190" s="44">
        <f>(10603.25+2756.75)*0.9+(10603.25+2756.75)*0.1</f>
        <v>13360</v>
      </c>
      <c r="K190" s="44">
        <f>Table1[[#This Row],[Actual Expenditure (including admin fees)]]*AF190</f>
        <v>9670.124504571153</v>
      </c>
      <c r="L190" s="35" t="s">
        <v>71</v>
      </c>
      <c r="M190" s="42" t="s">
        <v>72</v>
      </c>
      <c r="N190" s="42">
        <v>43417</v>
      </c>
      <c r="O190" s="100" t="s">
        <v>73</v>
      </c>
      <c r="P190" s="42">
        <v>43442</v>
      </c>
      <c r="Q190" s="42">
        <f>Table1[[#This Row],[Site handover date]]+7</f>
        <v>43449</v>
      </c>
      <c r="R190" s="42">
        <v>43635</v>
      </c>
      <c r="S190" s="36" t="s">
        <v>71</v>
      </c>
      <c r="T190" s="91"/>
      <c r="U190" s="9">
        <v>43584</v>
      </c>
      <c r="V190" s="118" t="s">
        <v>71</v>
      </c>
      <c r="W190" s="118" t="s">
        <v>98</v>
      </c>
      <c r="X190" s="136">
        <v>1</v>
      </c>
      <c r="Y190" s="23">
        <v>137</v>
      </c>
      <c r="Z190" s="34" t="str">
        <f>IF(ISERROR(VLOOKUP(Y190,'Data inputs '!$N$4:$O$23,2,0)),"",(VLOOKUP(Y190,'Data inputs '!$N$4:$O$23,2,0)))</f>
        <v>Italy</v>
      </c>
      <c r="AA190" s="34">
        <v>98720</v>
      </c>
      <c r="AB190" s="5">
        <v>32.706310000000002</v>
      </c>
      <c r="AC190" s="5">
        <v>12.93257</v>
      </c>
      <c r="AE190" s="14">
        <f ca="1"/>
        <v>0.51408352746698471</v>
      </c>
      <c r="AF190" s="14">
        <v>0.72381171441400849</v>
      </c>
    </row>
    <row r="191" spans="1:32" s="14" customFormat="1" ht="28.5" customHeight="1">
      <c r="A191" s="96">
        <v>190</v>
      </c>
      <c r="B191" s="5" t="s">
        <v>84</v>
      </c>
      <c r="C191" s="5" t="s">
        <v>67</v>
      </c>
      <c r="D191" s="5" t="s">
        <v>409</v>
      </c>
      <c r="E191" s="5" t="s">
        <v>96</v>
      </c>
      <c r="F191" s="5" t="s">
        <v>97</v>
      </c>
      <c r="G191" s="35" t="s">
        <v>70</v>
      </c>
      <c r="H191" s="44">
        <v>17091</v>
      </c>
      <c r="I191" s="44">
        <f>Table1[[#This Row],[Contracted Amount]]*AF191</f>
        <v>11390.68679223089</v>
      </c>
      <c r="J191" s="44">
        <f>(15102.55+1976)*0.9+(15102.55+1976)*0.1</f>
        <v>17078.55</v>
      </c>
      <c r="K191" s="44">
        <f>Table1[[#This Row],[Actual Expenditure (including admin fees)]]*AF191</f>
        <v>11382.389205748925</v>
      </c>
      <c r="L191" s="35" t="s">
        <v>71</v>
      </c>
      <c r="M191" s="42" t="s">
        <v>72</v>
      </c>
      <c r="N191" s="42">
        <v>43417</v>
      </c>
      <c r="O191" s="100" t="s">
        <v>73</v>
      </c>
      <c r="P191" s="42">
        <v>43442</v>
      </c>
      <c r="Q191" s="42">
        <f>Table1[[#This Row],[Site handover date]]+7</f>
        <v>43449</v>
      </c>
      <c r="R191" s="42">
        <v>43635</v>
      </c>
      <c r="S191" s="36" t="s">
        <v>71</v>
      </c>
      <c r="T191" s="91"/>
      <c r="U191" s="9">
        <v>43584</v>
      </c>
      <c r="V191" s="118" t="s">
        <v>71</v>
      </c>
      <c r="W191" s="118" t="s">
        <v>98</v>
      </c>
      <c r="X191" s="136">
        <v>1</v>
      </c>
      <c r="Y191" s="23">
        <v>137</v>
      </c>
      <c r="Z191" s="34" t="str">
        <f>IF(ISERROR(VLOOKUP(Y191,'Data inputs '!$N$4:$O$23,2,0)),"",(VLOOKUP(Y191,'Data inputs '!$N$4:$O$23,2,0)))</f>
        <v>Italy</v>
      </c>
      <c r="AA191" s="34">
        <v>98720</v>
      </c>
      <c r="AB191" s="5">
        <v>32.763120000000001</v>
      </c>
      <c r="AC191" s="5">
        <v>13.092737</v>
      </c>
      <c r="AE191" s="14">
        <f ca="1"/>
        <v>0.6717978762572363</v>
      </c>
      <c r="AF191" s="14">
        <v>0.66647280979643619</v>
      </c>
    </row>
    <row r="192" spans="1:32" s="14" customFormat="1" ht="28.5" customHeight="1">
      <c r="A192" s="96">
        <v>191</v>
      </c>
      <c r="B192" s="5" t="s">
        <v>84</v>
      </c>
      <c r="C192" s="5" t="s">
        <v>67</v>
      </c>
      <c r="D192" s="5" t="s">
        <v>409</v>
      </c>
      <c r="E192" s="5" t="s">
        <v>96</v>
      </c>
      <c r="F192" s="5" t="s">
        <v>97</v>
      </c>
      <c r="G192" s="35" t="s">
        <v>70</v>
      </c>
      <c r="H192" s="44">
        <v>32208.5</v>
      </c>
      <c r="I192" s="44">
        <f>Table1[[#This Row],[Contracted Amount]]*AF192</f>
        <v>22372.564281503957</v>
      </c>
      <c r="J192" s="44">
        <f>(25233+6823)*0.9+(25233+6823)*0.1</f>
        <v>32056</v>
      </c>
      <c r="K192" s="44">
        <f>Table1[[#This Row],[Actual Expenditure (including admin fees)]]*AF192</f>
        <v>22266.635223866087</v>
      </c>
      <c r="L192" s="35" t="s">
        <v>71</v>
      </c>
      <c r="M192" s="42" t="s">
        <v>72</v>
      </c>
      <c r="N192" s="42">
        <v>43417</v>
      </c>
      <c r="O192" s="100" t="s">
        <v>73</v>
      </c>
      <c r="P192" s="42">
        <v>43442</v>
      </c>
      <c r="Q192" s="42">
        <f>Table1[[#This Row],[Site handover date]]+7</f>
        <v>43449</v>
      </c>
      <c r="R192" s="42">
        <v>43635</v>
      </c>
      <c r="S192" s="36" t="s">
        <v>71</v>
      </c>
      <c r="T192" s="91"/>
      <c r="U192" s="9">
        <v>43606</v>
      </c>
      <c r="V192" s="118" t="s">
        <v>71</v>
      </c>
      <c r="W192" s="118" t="s">
        <v>98</v>
      </c>
      <c r="X192" s="136">
        <v>1</v>
      </c>
      <c r="Y192" s="23">
        <v>137</v>
      </c>
      <c r="Z192" s="34" t="str">
        <f>IF(ISERROR(VLOOKUP(Y192,'Data inputs '!$N$4:$O$23,2,0)),"",(VLOOKUP(Y192,'Data inputs '!$N$4:$O$23,2,0)))</f>
        <v>Italy</v>
      </c>
      <c r="AA192" s="34">
        <v>98720</v>
      </c>
      <c r="AB192" s="5">
        <v>32.64499</v>
      </c>
      <c r="AC192" s="5">
        <v>13.021126000000001</v>
      </c>
      <c r="AE192" s="14">
        <f ca="1"/>
        <v>0.54184172405254938</v>
      </c>
      <c r="AF192" s="14">
        <v>0.69461677139587241</v>
      </c>
    </row>
    <row r="193" spans="1:32" s="14" customFormat="1" ht="28.5" customHeight="1">
      <c r="A193" s="96">
        <v>192</v>
      </c>
      <c r="B193" s="5" t="s">
        <v>84</v>
      </c>
      <c r="C193" s="5" t="s">
        <v>67</v>
      </c>
      <c r="D193" s="5" t="s">
        <v>409</v>
      </c>
      <c r="E193" s="5" t="s">
        <v>96</v>
      </c>
      <c r="F193" s="5" t="s">
        <v>97</v>
      </c>
      <c r="G193" s="35" t="s">
        <v>70</v>
      </c>
      <c r="H193" s="63">
        <f>34740*0.9+(34740*0.1)</f>
        <v>34740</v>
      </c>
      <c r="I193" s="63">
        <f>Table1[[#This Row],[Contracted Amount]]*AF193</f>
        <v>23789.229922295097</v>
      </c>
      <c r="J193" s="44">
        <f>34740*0.9+(34740*0.1)</f>
        <v>34740</v>
      </c>
      <c r="K193" s="44">
        <f>Table1[[#This Row],[Actual Expenditure (including admin fees)]]*AF193</f>
        <v>23789.229922295097</v>
      </c>
      <c r="L193" s="35" t="s">
        <v>71</v>
      </c>
      <c r="M193" s="42" t="s">
        <v>72</v>
      </c>
      <c r="N193" s="42">
        <v>43399</v>
      </c>
      <c r="O193" s="100" t="s">
        <v>73</v>
      </c>
      <c r="P193" s="42">
        <v>43429</v>
      </c>
      <c r="Q193" s="42">
        <f>Table1[[#This Row],[Site handover date]]+7</f>
        <v>43436</v>
      </c>
      <c r="R193" s="42">
        <v>43606</v>
      </c>
      <c r="S193" s="36" t="s">
        <v>71</v>
      </c>
      <c r="T193" s="91"/>
      <c r="U193" s="9">
        <v>43606</v>
      </c>
      <c r="V193" s="118" t="s">
        <v>71</v>
      </c>
      <c r="W193" s="118" t="s">
        <v>98</v>
      </c>
      <c r="X193" s="136">
        <v>1</v>
      </c>
      <c r="Y193" s="23">
        <v>141</v>
      </c>
      <c r="Z193" s="34" t="str">
        <f>IF(ISERROR(VLOOKUP(Y193,'Data inputs '!$N$4:$O$23,2,0)),"",(VLOOKUP(Y193,'Data inputs '!$N$4:$O$23,2,0)))</f>
        <v>Japan</v>
      </c>
      <c r="AA193" s="34">
        <v>98720</v>
      </c>
      <c r="AB193" s="5">
        <v>32.713217999999998</v>
      </c>
      <c r="AC193" s="5">
        <v>13.067128</v>
      </c>
      <c r="AE193" s="14">
        <f ca="1"/>
        <v>0.72310988159872069</v>
      </c>
      <c r="AF193" s="14">
        <v>0.68477921480411907</v>
      </c>
    </row>
    <row r="194" spans="1:32" s="14" customFormat="1" ht="28.5" customHeight="1">
      <c r="A194" s="96">
        <v>193</v>
      </c>
      <c r="B194" s="5" t="s">
        <v>84</v>
      </c>
      <c r="C194" s="5" t="s">
        <v>67</v>
      </c>
      <c r="D194" s="5" t="s">
        <v>409</v>
      </c>
      <c r="E194" s="5" t="s">
        <v>96</v>
      </c>
      <c r="F194" s="5" t="s">
        <v>97</v>
      </c>
      <c r="G194" s="35" t="s">
        <v>70</v>
      </c>
      <c r="H194" s="63">
        <f>44169.14*0.9+(44169.14*0.1)</f>
        <v>44169.14</v>
      </c>
      <c r="I194" s="63">
        <f>Table1[[#This Row],[Contracted Amount]]*AF194</f>
        <v>31429.846973959091</v>
      </c>
      <c r="J194" s="44">
        <f>44169.17*0.9+(44169.17*0.1)</f>
        <v>44169.17</v>
      </c>
      <c r="K194" s="44">
        <f>Table1[[#This Row],[Actual Expenditure (including admin fees)]]*AF194</f>
        <v>31429.868321338941</v>
      </c>
      <c r="L194" s="35" t="s">
        <v>71</v>
      </c>
      <c r="M194" s="42" t="s">
        <v>72</v>
      </c>
      <c r="N194" s="42">
        <v>43399</v>
      </c>
      <c r="O194" s="100" t="s">
        <v>73</v>
      </c>
      <c r="P194" s="42">
        <v>43429</v>
      </c>
      <c r="Q194" s="42">
        <f>Table1[[#This Row],[Site handover date]]+7</f>
        <v>43436</v>
      </c>
      <c r="R194" s="42">
        <v>43606</v>
      </c>
      <c r="S194" s="36" t="s">
        <v>71</v>
      </c>
      <c r="T194" s="91"/>
      <c r="U194" s="9">
        <v>43606</v>
      </c>
      <c r="V194" s="118" t="s">
        <v>71</v>
      </c>
      <c r="W194" s="118" t="s">
        <v>98</v>
      </c>
      <c r="X194" s="136">
        <v>1</v>
      </c>
      <c r="Y194" s="23">
        <v>141</v>
      </c>
      <c r="Z194" s="34" t="str">
        <f>IF(ISERROR(VLOOKUP(Y194,'Data inputs '!$N$4:$O$23,2,0)),"",(VLOOKUP(Y194,'Data inputs '!$N$4:$O$23,2,0)))</f>
        <v>Japan</v>
      </c>
      <c r="AA194" s="34">
        <v>98720</v>
      </c>
      <c r="AB194" s="5">
        <v>32.688304000000002</v>
      </c>
      <c r="AC194" s="5">
        <v>13.058446999999999</v>
      </c>
      <c r="AE194" s="14">
        <f ca="1"/>
        <v>0.62407190058437101</v>
      </c>
      <c r="AF194" s="14">
        <v>0.71157932832649884</v>
      </c>
    </row>
    <row r="195" spans="1:32" s="14" customFormat="1" ht="28.5" customHeight="1">
      <c r="A195" s="96">
        <v>194</v>
      </c>
      <c r="B195" s="5" t="s">
        <v>84</v>
      </c>
      <c r="C195" s="5" t="s">
        <v>67</v>
      </c>
      <c r="D195" s="5" t="s">
        <v>409</v>
      </c>
      <c r="E195" s="5" t="s">
        <v>96</v>
      </c>
      <c r="F195" s="5" t="s">
        <v>97</v>
      </c>
      <c r="G195" s="35" t="s">
        <v>70</v>
      </c>
      <c r="H195" s="63">
        <f>20547.87*0.9+(20547.87*0.1)</f>
        <v>20547.87</v>
      </c>
      <c r="I195" s="63">
        <f>Table1[[#This Row],[Contracted Amount]]*AF195</f>
        <v>11533.98067049117</v>
      </c>
      <c r="J195" s="44">
        <f>20547.87*0.9+(20547.87*0.1)</f>
        <v>20547.87</v>
      </c>
      <c r="K195" s="44">
        <f>Table1[[#This Row],[Actual Expenditure (including admin fees)]]*AF195</f>
        <v>11533.98067049117</v>
      </c>
      <c r="L195" s="35" t="s">
        <v>71</v>
      </c>
      <c r="M195" s="42" t="s">
        <v>72</v>
      </c>
      <c r="N195" s="42">
        <v>43399</v>
      </c>
      <c r="O195" s="100" t="s">
        <v>73</v>
      </c>
      <c r="P195" s="42">
        <v>43429</v>
      </c>
      <c r="Q195" s="42">
        <f>Table1[[#This Row],[Site handover date]]+7</f>
        <v>43436</v>
      </c>
      <c r="R195" s="42">
        <v>43606</v>
      </c>
      <c r="S195" s="36" t="s">
        <v>71</v>
      </c>
      <c r="T195" s="91"/>
      <c r="U195" s="9">
        <v>43606</v>
      </c>
      <c r="V195" s="118" t="s">
        <v>71</v>
      </c>
      <c r="W195" s="118" t="s">
        <v>98</v>
      </c>
      <c r="X195" s="136">
        <v>1</v>
      </c>
      <c r="Y195" s="23">
        <v>141</v>
      </c>
      <c r="Z195" s="34" t="str">
        <f>IF(ISERROR(VLOOKUP(Y195,'Data inputs '!$N$4:$O$23,2,0)),"",(VLOOKUP(Y195,'Data inputs '!$N$4:$O$23,2,0)))</f>
        <v>Japan</v>
      </c>
      <c r="AA195" s="34">
        <v>98720</v>
      </c>
      <c r="AB195" s="5">
        <v>32.638168999999998</v>
      </c>
      <c r="AC195" s="5">
        <v>13.065338000000001</v>
      </c>
      <c r="AE195" s="14">
        <f ca="1"/>
        <v>0.55617355800588963</v>
      </c>
      <c r="AF195" s="14">
        <v>0.56132244707072654</v>
      </c>
    </row>
    <row r="196" spans="1:32" s="14" customFormat="1" ht="28.5" customHeight="1">
      <c r="A196" s="96">
        <v>195</v>
      </c>
      <c r="B196" s="5" t="s">
        <v>66</v>
      </c>
      <c r="C196" s="5" t="s">
        <v>67</v>
      </c>
      <c r="D196" s="5" t="s">
        <v>409</v>
      </c>
      <c r="E196" s="5" t="s">
        <v>4</v>
      </c>
      <c r="F196" s="5" t="s">
        <v>125</v>
      </c>
      <c r="G196" s="35" t="s">
        <v>70</v>
      </c>
      <c r="H196" s="46">
        <f>1690653.45/65</f>
        <v>26010.053076923075</v>
      </c>
      <c r="I196" s="46">
        <f>Table1[[#This Row],[Contracted Amount]]*AF196</f>
        <v>16185.275309348019</v>
      </c>
      <c r="J196" s="46">
        <f>1404237.94/65</f>
        <v>21603.660615384615</v>
      </c>
      <c r="K196" s="46">
        <f>Table1[[#This Row],[Actual Expenditure (including admin fees)]]*AF196</f>
        <v>13443.309543260757</v>
      </c>
      <c r="L196" s="35" t="s">
        <v>71</v>
      </c>
      <c r="M196" s="42" t="s">
        <v>72</v>
      </c>
      <c r="N196" s="42">
        <v>43494</v>
      </c>
      <c r="O196" s="100" t="s">
        <v>73</v>
      </c>
      <c r="P196" s="42"/>
      <c r="Q196" s="42"/>
      <c r="R196" s="42">
        <v>44140</v>
      </c>
      <c r="S196" s="36" t="s">
        <v>71</v>
      </c>
      <c r="T196" s="91" t="s">
        <v>401</v>
      </c>
      <c r="U196" s="9">
        <v>44146</v>
      </c>
      <c r="V196" s="118" t="s">
        <v>71</v>
      </c>
      <c r="W196" s="118" t="s">
        <v>126</v>
      </c>
      <c r="X196" s="136">
        <v>1</v>
      </c>
      <c r="Y196" s="132" t="s">
        <v>402</v>
      </c>
      <c r="Z196" s="88" t="s">
        <v>403</v>
      </c>
      <c r="AA196" s="34" t="s">
        <v>264</v>
      </c>
      <c r="AB196" s="5"/>
      <c r="AC196" s="5"/>
      <c r="AE196" s="14">
        <f ca="1"/>
        <v>0.68136330540983292</v>
      </c>
      <c r="AF196" s="14">
        <v>0.62226998389742216</v>
      </c>
    </row>
    <row r="197" spans="1:32" s="14" customFormat="1" ht="28.5" customHeight="1">
      <c r="A197" s="96">
        <v>196</v>
      </c>
      <c r="B197" s="5" t="s">
        <v>66</v>
      </c>
      <c r="C197" s="5" t="s">
        <v>67</v>
      </c>
      <c r="D197" s="5" t="s">
        <v>409</v>
      </c>
      <c r="E197" s="5" t="s">
        <v>4</v>
      </c>
      <c r="F197" s="5" t="s">
        <v>125</v>
      </c>
      <c r="G197" s="35" t="s">
        <v>70</v>
      </c>
      <c r="H197" s="46">
        <f>1690653.45/65</f>
        <v>26010.053076923075</v>
      </c>
      <c r="I197" s="46">
        <f>Table1[[#This Row],[Contracted Amount]]*AF197</f>
        <v>13781.79704420439</v>
      </c>
      <c r="J197" s="46">
        <f>1404237.94/65</f>
        <v>21603.660615384615</v>
      </c>
      <c r="K197" s="46">
        <f>Table1[[#This Row],[Actual Expenditure (including admin fees)]]*AF197</f>
        <v>11447.007244951154</v>
      </c>
      <c r="L197" s="35" t="s">
        <v>71</v>
      </c>
      <c r="M197" s="42" t="s">
        <v>72</v>
      </c>
      <c r="N197" s="42">
        <v>43494</v>
      </c>
      <c r="O197" s="100" t="s">
        <v>73</v>
      </c>
      <c r="P197" s="42"/>
      <c r="Q197" s="42"/>
      <c r="R197" s="42">
        <v>44140</v>
      </c>
      <c r="S197" s="36" t="s">
        <v>71</v>
      </c>
      <c r="T197" s="91" t="s">
        <v>401</v>
      </c>
      <c r="U197" s="9">
        <v>44146</v>
      </c>
      <c r="V197" s="118" t="s">
        <v>71</v>
      </c>
      <c r="W197" s="118" t="s">
        <v>126</v>
      </c>
      <c r="X197" s="136">
        <v>1</v>
      </c>
      <c r="Y197" s="132" t="s">
        <v>402</v>
      </c>
      <c r="Z197" s="88" t="s">
        <v>403</v>
      </c>
      <c r="AA197" s="34" t="s">
        <v>264</v>
      </c>
      <c r="AB197" s="5"/>
      <c r="AC197" s="5"/>
      <c r="AE197" s="14">
        <f ca="1"/>
        <v>0.59527862547382671</v>
      </c>
      <c r="AF197" s="14">
        <v>0.5298642414702347</v>
      </c>
    </row>
    <row r="198" spans="1:32" s="14" customFormat="1" ht="28.5" customHeight="1">
      <c r="A198" s="96">
        <v>197</v>
      </c>
      <c r="B198" s="5" t="s">
        <v>66</v>
      </c>
      <c r="C198" s="5" t="s">
        <v>67</v>
      </c>
      <c r="D198" s="5" t="s">
        <v>409</v>
      </c>
      <c r="E198" s="5" t="s">
        <v>4</v>
      </c>
      <c r="F198" s="5" t="s">
        <v>125</v>
      </c>
      <c r="G198" s="35" t="s">
        <v>70</v>
      </c>
      <c r="H198" s="46">
        <f>1690653.45/65</f>
        <v>26010.053076923075</v>
      </c>
      <c r="I198" s="46">
        <f>Table1[[#This Row],[Contracted Amount]]*AF198</f>
        <v>14030.004274435809</v>
      </c>
      <c r="J198" s="46">
        <f>1404237.94/65</f>
        <v>21603.660615384615</v>
      </c>
      <c r="K198" s="46">
        <f>Table1[[#This Row],[Actual Expenditure (including admin fees)]]*AF198</f>
        <v>11653.165408040859</v>
      </c>
      <c r="L198" s="35" t="s">
        <v>71</v>
      </c>
      <c r="M198" s="42" t="s">
        <v>72</v>
      </c>
      <c r="N198" s="42">
        <v>43494</v>
      </c>
      <c r="O198" s="100" t="s">
        <v>73</v>
      </c>
      <c r="P198" s="42"/>
      <c r="Q198" s="42"/>
      <c r="R198" s="42">
        <v>44140</v>
      </c>
      <c r="S198" s="36" t="s">
        <v>71</v>
      </c>
      <c r="T198" s="91" t="s">
        <v>401</v>
      </c>
      <c r="U198" s="9">
        <v>44146</v>
      </c>
      <c r="V198" s="118" t="s">
        <v>71</v>
      </c>
      <c r="W198" s="118" t="s">
        <v>126</v>
      </c>
      <c r="X198" s="136">
        <v>1</v>
      </c>
      <c r="Y198" s="132" t="s">
        <v>402</v>
      </c>
      <c r="Z198" s="88" t="s">
        <v>403</v>
      </c>
      <c r="AA198" s="34" t="s">
        <v>264</v>
      </c>
      <c r="AB198" s="5"/>
      <c r="AC198" s="5"/>
      <c r="AE198" s="14">
        <f ca="1"/>
        <v>0.57989255834006947</v>
      </c>
      <c r="AF198" s="14">
        <v>0.53940698363601813</v>
      </c>
    </row>
    <row r="199" spans="1:32" s="14" customFormat="1" ht="28.5" customHeight="1">
      <c r="A199" s="96">
        <v>198</v>
      </c>
      <c r="B199" s="5" t="s">
        <v>66</v>
      </c>
      <c r="C199" s="5" t="s">
        <v>67</v>
      </c>
      <c r="D199" s="5" t="s">
        <v>409</v>
      </c>
      <c r="E199" s="5" t="s">
        <v>4</v>
      </c>
      <c r="F199" s="5" t="s">
        <v>125</v>
      </c>
      <c r="G199" s="35" t="s">
        <v>70</v>
      </c>
      <c r="H199" s="46">
        <f>1690653.45/65</f>
        <v>26010.053076923075</v>
      </c>
      <c r="I199" s="46">
        <f>Table1[[#This Row],[Contracted Amount]]*AF199</f>
        <v>17552.488134065377</v>
      </c>
      <c r="J199" s="46">
        <f>1404237.94/65</f>
        <v>21603.660615384615</v>
      </c>
      <c r="K199" s="46">
        <f>Table1[[#This Row],[Actual Expenditure (including admin fees)]]*AF199</f>
        <v>14578.901299526768</v>
      </c>
      <c r="L199" s="35" t="s">
        <v>71</v>
      </c>
      <c r="M199" s="42" t="s">
        <v>72</v>
      </c>
      <c r="N199" s="42">
        <v>43494</v>
      </c>
      <c r="O199" s="100" t="s">
        <v>73</v>
      </c>
      <c r="P199" s="42"/>
      <c r="Q199" s="42"/>
      <c r="R199" s="42">
        <v>44140</v>
      </c>
      <c r="S199" s="36" t="s">
        <v>71</v>
      </c>
      <c r="T199" s="91" t="s">
        <v>401</v>
      </c>
      <c r="U199" s="9">
        <v>44146</v>
      </c>
      <c r="V199" s="118" t="s">
        <v>71</v>
      </c>
      <c r="W199" s="118" t="s">
        <v>126</v>
      </c>
      <c r="X199" s="136">
        <v>1</v>
      </c>
      <c r="Y199" s="132" t="s">
        <v>402</v>
      </c>
      <c r="Z199" s="88" t="s">
        <v>403</v>
      </c>
      <c r="AA199" s="34" t="s">
        <v>264</v>
      </c>
      <c r="AB199" s="5"/>
      <c r="AC199" s="5"/>
      <c r="AE199" s="14">
        <f ca="1"/>
        <v>0.61230516548570124</v>
      </c>
      <c r="AF199" s="14">
        <v>0.6748347680089315</v>
      </c>
    </row>
    <row r="200" spans="1:32" s="14" customFormat="1" ht="28.5" customHeight="1">
      <c r="A200" s="96">
        <v>199</v>
      </c>
      <c r="B200" s="5" t="s">
        <v>66</v>
      </c>
      <c r="C200" s="5" t="s">
        <v>67</v>
      </c>
      <c r="D200" s="5" t="s">
        <v>409</v>
      </c>
      <c r="E200" s="5" t="s">
        <v>4</v>
      </c>
      <c r="F200" s="5" t="s">
        <v>125</v>
      </c>
      <c r="G200" s="35" t="s">
        <v>70</v>
      </c>
      <c r="H200" s="46">
        <f>1690653.45/65</f>
        <v>26010.053076923075</v>
      </c>
      <c r="I200" s="46">
        <f>Table1[[#This Row],[Contracted Amount]]*AF200</f>
        <v>19267.161151209602</v>
      </c>
      <c r="J200" s="46">
        <f>1404237.94/65</f>
        <v>21603.660615384615</v>
      </c>
      <c r="K200" s="46">
        <f>Table1[[#This Row],[Actual Expenditure (including admin fees)]]*AF200</f>
        <v>16003.089624678909</v>
      </c>
      <c r="L200" s="35" t="s">
        <v>71</v>
      </c>
      <c r="M200" s="42" t="s">
        <v>72</v>
      </c>
      <c r="N200" s="42">
        <v>43494</v>
      </c>
      <c r="O200" s="100" t="s">
        <v>73</v>
      </c>
      <c r="P200" s="42"/>
      <c r="Q200" s="42"/>
      <c r="R200" s="42">
        <v>44140</v>
      </c>
      <c r="S200" s="36" t="s">
        <v>71</v>
      </c>
      <c r="T200" s="91" t="s">
        <v>401</v>
      </c>
      <c r="U200" s="9">
        <v>44146</v>
      </c>
      <c r="V200" s="118" t="s">
        <v>71</v>
      </c>
      <c r="W200" s="118" t="s">
        <v>126</v>
      </c>
      <c r="X200" s="136">
        <v>1</v>
      </c>
      <c r="Y200" s="132" t="s">
        <v>402</v>
      </c>
      <c r="Z200" s="88" t="s">
        <v>403</v>
      </c>
      <c r="AA200" s="34" t="s">
        <v>264</v>
      </c>
      <c r="AB200" s="5"/>
      <c r="AC200" s="5"/>
      <c r="AE200" s="14">
        <f ca="1"/>
        <v>0.60893963329265177</v>
      </c>
      <c r="AF200" s="14">
        <v>0.74075824044757621</v>
      </c>
    </row>
    <row r="201" spans="1:32" s="14" customFormat="1" ht="28.5" customHeight="1">
      <c r="A201" s="96">
        <v>200</v>
      </c>
      <c r="B201" s="5" t="s">
        <v>84</v>
      </c>
      <c r="C201" s="5" t="s">
        <v>67</v>
      </c>
      <c r="D201" s="5" t="s">
        <v>410</v>
      </c>
      <c r="E201" s="5" t="s">
        <v>96</v>
      </c>
      <c r="F201" s="5" t="s">
        <v>97</v>
      </c>
      <c r="G201" s="35" t="s">
        <v>70</v>
      </c>
      <c r="H201" s="44">
        <v>32095</v>
      </c>
      <c r="I201" s="44">
        <f>Table1[[#This Row],[Contracted Amount]]*AF201</f>
        <v>19369.152694560969</v>
      </c>
      <c r="J201" s="44">
        <f>32209.38*0.9</f>
        <v>28988.442000000003</v>
      </c>
      <c r="K201" s="44">
        <f>Table1[[#This Row],[Actual Expenditure (including admin fees)]]*AF201</f>
        <v>17494.362345394125</v>
      </c>
      <c r="L201" s="35" t="s">
        <v>71</v>
      </c>
      <c r="M201" s="42" t="s">
        <v>72</v>
      </c>
      <c r="N201" s="42">
        <v>43414</v>
      </c>
      <c r="O201" s="100" t="s">
        <v>73</v>
      </c>
      <c r="P201" s="42">
        <v>43444</v>
      </c>
      <c r="Q201" s="42">
        <f>Table1[[#This Row],[Site handover date]]+7</f>
        <v>43451</v>
      </c>
      <c r="R201" s="42">
        <v>43712</v>
      </c>
      <c r="S201" s="36" t="s">
        <v>71</v>
      </c>
      <c r="T201" s="97" t="s">
        <v>411</v>
      </c>
      <c r="U201" s="9">
        <v>44056</v>
      </c>
      <c r="V201" s="118" t="s">
        <v>71</v>
      </c>
      <c r="W201" s="118" t="s">
        <v>98</v>
      </c>
      <c r="X201" s="136">
        <v>1</v>
      </c>
      <c r="Y201" s="23" t="s">
        <v>412</v>
      </c>
      <c r="Z201" s="34" t="s">
        <v>413</v>
      </c>
      <c r="AA201" s="34" t="s">
        <v>264</v>
      </c>
      <c r="AB201" s="5">
        <v>32.573999999999998</v>
      </c>
      <c r="AC201" s="5">
        <v>13.279</v>
      </c>
      <c r="AE201" s="14">
        <f ca="1"/>
        <v>0.62533134424038217</v>
      </c>
      <c r="AF201" s="14">
        <v>0.60349439771182334</v>
      </c>
    </row>
    <row r="202" spans="1:32" s="14" customFormat="1" ht="28.5" customHeight="1">
      <c r="A202" s="96">
        <v>201</v>
      </c>
      <c r="B202" s="5" t="s">
        <v>84</v>
      </c>
      <c r="C202" s="5" t="s">
        <v>67</v>
      </c>
      <c r="D202" s="5" t="s">
        <v>410</v>
      </c>
      <c r="E202" s="5" t="s">
        <v>96</v>
      </c>
      <c r="F202" s="5" t="s">
        <v>97</v>
      </c>
      <c r="G202" s="35" t="s">
        <v>70</v>
      </c>
      <c r="H202" s="44">
        <v>34205</v>
      </c>
      <c r="I202" s="44">
        <f>Table1[[#This Row],[Contracted Amount]]*AF202</f>
        <v>20778.19292925526</v>
      </c>
      <c r="J202" s="44">
        <f>30030.4*0.9</f>
        <v>27027.360000000001</v>
      </c>
      <c r="K202" s="44">
        <f>Table1[[#This Row],[Actual Expenditure (including admin fees)]]*AF202</f>
        <v>16418.058776448954</v>
      </c>
      <c r="L202" s="35" t="s">
        <v>71</v>
      </c>
      <c r="M202" s="42" t="s">
        <v>72</v>
      </c>
      <c r="N202" s="42">
        <v>43414</v>
      </c>
      <c r="O202" s="100" t="s">
        <v>73</v>
      </c>
      <c r="P202" s="42">
        <v>43444</v>
      </c>
      <c r="Q202" s="42">
        <f>Table1[[#This Row],[Site handover date]]+7</f>
        <v>43451</v>
      </c>
      <c r="R202" s="42">
        <v>43712</v>
      </c>
      <c r="S202" s="36" t="s">
        <v>71</v>
      </c>
      <c r="T202" s="97" t="s">
        <v>411</v>
      </c>
      <c r="U202" s="9">
        <v>44056</v>
      </c>
      <c r="V202" s="118" t="s">
        <v>71</v>
      </c>
      <c r="W202" s="118" t="s">
        <v>98</v>
      </c>
      <c r="X202" s="136">
        <v>1</v>
      </c>
      <c r="Y202" s="23" t="s">
        <v>412</v>
      </c>
      <c r="Z202" s="34" t="s">
        <v>413</v>
      </c>
      <c r="AA202" s="34" t="s">
        <v>264</v>
      </c>
      <c r="AB202" s="5">
        <v>32.606999999999999</v>
      </c>
      <c r="AC202" s="5">
        <v>13.241</v>
      </c>
      <c r="AE202" s="14">
        <f ca="1"/>
        <v>0.70427924393468266</v>
      </c>
      <c r="AF202" s="14">
        <v>0.60746069081290044</v>
      </c>
    </row>
    <row r="203" spans="1:32" s="14" customFormat="1" ht="28.5" customHeight="1">
      <c r="A203" s="96">
        <v>202</v>
      </c>
      <c r="B203" s="5" t="s">
        <v>84</v>
      </c>
      <c r="C203" s="5" t="s">
        <v>67</v>
      </c>
      <c r="D203" s="5" t="s">
        <v>410</v>
      </c>
      <c r="E203" s="5" t="s">
        <v>96</v>
      </c>
      <c r="F203" s="5" t="s">
        <v>97</v>
      </c>
      <c r="G203" s="35" t="s">
        <v>70</v>
      </c>
      <c r="H203" s="44">
        <v>37565</v>
      </c>
      <c r="I203" s="44">
        <f>Table1[[#This Row],[Contracted Amount]]*AF203</f>
        <v>21503.204641690183</v>
      </c>
      <c r="J203" s="44">
        <f>40214.68*0.9+10245.45</f>
        <v>46438.661999999997</v>
      </c>
      <c r="K203" s="44">
        <f>Table1[[#This Row],[Actual Expenditure (including admin fees)]]*AF203</f>
        <v>26582.724671164153</v>
      </c>
      <c r="L203" s="35" t="s">
        <v>71</v>
      </c>
      <c r="M203" s="42" t="s">
        <v>72</v>
      </c>
      <c r="N203" s="42">
        <v>43414</v>
      </c>
      <c r="O203" s="100" t="s">
        <v>73</v>
      </c>
      <c r="P203" s="42">
        <v>43444</v>
      </c>
      <c r="Q203" s="42">
        <f>Table1[[#This Row],[Site handover date]]+7</f>
        <v>43451</v>
      </c>
      <c r="R203" s="42">
        <v>43712</v>
      </c>
      <c r="S203" s="36" t="s">
        <v>71</v>
      </c>
      <c r="T203" s="97" t="s">
        <v>411</v>
      </c>
      <c r="U203" s="9">
        <v>44056</v>
      </c>
      <c r="V203" s="118" t="s">
        <v>71</v>
      </c>
      <c r="W203" s="118" t="s">
        <v>98</v>
      </c>
      <c r="X203" s="136">
        <v>1</v>
      </c>
      <c r="Y203" s="23" t="s">
        <v>412</v>
      </c>
      <c r="Z203" s="34" t="s">
        <v>413</v>
      </c>
      <c r="AA203" s="34" t="s">
        <v>264</v>
      </c>
      <c r="AB203" s="5">
        <v>32.591000000000001</v>
      </c>
      <c r="AC203" s="5">
        <v>13.223000000000001</v>
      </c>
      <c r="AE203" s="14">
        <f ca="1"/>
        <v>0.67748973239640697</v>
      </c>
      <c r="AF203" s="14">
        <v>0.57242658436550464</v>
      </c>
    </row>
    <row r="204" spans="1:32" s="14" customFormat="1" ht="28.5" customHeight="1">
      <c r="A204" s="96">
        <v>203</v>
      </c>
      <c r="B204" s="5" t="s">
        <v>84</v>
      </c>
      <c r="C204" s="5" t="s">
        <v>67</v>
      </c>
      <c r="D204" s="5" t="s">
        <v>410</v>
      </c>
      <c r="E204" s="5" t="s">
        <v>96</v>
      </c>
      <c r="F204" s="5" t="s">
        <v>97</v>
      </c>
      <c r="G204" s="35" t="s">
        <v>70</v>
      </c>
      <c r="H204" s="44">
        <v>22942</v>
      </c>
      <c r="I204" s="44">
        <f>Table1[[#This Row],[Contracted Amount]]*AF204</f>
        <v>14244.106684629916</v>
      </c>
      <c r="J204" s="44">
        <f>(22302.15+2604)*0.9+(22302.15+2604)*0.1</f>
        <v>24906.150000000005</v>
      </c>
      <c r="K204" s="44">
        <f>Table1[[#This Row],[Actual Expenditure (including admin fees)]]*AF204</f>
        <v>15463.597668180431</v>
      </c>
      <c r="L204" s="35" t="s">
        <v>71</v>
      </c>
      <c r="M204" s="42" t="s">
        <v>72</v>
      </c>
      <c r="N204" s="42">
        <v>43426</v>
      </c>
      <c r="O204" s="100" t="s">
        <v>73</v>
      </c>
      <c r="P204" s="42">
        <v>43443</v>
      </c>
      <c r="Q204" s="42">
        <f>Table1[[#This Row],[Site handover date]]+7</f>
        <v>43450</v>
      </c>
      <c r="R204" s="42">
        <v>43835</v>
      </c>
      <c r="S204" s="36" t="s">
        <v>71</v>
      </c>
      <c r="T204" s="89" t="s">
        <v>414</v>
      </c>
      <c r="U204" s="9">
        <v>43881</v>
      </c>
      <c r="V204" s="118" t="s">
        <v>71</v>
      </c>
      <c r="W204" s="118" t="s">
        <v>98</v>
      </c>
      <c r="X204" s="136">
        <v>1</v>
      </c>
      <c r="Y204" s="23">
        <v>10159</v>
      </c>
      <c r="Z204" s="34" t="str">
        <f>IF(ISERROR(VLOOKUP(Y204,'Data inputs '!$N$4:$O$23,2,0)),"",(VLOOKUP(Y204,'Data inputs '!$N$4:$O$23,2,0)))</f>
        <v>EU</v>
      </c>
      <c r="AA204" s="34">
        <v>112158</v>
      </c>
      <c r="AB204" s="5">
        <v>32.665999999999997</v>
      </c>
      <c r="AC204" s="5">
        <v>13.292</v>
      </c>
      <c r="AE204" s="14">
        <f ca="1"/>
        <v>0.74164530510539273</v>
      </c>
      <c r="AF204" s="14">
        <v>0.62087467023929543</v>
      </c>
    </row>
    <row r="205" spans="1:32" s="14" customFormat="1" ht="28.5" customHeight="1">
      <c r="A205" s="96">
        <v>204</v>
      </c>
      <c r="B205" s="5" t="s">
        <v>84</v>
      </c>
      <c r="C205" s="5" t="s">
        <v>67</v>
      </c>
      <c r="D205" s="5" t="s">
        <v>410</v>
      </c>
      <c r="E205" s="5" t="s">
        <v>96</v>
      </c>
      <c r="F205" s="5" t="s">
        <v>97</v>
      </c>
      <c r="G205" s="35" t="s">
        <v>70</v>
      </c>
      <c r="H205" s="44">
        <v>23155.1</v>
      </c>
      <c r="I205" s="44">
        <f>Table1[[#This Row],[Contracted Amount]]*AF205</f>
        <v>16630.00932023026</v>
      </c>
      <c r="J205" s="44">
        <f>(12893.4+8576.5)*0.9+(12893.4+8576.5)*0.1</f>
        <v>21469.900000000005</v>
      </c>
      <c r="K205" s="44">
        <f>Table1[[#This Row],[Actual Expenditure (including admin fees)]]*AF205</f>
        <v>15419.697479363585</v>
      </c>
      <c r="L205" s="35" t="s">
        <v>71</v>
      </c>
      <c r="M205" s="42" t="s">
        <v>72</v>
      </c>
      <c r="N205" s="42">
        <v>43426</v>
      </c>
      <c r="O205" s="100" t="s">
        <v>73</v>
      </c>
      <c r="P205" s="42">
        <v>43443</v>
      </c>
      <c r="Q205" s="42">
        <f>Table1[[#This Row],[Site handover date]]+7</f>
        <v>43450</v>
      </c>
      <c r="R205" s="42">
        <v>43835</v>
      </c>
      <c r="S205" s="36" t="s">
        <v>71</v>
      </c>
      <c r="T205" s="89" t="s">
        <v>414</v>
      </c>
      <c r="U205" s="9">
        <v>43881</v>
      </c>
      <c r="V205" s="118" t="s">
        <v>71</v>
      </c>
      <c r="W205" s="118" t="s">
        <v>98</v>
      </c>
      <c r="X205" s="136">
        <v>1</v>
      </c>
      <c r="Y205" s="23">
        <v>10159</v>
      </c>
      <c r="Z205" s="34" t="str">
        <f>IF(ISERROR(VLOOKUP(Y205,'Data inputs '!$N$4:$O$23,2,0)),"",(VLOOKUP(Y205,'Data inputs '!$N$4:$O$23,2,0)))</f>
        <v>EU</v>
      </c>
      <c r="AA205" s="34">
        <v>112158</v>
      </c>
      <c r="AB205" s="5">
        <v>32.616</v>
      </c>
      <c r="AC205" s="5">
        <v>13.276999999999999</v>
      </c>
      <c r="AE205" s="14">
        <f ca="1"/>
        <v>0.53510304369838591</v>
      </c>
      <c r="AF205" s="14">
        <v>0.71820071259594043</v>
      </c>
    </row>
    <row r="206" spans="1:32" s="14" customFormat="1" ht="28.5" customHeight="1">
      <c r="A206" s="96">
        <v>205</v>
      </c>
      <c r="B206" s="5" t="s">
        <v>84</v>
      </c>
      <c r="C206" s="5" t="s">
        <v>67</v>
      </c>
      <c r="D206" s="5" t="s">
        <v>410</v>
      </c>
      <c r="E206" s="5" t="s">
        <v>96</v>
      </c>
      <c r="F206" s="5" t="s">
        <v>97</v>
      </c>
      <c r="G206" s="35" t="s">
        <v>70</v>
      </c>
      <c r="H206" s="44">
        <v>20169</v>
      </c>
      <c r="I206" s="44">
        <f>Table1[[#This Row],[Contracted Amount]]*AF206</f>
        <v>12006.364132090499</v>
      </c>
      <c r="J206" s="44">
        <f>(18378+1486)*0.9+(18378+1486)*0.1</f>
        <v>19864.000000000004</v>
      </c>
      <c r="K206" s="44">
        <f>Table1[[#This Row],[Actual Expenditure (including admin fees)]]*AF206</f>
        <v>11824.801285132913</v>
      </c>
      <c r="L206" s="35" t="s">
        <v>71</v>
      </c>
      <c r="M206" s="42" t="s">
        <v>72</v>
      </c>
      <c r="N206" s="42">
        <v>43426</v>
      </c>
      <c r="O206" s="100" t="s">
        <v>73</v>
      </c>
      <c r="P206" s="42">
        <v>43443</v>
      </c>
      <c r="Q206" s="42">
        <f>Table1[[#This Row],[Site handover date]]+7</f>
        <v>43450</v>
      </c>
      <c r="R206" s="42">
        <v>43835</v>
      </c>
      <c r="S206" s="36" t="s">
        <v>71</v>
      </c>
      <c r="T206" s="89" t="s">
        <v>414</v>
      </c>
      <c r="U206" s="9">
        <v>43881</v>
      </c>
      <c r="V206" s="118" t="s">
        <v>71</v>
      </c>
      <c r="W206" s="118" t="s">
        <v>98</v>
      </c>
      <c r="X206" s="136">
        <v>1</v>
      </c>
      <c r="Y206" s="23">
        <v>10159</v>
      </c>
      <c r="Z206" s="34" t="str">
        <f>IF(ISERROR(VLOOKUP(Y206,'Data inputs '!$N$4:$O$23,2,0)),"",(VLOOKUP(Y206,'Data inputs '!$N$4:$O$23,2,0)))</f>
        <v>EU</v>
      </c>
      <c r="AA206" s="34">
        <v>112158</v>
      </c>
      <c r="AB206" s="5">
        <v>32.529000000000003</v>
      </c>
      <c r="AC206" s="5">
        <v>13.257</v>
      </c>
      <c r="AE206" s="14">
        <f ca="1"/>
        <v>0.68601047747252997</v>
      </c>
      <c r="AF206" s="14">
        <v>0.59528802281176552</v>
      </c>
    </row>
    <row r="207" spans="1:32" s="14" customFormat="1" ht="28.5" customHeight="1">
      <c r="A207" s="96">
        <v>206</v>
      </c>
      <c r="B207" s="5" t="s">
        <v>66</v>
      </c>
      <c r="C207" s="5" t="s">
        <v>67</v>
      </c>
      <c r="D207" s="5" t="s">
        <v>410</v>
      </c>
      <c r="E207" s="5" t="s">
        <v>4</v>
      </c>
      <c r="F207" s="5" t="s">
        <v>125</v>
      </c>
      <c r="G207" s="35" t="s">
        <v>70</v>
      </c>
      <c r="H207" s="46">
        <f>1690653.45/65</f>
        <v>26010.053076923075</v>
      </c>
      <c r="I207" s="46">
        <f>Table1[[#This Row],[Contracted Amount]]*AF207</f>
        <v>14985.996690764823</v>
      </c>
      <c r="J207" s="46">
        <f>1404237.94/65</f>
        <v>21603.660615384615</v>
      </c>
      <c r="K207" s="46">
        <f>Table1[[#This Row],[Actual Expenditure (including admin fees)]]*AF207</f>
        <v>12447.202069641424</v>
      </c>
      <c r="L207" s="35" t="s">
        <v>71</v>
      </c>
      <c r="M207" s="42" t="s">
        <v>72</v>
      </c>
      <c r="N207" s="42">
        <v>43494</v>
      </c>
      <c r="O207" s="100" t="s">
        <v>73</v>
      </c>
      <c r="P207" s="42"/>
      <c r="Q207" s="42"/>
      <c r="R207" s="42">
        <v>44140</v>
      </c>
      <c r="S207" s="36" t="s">
        <v>71</v>
      </c>
      <c r="T207" s="89" t="s">
        <v>401</v>
      </c>
      <c r="U207" s="9">
        <v>44146</v>
      </c>
      <c r="V207" s="118" t="s">
        <v>71</v>
      </c>
      <c r="W207" s="118" t="s">
        <v>126</v>
      </c>
      <c r="X207" s="136">
        <v>1</v>
      </c>
      <c r="Y207" s="132" t="s">
        <v>402</v>
      </c>
      <c r="Z207" s="88" t="s">
        <v>403</v>
      </c>
      <c r="AA207" s="34" t="s">
        <v>264</v>
      </c>
      <c r="AB207" s="5"/>
      <c r="AC207" s="5"/>
      <c r="AE207" s="14">
        <f ca="1"/>
        <v>0.68900563020118999</v>
      </c>
      <c r="AF207" s="14">
        <v>0.57616171126005367</v>
      </c>
    </row>
    <row r="208" spans="1:32" s="14" customFormat="1" ht="28.5" customHeight="1">
      <c r="A208" s="96">
        <v>207</v>
      </c>
      <c r="B208" s="5" t="s">
        <v>66</v>
      </c>
      <c r="C208" s="5" t="s">
        <v>67</v>
      </c>
      <c r="D208" s="5" t="s">
        <v>410</v>
      </c>
      <c r="E208" s="5" t="s">
        <v>4</v>
      </c>
      <c r="F208" s="5" t="s">
        <v>125</v>
      </c>
      <c r="G208" s="35" t="s">
        <v>70</v>
      </c>
      <c r="H208" s="46">
        <f>1690653.45/65</f>
        <v>26010.053076923075</v>
      </c>
      <c r="I208" s="46">
        <f>Table1[[#This Row],[Contracted Amount]]*AF208</f>
        <v>13926.105480469512</v>
      </c>
      <c r="J208" s="46">
        <f>1404237.94/65</f>
        <v>21603.660615384615</v>
      </c>
      <c r="K208" s="46">
        <f>Table1[[#This Row],[Actual Expenditure (including admin fees)]]*AF208</f>
        <v>11566.868226079814</v>
      </c>
      <c r="L208" s="35" t="s">
        <v>71</v>
      </c>
      <c r="M208" s="42" t="s">
        <v>72</v>
      </c>
      <c r="N208" s="42">
        <v>43494</v>
      </c>
      <c r="O208" s="100" t="s">
        <v>73</v>
      </c>
      <c r="P208" s="42"/>
      <c r="Q208" s="42"/>
      <c r="R208" s="42">
        <v>44140</v>
      </c>
      <c r="S208" s="36" t="s">
        <v>71</v>
      </c>
      <c r="T208" s="89" t="s">
        <v>401</v>
      </c>
      <c r="U208" s="9">
        <v>44146</v>
      </c>
      <c r="V208" s="118" t="s">
        <v>71</v>
      </c>
      <c r="W208" s="118" t="s">
        <v>126</v>
      </c>
      <c r="X208" s="136">
        <v>1</v>
      </c>
      <c r="Y208" s="132" t="s">
        <v>402</v>
      </c>
      <c r="Z208" s="88" t="s">
        <v>403</v>
      </c>
      <c r="AA208" s="34" t="s">
        <v>264</v>
      </c>
      <c r="AB208" s="5"/>
      <c r="AC208" s="5"/>
      <c r="AE208" s="14">
        <f ca="1"/>
        <v>0.67455890169385857</v>
      </c>
      <c r="AF208" s="14">
        <v>0.53541242070071682</v>
      </c>
    </row>
    <row r="209" spans="1:32" s="14" customFormat="1" ht="28.5" customHeight="1">
      <c r="A209" s="96">
        <v>208</v>
      </c>
      <c r="B209" s="5" t="s">
        <v>66</v>
      </c>
      <c r="C209" s="5" t="s">
        <v>67</v>
      </c>
      <c r="D209" s="5" t="s">
        <v>410</v>
      </c>
      <c r="E209" s="5" t="s">
        <v>4</v>
      </c>
      <c r="F209" s="5" t="s">
        <v>125</v>
      </c>
      <c r="G209" s="35" t="s">
        <v>70</v>
      </c>
      <c r="H209" s="46">
        <f>1690653.45/65</f>
        <v>26010.053076923075</v>
      </c>
      <c r="I209" s="46">
        <f>Table1[[#This Row],[Contracted Amount]]*AF209</f>
        <v>18086.006723444261</v>
      </c>
      <c r="J209" s="46">
        <f>1404237.94/65</f>
        <v>21603.660615384615</v>
      </c>
      <c r="K209" s="46">
        <f>Table1[[#This Row],[Actual Expenditure (including admin fees)]]*AF209</f>
        <v>15022.03590224568</v>
      </c>
      <c r="L209" s="35" t="s">
        <v>71</v>
      </c>
      <c r="M209" s="42" t="s">
        <v>72</v>
      </c>
      <c r="N209" s="42">
        <v>43494</v>
      </c>
      <c r="O209" s="100" t="s">
        <v>73</v>
      </c>
      <c r="P209" s="42"/>
      <c r="Q209" s="42"/>
      <c r="R209" s="42">
        <v>44140</v>
      </c>
      <c r="S209" s="36" t="s">
        <v>71</v>
      </c>
      <c r="T209" s="89" t="s">
        <v>401</v>
      </c>
      <c r="U209" s="9">
        <v>44146</v>
      </c>
      <c r="V209" s="118" t="s">
        <v>71</v>
      </c>
      <c r="W209" s="118" t="s">
        <v>126</v>
      </c>
      <c r="X209" s="136">
        <v>1</v>
      </c>
      <c r="Y209" s="132" t="s">
        <v>402</v>
      </c>
      <c r="Z209" s="88" t="s">
        <v>403</v>
      </c>
      <c r="AA209" s="34" t="s">
        <v>264</v>
      </c>
      <c r="AB209" s="5"/>
      <c r="AC209" s="5"/>
      <c r="AE209" s="14">
        <f ca="1"/>
        <v>0.62259147911846369</v>
      </c>
      <c r="AF209" s="14">
        <v>0.69534678264423566</v>
      </c>
    </row>
    <row r="210" spans="1:32" s="14" customFormat="1" ht="28.5" customHeight="1">
      <c r="A210" s="96">
        <v>209</v>
      </c>
      <c r="B210" s="5" t="s">
        <v>66</v>
      </c>
      <c r="C210" s="5" t="s">
        <v>67</v>
      </c>
      <c r="D210" s="5" t="s">
        <v>410</v>
      </c>
      <c r="E210" s="5" t="s">
        <v>4</v>
      </c>
      <c r="F210" s="5" t="s">
        <v>125</v>
      </c>
      <c r="G210" s="35" t="s">
        <v>70</v>
      </c>
      <c r="H210" s="46">
        <f>1690653.45/65</f>
        <v>26010.053076923075</v>
      </c>
      <c r="I210" s="46">
        <f>Table1[[#This Row],[Contracted Amount]]*AF210</f>
        <v>17446.406021272254</v>
      </c>
      <c r="J210" s="46">
        <f>1404237.94/65</f>
        <v>21603.660615384615</v>
      </c>
      <c r="K210" s="46">
        <f>Table1[[#This Row],[Actual Expenditure (including admin fees)]]*AF210</f>
        <v>14490.790677246689</v>
      </c>
      <c r="L210" s="35" t="s">
        <v>71</v>
      </c>
      <c r="M210" s="42" t="s">
        <v>72</v>
      </c>
      <c r="N210" s="42">
        <v>43494</v>
      </c>
      <c r="O210" s="100" t="s">
        <v>73</v>
      </c>
      <c r="P210" s="42"/>
      <c r="Q210" s="42"/>
      <c r="R210" s="42">
        <v>44140</v>
      </c>
      <c r="S210" s="36" t="s">
        <v>71</v>
      </c>
      <c r="T210" s="89" t="s">
        <v>401</v>
      </c>
      <c r="U210" s="9">
        <v>44146</v>
      </c>
      <c r="V210" s="118" t="s">
        <v>71</v>
      </c>
      <c r="W210" s="118" t="s">
        <v>126</v>
      </c>
      <c r="X210" s="136">
        <v>1</v>
      </c>
      <c r="Y210" s="132" t="s">
        <v>402</v>
      </c>
      <c r="Z210" s="88" t="s">
        <v>403</v>
      </c>
      <c r="AA210" s="34" t="s">
        <v>264</v>
      </c>
      <c r="AB210" s="5"/>
      <c r="AC210" s="5"/>
      <c r="AE210" s="14">
        <f ca="1"/>
        <v>0.74280972269555712</v>
      </c>
      <c r="AF210" s="14">
        <v>0.67075626372909047</v>
      </c>
    </row>
    <row r="211" spans="1:32" s="14" customFormat="1" ht="28.5" customHeight="1">
      <c r="A211" s="96">
        <v>210</v>
      </c>
      <c r="B211" s="5" t="s">
        <v>66</v>
      </c>
      <c r="C211" s="5" t="s">
        <v>67</v>
      </c>
      <c r="D211" s="5" t="s">
        <v>410</v>
      </c>
      <c r="E211" s="5" t="s">
        <v>4</v>
      </c>
      <c r="F211" s="5" t="s">
        <v>125</v>
      </c>
      <c r="G211" s="35" t="s">
        <v>70</v>
      </c>
      <c r="H211" s="46">
        <f>1690653.45/65</f>
        <v>26010.053076923075</v>
      </c>
      <c r="I211" s="46">
        <f>Table1[[#This Row],[Contracted Amount]]*AF211</f>
        <v>16642.256613577181</v>
      </c>
      <c r="J211" s="46">
        <f>1404237.94/65</f>
        <v>21603.660615384615</v>
      </c>
      <c r="K211" s="46">
        <f>Table1[[#This Row],[Actual Expenditure (including admin fees)]]*AF211</f>
        <v>13822.873128730786</v>
      </c>
      <c r="L211" s="35" t="s">
        <v>71</v>
      </c>
      <c r="M211" s="42" t="s">
        <v>72</v>
      </c>
      <c r="N211" s="42">
        <v>43494</v>
      </c>
      <c r="O211" s="100" t="s">
        <v>73</v>
      </c>
      <c r="P211" s="42"/>
      <c r="Q211" s="42"/>
      <c r="R211" s="42">
        <v>44140</v>
      </c>
      <c r="S211" s="36" t="s">
        <v>71</v>
      </c>
      <c r="T211" s="89" t="s">
        <v>401</v>
      </c>
      <c r="U211" s="9">
        <v>44146</v>
      </c>
      <c r="V211" s="118" t="s">
        <v>71</v>
      </c>
      <c r="W211" s="118" t="s">
        <v>126</v>
      </c>
      <c r="X211" s="136">
        <v>1</v>
      </c>
      <c r="Y211" s="132" t="s">
        <v>402</v>
      </c>
      <c r="Z211" s="88" t="s">
        <v>403</v>
      </c>
      <c r="AA211" s="34" t="s">
        <v>264</v>
      </c>
      <c r="AB211" s="5"/>
      <c r="AC211" s="5"/>
      <c r="AE211" s="14">
        <f ca="1"/>
        <v>0.6025076300788107</v>
      </c>
      <c r="AF211" s="14">
        <v>0.63983939457404282</v>
      </c>
    </row>
    <row r="212" spans="1:32" s="14" customFormat="1" ht="28.5" customHeight="1">
      <c r="A212" s="96">
        <v>211</v>
      </c>
      <c r="B212" s="5" t="s">
        <v>84</v>
      </c>
      <c r="C212" s="5" t="s">
        <v>67</v>
      </c>
      <c r="D212" s="5" t="s">
        <v>415</v>
      </c>
      <c r="E212" s="5" t="s">
        <v>96</v>
      </c>
      <c r="F212" s="5" t="s">
        <v>97</v>
      </c>
      <c r="G212" s="35" t="s">
        <v>70</v>
      </c>
      <c r="H212" s="44">
        <v>19680</v>
      </c>
      <c r="I212" s="44">
        <f>Table1[[#This Row],[Contracted Amount]]*AF212</f>
        <v>10951.452327164867</v>
      </c>
      <c r="J212" s="44">
        <f>(19680+2565)</f>
        <v>22245</v>
      </c>
      <c r="K212" s="44">
        <f>Table1[[#This Row],[Actual Expenditure (including admin fees)]]*AF212</f>
        <v>12378.8138728548</v>
      </c>
      <c r="L212" s="35" t="s">
        <v>71</v>
      </c>
      <c r="M212" s="42" t="s">
        <v>72</v>
      </c>
      <c r="N212" s="92">
        <v>43635</v>
      </c>
      <c r="O212" s="100" t="s">
        <v>73</v>
      </c>
      <c r="P212" s="42">
        <v>43663</v>
      </c>
      <c r="Q212" s="42"/>
      <c r="R212" s="42">
        <v>43788</v>
      </c>
      <c r="S212" s="36" t="s">
        <v>71</v>
      </c>
      <c r="T212" s="89" t="s">
        <v>416</v>
      </c>
      <c r="U212" s="9">
        <v>43881</v>
      </c>
      <c r="V212" s="118" t="s">
        <v>71</v>
      </c>
      <c r="W212" s="118" t="s">
        <v>98</v>
      </c>
      <c r="X212" s="136">
        <v>1</v>
      </c>
      <c r="Y212" s="23">
        <v>10159</v>
      </c>
      <c r="Z212" s="34" t="str">
        <f>IF(ISERROR(VLOOKUP(Y212,'Data inputs '!$N$4:$O$23,2,0)),"",(VLOOKUP(Y212,'Data inputs '!$N$4:$O$23,2,0)))</f>
        <v>EU</v>
      </c>
      <c r="AA212" s="34">
        <v>112158</v>
      </c>
      <c r="AB212" s="5">
        <v>32.742572000000003</v>
      </c>
      <c r="AC212" s="5">
        <v>13.748748000000001</v>
      </c>
      <c r="AE212" s="14">
        <f ca="1"/>
        <v>0.53263119581721996</v>
      </c>
      <c r="AF212" s="14">
        <v>0.55647623613642616</v>
      </c>
    </row>
    <row r="213" spans="1:32" s="14" customFormat="1" ht="28.5" customHeight="1">
      <c r="A213" s="96">
        <v>212</v>
      </c>
      <c r="B213" s="5" t="s">
        <v>84</v>
      </c>
      <c r="C213" s="5" t="s">
        <v>67</v>
      </c>
      <c r="D213" s="5" t="s">
        <v>415</v>
      </c>
      <c r="E213" s="5" t="s">
        <v>96</v>
      </c>
      <c r="F213" s="5" t="s">
        <v>97</v>
      </c>
      <c r="G213" s="35" t="s">
        <v>70</v>
      </c>
      <c r="H213" s="44">
        <v>37741</v>
      </c>
      <c r="I213" s="44">
        <f>Table1[[#This Row],[Contracted Amount]]*AF213</f>
        <v>27737.220679353519</v>
      </c>
      <c r="J213" s="44">
        <f>(29000+7660.5)</f>
        <v>36660.5</v>
      </c>
      <c r="K213" s="44">
        <f>Table1[[#This Row],[Actual Expenditure (including admin fees)]]*AF213</f>
        <v>26943.122299765233</v>
      </c>
      <c r="L213" s="35" t="s">
        <v>71</v>
      </c>
      <c r="M213" s="42" t="s">
        <v>72</v>
      </c>
      <c r="N213" s="92">
        <v>43635</v>
      </c>
      <c r="O213" s="100" t="s">
        <v>73</v>
      </c>
      <c r="P213" s="42">
        <v>43663</v>
      </c>
      <c r="Q213" s="42"/>
      <c r="R213" s="42">
        <v>43788</v>
      </c>
      <c r="S213" s="36" t="s">
        <v>71</v>
      </c>
      <c r="T213" s="89" t="s">
        <v>416</v>
      </c>
      <c r="U213" s="9">
        <v>43881</v>
      </c>
      <c r="V213" s="118" t="s">
        <v>71</v>
      </c>
      <c r="W213" s="118" t="s">
        <v>98</v>
      </c>
      <c r="X213" s="136">
        <v>1</v>
      </c>
      <c r="Y213" s="23">
        <v>10159</v>
      </c>
      <c r="Z213" s="34" t="str">
        <f>IF(ISERROR(VLOOKUP(Y213,'Data inputs '!$N$4:$O$23,2,0)),"",(VLOOKUP(Y213,'Data inputs '!$N$4:$O$23,2,0)))</f>
        <v>EU</v>
      </c>
      <c r="AA213" s="34">
        <v>112158</v>
      </c>
      <c r="AB213" s="5">
        <v>32.383563000000002</v>
      </c>
      <c r="AC213" s="5">
        <v>13.445762999999999</v>
      </c>
      <c r="AE213" s="14">
        <f ca="1"/>
        <v>0.5594385682735955</v>
      </c>
      <c r="AF213" s="14">
        <v>0.73493602923487766</v>
      </c>
    </row>
    <row r="214" spans="1:32" s="14" customFormat="1" ht="28.5" customHeight="1">
      <c r="A214" s="96">
        <v>213</v>
      </c>
      <c r="B214" s="5" t="s">
        <v>84</v>
      </c>
      <c r="C214" s="5" t="s">
        <v>67</v>
      </c>
      <c r="D214" s="5" t="s">
        <v>415</v>
      </c>
      <c r="E214" s="5" t="s">
        <v>96</v>
      </c>
      <c r="F214" s="5" t="s">
        <v>97</v>
      </c>
      <c r="G214" s="35" t="s">
        <v>70</v>
      </c>
      <c r="H214" s="44">
        <v>25483</v>
      </c>
      <c r="I214" s="44">
        <f>Table1[[#This Row],[Contracted Amount]]*AF214</f>
        <v>14832.287088963769</v>
      </c>
      <c r="J214" s="44">
        <f>(13285.46+10565)</f>
        <v>23850.46</v>
      </c>
      <c r="K214" s="44">
        <f>Table1[[#This Row],[Actual Expenditure (including admin fees)]]*AF214</f>
        <v>13882.07314381536</v>
      </c>
      <c r="L214" s="35" t="s">
        <v>71</v>
      </c>
      <c r="M214" s="42" t="s">
        <v>72</v>
      </c>
      <c r="N214" s="92">
        <v>43635</v>
      </c>
      <c r="O214" s="100" t="s">
        <v>73</v>
      </c>
      <c r="P214" s="42">
        <v>43663</v>
      </c>
      <c r="Q214" s="42"/>
      <c r="R214" s="42">
        <v>43788</v>
      </c>
      <c r="S214" s="36" t="s">
        <v>71</v>
      </c>
      <c r="T214" s="89" t="s">
        <v>416</v>
      </c>
      <c r="U214" s="9">
        <v>43881</v>
      </c>
      <c r="V214" s="118" t="s">
        <v>71</v>
      </c>
      <c r="W214" s="118" t="s">
        <v>98</v>
      </c>
      <c r="X214" s="136">
        <v>1</v>
      </c>
      <c r="Y214" s="23">
        <v>10159</v>
      </c>
      <c r="Z214" s="34" t="str">
        <f>IF(ISERROR(VLOOKUP(Y214,'Data inputs '!$N$4:$O$23,2,0)),"",(VLOOKUP(Y214,'Data inputs '!$N$4:$O$23,2,0)))</f>
        <v>EU</v>
      </c>
      <c r="AA214" s="34">
        <v>112158</v>
      </c>
      <c r="AB214" s="5">
        <v>32.392840999999997</v>
      </c>
      <c r="AC214" s="5">
        <v>13.35284</v>
      </c>
      <c r="AE214" s="14">
        <f ca="1"/>
        <v>0.53580245973987906</v>
      </c>
      <c r="AF214" s="14">
        <v>0.58204634811300748</v>
      </c>
    </row>
    <row r="215" spans="1:32" s="14" customFormat="1" ht="28.5" customHeight="1">
      <c r="A215" s="96">
        <v>214</v>
      </c>
      <c r="B215" s="5" t="s">
        <v>84</v>
      </c>
      <c r="C215" s="5" t="s">
        <v>67</v>
      </c>
      <c r="D215" s="5" t="s">
        <v>415</v>
      </c>
      <c r="E215" s="5" t="s">
        <v>96</v>
      </c>
      <c r="F215" s="5" t="s">
        <v>97</v>
      </c>
      <c r="G215" s="35" t="s">
        <v>70</v>
      </c>
      <c r="H215" s="44">
        <f>118060/3</f>
        <v>39353.333333333336</v>
      </c>
      <c r="I215" s="44">
        <f>Table1[[#This Row],[Contracted Amount]]*AF215</f>
        <v>27273.094842262228</v>
      </c>
      <c r="J215" s="44">
        <f>44803.35+61002+11756.15</f>
        <v>117561.5</v>
      </c>
      <c r="K215" s="44">
        <f>Table1[[#This Row],[Actual Expenditure (including admin fees)]]*AF215</f>
        <v>81473.808384684336</v>
      </c>
      <c r="L215" s="35" t="s">
        <v>71</v>
      </c>
      <c r="M215" s="42" t="s">
        <v>72</v>
      </c>
      <c r="N215" s="92">
        <v>43635</v>
      </c>
      <c r="O215" s="100" t="s">
        <v>73</v>
      </c>
      <c r="P215" s="42">
        <v>43663</v>
      </c>
      <c r="Q215" s="42">
        <v>43663</v>
      </c>
      <c r="R215" s="42">
        <v>43785</v>
      </c>
      <c r="S215" s="36" t="s">
        <v>71</v>
      </c>
      <c r="T215" s="89" t="s">
        <v>417</v>
      </c>
      <c r="U215" s="9">
        <v>44103</v>
      </c>
      <c r="V215" s="118" t="s">
        <v>71</v>
      </c>
      <c r="W215" s="118" t="s">
        <v>98</v>
      </c>
      <c r="X215" s="136">
        <v>1</v>
      </c>
      <c r="Y215" s="23">
        <v>10159</v>
      </c>
      <c r="Z215" s="34" t="str">
        <f>IF(ISERROR(VLOOKUP(Y215,'Data inputs '!$N$4:$O$23,2,0)),"",(VLOOKUP(Y215,'Data inputs '!$N$4:$O$23,2,0)))</f>
        <v>EU</v>
      </c>
      <c r="AA215" s="34">
        <v>112158</v>
      </c>
      <c r="AB215" s="5">
        <v>32.733465000000002</v>
      </c>
      <c r="AC215" s="5">
        <v>13.782862</v>
      </c>
      <c r="AE215" s="14">
        <f ca="1"/>
        <v>0.67776272111118652</v>
      </c>
      <c r="AF215" s="14">
        <v>0.6930313783397144</v>
      </c>
    </row>
    <row r="216" spans="1:32" s="14" customFormat="1" ht="28.5" customHeight="1">
      <c r="A216" s="96">
        <v>215</v>
      </c>
      <c r="B216" s="5" t="s">
        <v>84</v>
      </c>
      <c r="C216" s="5" t="s">
        <v>67</v>
      </c>
      <c r="D216" s="5" t="s">
        <v>415</v>
      </c>
      <c r="E216" s="5" t="s">
        <v>96</v>
      </c>
      <c r="F216" s="5" t="s">
        <v>97</v>
      </c>
      <c r="G216" s="35" t="s">
        <v>70</v>
      </c>
      <c r="H216" s="44">
        <f>118060/3</f>
        <v>39353.333333333336</v>
      </c>
      <c r="I216" s="44">
        <f>Table1[[#This Row],[Contracted Amount]]*AF216</f>
        <v>23031.017257664786</v>
      </c>
      <c r="J216" s="44"/>
      <c r="K216" s="44">
        <f>Table1[[#This Row],[Actual Expenditure (including admin fees)]]*AF216</f>
        <v>0</v>
      </c>
      <c r="L216" s="35" t="s">
        <v>71</v>
      </c>
      <c r="M216" s="42" t="s">
        <v>72</v>
      </c>
      <c r="N216" s="92">
        <v>43635</v>
      </c>
      <c r="O216" s="100" t="s">
        <v>73</v>
      </c>
      <c r="P216" s="42">
        <v>43663</v>
      </c>
      <c r="Q216" s="42">
        <v>43663</v>
      </c>
      <c r="R216" s="42">
        <v>43785</v>
      </c>
      <c r="S216" s="36" t="s">
        <v>71</v>
      </c>
      <c r="T216" s="89" t="s">
        <v>417</v>
      </c>
      <c r="U216" s="9">
        <v>44103</v>
      </c>
      <c r="V216" s="118" t="s">
        <v>71</v>
      </c>
      <c r="W216" s="118" t="s">
        <v>98</v>
      </c>
      <c r="X216" s="136">
        <v>1</v>
      </c>
      <c r="Y216" s="23">
        <v>10159</v>
      </c>
      <c r="Z216" s="34" t="str">
        <f>IF(ISERROR(VLOOKUP(Y216,'Data inputs '!$N$4:$O$23,2,0)),"",(VLOOKUP(Y216,'Data inputs '!$N$4:$O$23,2,0)))</f>
        <v>EU</v>
      </c>
      <c r="AA216" s="34">
        <v>112158</v>
      </c>
      <c r="AB216" s="5">
        <v>32.445404000000003</v>
      </c>
      <c r="AC216" s="5">
        <v>13.390471</v>
      </c>
      <c r="AE216" s="14">
        <f ca="1"/>
        <v>0.63199495315566101</v>
      </c>
      <c r="AF216" s="14">
        <v>0.58523675904619987</v>
      </c>
    </row>
    <row r="217" spans="1:32" s="14" customFormat="1" ht="28.5" customHeight="1">
      <c r="A217" s="96">
        <v>216</v>
      </c>
      <c r="B217" s="5" t="s">
        <v>84</v>
      </c>
      <c r="C217" s="5" t="s">
        <v>67</v>
      </c>
      <c r="D217" s="5" t="s">
        <v>415</v>
      </c>
      <c r="E217" s="5" t="s">
        <v>96</v>
      </c>
      <c r="F217" s="5" t="s">
        <v>97</v>
      </c>
      <c r="G217" s="35" t="s">
        <v>70</v>
      </c>
      <c r="H217" s="44">
        <f>118060/3</f>
        <v>39353.333333333336</v>
      </c>
      <c r="I217" s="44">
        <f>Table1[[#This Row],[Contracted Amount]]*AF217</f>
        <v>21870.706805797476</v>
      </c>
      <c r="J217" s="44"/>
      <c r="K217" s="44">
        <f>Table1[[#This Row],[Actual Expenditure (including admin fees)]]*AF217</f>
        <v>0</v>
      </c>
      <c r="L217" s="35" t="s">
        <v>71</v>
      </c>
      <c r="M217" s="42" t="s">
        <v>72</v>
      </c>
      <c r="N217" s="92">
        <v>43635</v>
      </c>
      <c r="O217" s="100" t="s">
        <v>73</v>
      </c>
      <c r="P217" s="42">
        <v>43663</v>
      </c>
      <c r="Q217" s="42">
        <v>43663</v>
      </c>
      <c r="R217" s="118">
        <v>44039</v>
      </c>
      <c r="S217" s="36" t="s">
        <v>71</v>
      </c>
      <c r="T217" s="89" t="s">
        <v>418</v>
      </c>
      <c r="U217" s="9">
        <v>44103</v>
      </c>
      <c r="V217" s="118" t="s">
        <v>71</v>
      </c>
      <c r="W217" s="118" t="s">
        <v>98</v>
      </c>
      <c r="X217" s="136">
        <v>1</v>
      </c>
      <c r="Y217" s="23">
        <v>10159</v>
      </c>
      <c r="Z217" s="34" t="str">
        <f>IF(ISERROR(VLOOKUP(Y217,'Data inputs '!$N$4:$O$23,2,0)),"",(VLOOKUP(Y217,'Data inputs '!$N$4:$O$23,2,0)))</f>
        <v>EU</v>
      </c>
      <c r="AA217" s="34">
        <v>112158</v>
      </c>
      <c r="AB217" s="5">
        <v>32.711703999999997</v>
      </c>
      <c r="AC217" s="5">
        <v>13.608772999999999</v>
      </c>
      <c r="AE217" s="14">
        <f ca="1"/>
        <v>0.65820577356154319</v>
      </c>
      <c r="AF217" s="14">
        <v>0.55575233285949877</v>
      </c>
    </row>
    <row r="218" spans="1:32" s="14" customFormat="1" ht="28.5" customHeight="1">
      <c r="A218" s="96">
        <v>217</v>
      </c>
      <c r="B218" s="5" t="s">
        <v>66</v>
      </c>
      <c r="C218" s="5" t="s">
        <v>67</v>
      </c>
      <c r="D218" s="5" t="s">
        <v>415</v>
      </c>
      <c r="E218" s="5" t="s">
        <v>4</v>
      </c>
      <c r="F218" s="5" t="s">
        <v>125</v>
      </c>
      <c r="G218" s="35" t="s">
        <v>70</v>
      </c>
      <c r="H218" s="46">
        <f>1690653.45/65</f>
        <v>26010.053076923075</v>
      </c>
      <c r="I218" s="46">
        <f>Table1[[#This Row],[Contracted Amount]]*AF218</f>
        <v>14269.055227251654</v>
      </c>
      <c r="J218" s="46">
        <f>1404237.94/65</f>
        <v>21603.660615384615</v>
      </c>
      <c r="K218" s="46">
        <f>Table1[[#This Row],[Actual Expenditure (including admin fees)]]*AF218</f>
        <v>11851.718469010959</v>
      </c>
      <c r="L218" s="35" t="s">
        <v>71</v>
      </c>
      <c r="M218" s="42" t="s">
        <v>72</v>
      </c>
      <c r="N218" s="42">
        <v>43494</v>
      </c>
      <c r="O218" s="100" t="s">
        <v>73</v>
      </c>
      <c r="P218" s="42"/>
      <c r="Q218" s="42"/>
      <c r="R218" s="42">
        <v>44140</v>
      </c>
      <c r="S218" s="36" t="s">
        <v>71</v>
      </c>
      <c r="T218" s="89" t="s">
        <v>401</v>
      </c>
      <c r="U218" s="9">
        <v>44146</v>
      </c>
      <c r="V218" s="118" t="s">
        <v>71</v>
      </c>
      <c r="W218" s="118" t="s">
        <v>126</v>
      </c>
      <c r="X218" s="136">
        <v>1</v>
      </c>
      <c r="Y218" s="132" t="s">
        <v>402</v>
      </c>
      <c r="Z218" s="88" t="s">
        <v>403</v>
      </c>
      <c r="AA218" s="34" t="s">
        <v>264</v>
      </c>
      <c r="AB218" s="5"/>
      <c r="AC218" s="5"/>
      <c r="AE218" s="14">
        <f ca="1"/>
        <v>0.56481025014653252</v>
      </c>
      <c r="AF218" s="14">
        <v>0.54859769739999498</v>
      </c>
    </row>
    <row r="219" spans="1:32" s="14" customFormat="1" ht="28.5" customHeight="1">
      <c r="A219" s="96">
        <v>218</v>
      </c>
      <c r="B219" s="5" t="s">
        <v>66</v>
      </c>
      <c r="C219" s="5" t="s">
        <v>67</v>
      </c>
      <c r="D219" s="5" t="s">
        <v>415</v>
      </c>
      <c r="E219" s="5" t="s">
        <v>4</v>
      </c>
      <c r="F219" s="5" t="s">
        <v>125</v>
      </c>
      <c r="G219" s="35" t="s">
        <v>70</v>
      </c>
      <c r="H219" s="46">
        <f>1690653.45/65</f>
        <v>26010.053076923075</v>
      </c>
      <c r="I219" s="46">
        <f>Table1[[#This Row],[Contracted Amount]]*AF219</f>
        <v>16858.59611603347</v>
      </c>
      <c r="J219" s="46">
        <f>1404237.94/65</f>
        <v>21603.660615384615</v>
      </c>
      <c r="K219" s="46">
        <f>Table1[[#This Row],[Actual Expenditure (including admin fees)]]*AF219</f>
        <v>14002.562311791835</v>
      </c>
      <c r="L219" s="35" t="s">
        <v>71</v>
      </c>
      <c r="M219" s="42" t="s">
        <v>72</v>
      </c>
      <c r="N219" s="42">
        <v>43494</v>
      </c>
      <c r="O219" s="100" t="s">
        <v>73</v>
      </c>
      <c r="P219" s="42"/>
      <c r="Q219" s="42"/>
      <c r="R219" s="42">
        <v>44140</v>
      </c>
      <c r="S219" s="36" t="s">
        <v>71</v>
      </c>
      <c r="T219" s="89" t="s">
        <v>401</v>
      </c>
      <c r="U219" s="9">
        <v>44146</v>
      </c>
      <c r="V219" s="118" t="s">
        <v>71</v>
      </c>
      <c r="W219" s="118" t="s">
        <v>126</v>
      </c>
      <c r="X219" s="136">
        <v>1</v>
      </c>
      <c r="Y219" s="132" t="s">
        <v>402</v>
      </c>
      <c r="Z219" s="88" t="s">
        <v>403</v>
      </c>
      <c r="AA219" s="34" t="s">
        <v>264</v>
      </c>
      <c r="AB219" s="5"/>
      <c r="AC219" s="5"/>
      <c r="AE219" s="14">
        <f ca="1"/>
        <v>0.66109282396588842</v>
      </c>
      <c r="AF219" s="14">
        <v>0.64815692863737129</v>
      </c>
    </row>
    <row r="220" spans="1:32" s="14" customFormat="1" ht="28.5" customHeight="1">
      <c r="A220" s="96">
        <v>219</v>
      </c>
      <c r="B220" s="5" t="s">
        <v>66</v>
      </c>
      <c r="C220" s="5" t="s">
        <v>67</v>
      </c>
      <c r="D220" s="5" t="s">
        <v>415</v>
      </c>
      <c r="E220" s="5" t="s">
        <v>4</v>
      </c>
      <c r="F220" s="5" t="s">
        <v>125</v>
      </c>
      <c r="G220" s="35" t="s">
        <v>70</v>
      </c>
      <c r="H220" s="46">
        <f>1690653.45/65</f>
        <v>26010.053076923075</v>
      </c>
      <c r="I220" s="46">
        <f>Table1[[#This Row],[Contracted Amount]]*AF220</f>
        <v>17698.281036961245</v>
      </c>
      <c r="J220" s="46">
        <f>1404237.94/65</f>
        <v>21603.660615384615</v>
      </c>
      <c r="K220" s="46">
        <f>Table1[[#This Row],[Actual Expenditure (including admin fees)]]*AF220</f>
        <v>14699.995262118044</v>
      </c>
      <c r="L220" s="35" t="s">
        <v>71</v>
      </c>
      <c r="M220" s="42" t="s">
        <v>72</v>
      </c>
      <c r="N220" s="42">
        <v>43494</v>
      </c>
      <c r="O220" s="100" t="s">
        <v>73</v>
      </c>
      <c r="P220" s="42"/>
      <c r="Q220" s="42"/>
      <c r="R220" s="42">
        <v>44140</v>
      </c>
      <c r="S220" s="36" t="s">
        <v>71</v>
      </c>
      <c r="T220" s="89" t="s">
        <v>401</v>
      </c>
      <c r="U220" s="9">
        <v>44146</v>
      </c>
      <c r="V220" s="118" t="s">
        <v>71</v>
      </c>
      <c r="W220" s="118" t="s">
        <v>126</v>
      </c>
      <c r="X220" s="136">
        <v>1</v>
      </c>
      <c r="Y220" s="132" t="s">
        <v>402</v>
      </c>
      <c r="Z220" s="88" t="s">
        <v>403</v>
      </c>
      <c r="AA220" s="34" t="s">
        <v>264</v>
      </c>
      <c r="AB220" s="5"/>
      <c r="AC220" s="5"/>
      <c r="AE220" s="14">
        <f ca="1"/>
        <v>0.53505276868690743</v>
      </c>
      <c r="AF220" s="14">
        <v>0.68044002004223936</v>
      </c>
    </row>
    <row r="221" spans="1:32" s="14" customFormat="1" ht="28.5" customHeight="1">
      <c r="A221" s="96">
        <v>220</v>
      </c>
      <c r="B221" s="5" t="s">
        <v>66</v>
      </c>
      <c r="C221" s="5" t="s">
        <v>67</v>
      </c>
      <c r="D221" s="5" t="s">
        <v>415</v>
      </c>
      <c r="E221" s="5" t="s">
        <v>4</v>
      </c>
      <c r="F221" s="5" t="s">
        <v>125</v>
      </c>
      <c r="G221" s="35" t="s">
        <v>70</v>
      </c>
      <c r="H221" s="46">
        <f>1690653.45/65</f>
        <v>26010.053076923075</v>
      </c>
      <c r="I221" s="46">
        <f>Table1[[#This Row],[Contracted Amount]]*AF221</f>
        <v>13361.486714259172</v>
      </c>
      <c r="J221" s="46">
        <f>1404237.94/65</f>
        <v>21603.660615384615</v>
      </c>
      <c r="K221" s="46">
        <f>Table1[[#This Row],[Actual Expenditure (including admin fees)]]*AF221</f>
        <v>11097.902162603854</v>
      </c>
      <c r="L221" s="35" t="s">
        <v>71</v>
      </c>
      <c r="M221" s="42" t="s">
        <v>72</v>
      </c>
      <c r="N221" s="42">
        <v>43494</v>
      </c>
      <c r="O221" s="100" t="s">
        <v>73</v>
      </c>
      <c r="P221" s="42"/>
      <c r="Q221" s="42"/>
      <c r="R221" s="42">
        <v>44140</v>
      </c>
      <c r="S221" s="36" t="s">
        <v>71</v>
      </c>
      <c r="T221" s="89" t="s">
        <v>401</v>
      </c>
      <c r="U221" s="9">
        <v>44146</v>
      </c>
      <c r="V221" s="118" t="s">
        <v>71</v>
      </c>
      <c r="W221" s="118" t="s">
        <v>126</v>
      </c>
      <c r="X221" s="136">
        <v>1</v>
      </c>
      <c r="Y221" s="132" t="s">
        <v>402</v>
      </c>
      <c r="Z221" s="88" t="s">
        <v>403</v>
      </c>
      <c r="AA221" s="34" t="s">
        <v>264</v>
      </c>
      <c r="AB221" s="5"/>
      <c r="AC221" s="5"/>
      <c r="AE221" s="14">
        <f ca="1"/>
        <v>0.66179492994083799</v>
      </c>
      <c r="AF221" s="14">
        <v>0.51370470774294175</v>
      </c>
    </row>
    <row r="222" spans="1:32" s="14" customFormat="1" ht="28.5" customHeight="1">
      <c r="A222" s="96">
        <v>221</v>
      </c>
      <c r="B222" s="5" t="s">
        <v>66</v>
      </c>
      <c r="C222" s="5" t="s">
        <v>67</v>
      </c>
      <c r="D222" s="5" t="s">
        <v>415</v>
      </c>
      <c r="E222" s="5" t="s">
        <v>4</v>
      </c>
      <c r="F222" s="5" t="s">
        <v>125</v>
      </c>
      <c r="G222" s="35" t="s">
        <v>70</v>
      </c>
      <c r="H222" s="46">
        <f>1690653.45/65</f>
        <v>26010.053076923075</v>
      </c>
      <c r="I222" s="46">
        <f>Table1[[#This Row],[Contracted Amount]]*AF222</f>
        <v>16635.424646768657</v>
      </c>
      <c r="J222" s="46">
        <f>1404237.94/65</f>
        <v>21603.660615384615</v>
      </c>
      <c r="K222" s="46">
        <f>Table1[[#This Row],[Actual Expenditure (including admin fees)]]*AF222</f>
        <v>13817.198573133748</v>
      </c>
      <c r="L222" s="35" t="s">
        <v>71</v>
      </c>
      <c r="M222" s="42" t="s">
        <v>72</v>
      </c>
      <c r="N222" s="42">
        <v>43494</v>
      </c>
      <c r="O222" s="100" t="s">
        <v>73</v>
      </c>
      <c r="P222" s="42"/>
      <c r="Q222" s="42"/>
      <c r="R222" s="42">
        <v>44140</v>
      </c>
      <c r="S222" s="36" t="s">
        <v>71</v>
      </c>
      <c r="T222" s="89" t="s">
        <v>401</v>
      </c>
      <c r="U222" s="9">
        <v>44146</v>
      </c>
      <c r="V222" s="118" t="s">
        <v>71</v>
      </c>
      <c r="W222" s="118" t="s">
        <v>126</v>
      </c>
      <c r="X222" s="136">
        <v>1</v>
      </c>
      <c r="Y222" s="132" t="s">
        <v>402</v>
      </c>
      <c r="Z222" s="88" t="s">
        <v>403</v>
      </c>
      <c r="AA222" s="34" t="s">
        <v>264</v>
      </c>
      <c r="AB222" s="5"/>
      <c r="AC222" s="5"/>
      <c r="AE222" s="14">
        <f ca="1"/>
        <v>0.6003624425918731</v>
      </c>
      <c r="AF222" s="14">
        <v>0.63957672818161693</v>
      </c>
    </row>
    <row r="223" spans="1:32" s="14" customFormat="1" ht="28.5" customHeight="1">
      <c r="A223" s="96">
        <v>222</v>
      </c>
      <c r="B223" s="5" t="s">
        <v>84</v>
      </c>
      <c r="C223" s="5" t="s">
        <v>67</v>
      </c>
      <c r="D223" s="5" t="s">
        <v>419</v>
      </c>
      <c r="E223" s="5" t="s">
        <v>96</v>
      </c>
      <c r="F223" s="5" t="s">
        <v>97</v>
      </c>
      <c r="G223" s="35" t="s">
        <v>70</v>
      </c>
      <c r="H223" s="44">
        <v>46800</v>
      </c>
      <c r="I223" s="44">
        <f>Table1[[#This Row],[Contracted Amount]]*AF223</f>
        <v>31769.301995910639</v>
      </c>
      <c r="J223" s="44">
        <v>44736.39</v>
      </c>
      <c r="K223" s="44">
        <f>Table1[[#This Row],[Actual Expenditure (including admin fees)]]*AF223</f>
        <v>30368.459062325572</v>
      </c>
      <c r="L223" s="35" t="s">
        <v>71</v>
      </c>
      <c r="M223" s="42" t="s">
        <v>72</v>
      </c>
      <c r="N223" s="42">
        <v>43381</v>
      </c>
      <c r="O223" s="100" t="s">
        <v>73</v>
      </c>
      <c r="P223" s="42">
        <v>43431</v>
      </c>
      <c r="Q223" s="42">
        <f>Table1[[#This Row],[Site handover date]]+7</f>
        <v>43438</v>
      </c>
      <c r="R223" s="42">
        <v>43517</v>
      </c>
      <c r="S223" s="36" t="s">
        <v>71</v>
      </c>
      <c r="T223" s="89" t="s">
        <v>420</v>
      </c>
      <c r="U223" s="9">
        <v>43566</v>
      </c>
      <c r="V223" s="118" t="s">
        <v>71</v>
      </c>
      <c r="W223" s="118" t="s">
        <v>98</v>
      </c>
      <c r="X223" s="136">
        <v>1</v>
      </c>
      <c r="Y223" s="23">
        <v>10480</v>
      </c>
      <c r="Z223" s="34" t="str">
        <f>IF(ISERROR(VLOOKUP(Y223,'Data inputs '!$N$4:$O$23,2,0)),"",(VLOOKUP(Y223,'Data inputs '!$N$4:$O$23,2,0)))</f>
        <v>USAID</v>
      </c>
      <c r="AA223" s="34">
        <v>98720</v>
      </c>
      <c r="AB223" s="5">
        <v>32.892290000000003</v>
      </c>
      <c r="AC223" s="5">
        <v>13.20121</v>
      </c>
      <c r="AE223" s="14">
        <f ca="1"/>
        <v>0.50871401665306515</v>
      </c>
      <c r="AF223" s="14">
        <v>0.6788312392288598</v>
      </c>
    </row>
    <row r="224" spans="1:32" s="14" customFormat="1" ht="28.5" customHeight="1">
      <c r="A224" s="96">
        <v>223</v>
      </c>
      <c r="B224" s="5" t="s">
        <v>84</v>
      </c>
      <c r="C224" s="5" t="s">
        <v>67</v>
      </c>
      <c r="D224" s="5" t="s">
        <v>419</v>
      </c>
      <c r="E224" s="5" t="s">
        <v>96</v>
      </c>
      <c r="F224" s="5" t="s">
        <v>97</v>
      </c>
      <c r="G224" s="35" t="s">
        <v>70</v>
      </c>
      <c r="H224" s="44">
        <v>19040</v>
      </c>
      <c r="I224" s="44">
        <f>Table1[[#This Row],[Contracted Amount]]*AF224</f>
        <v>12824.765850550366</v>
      </c>
      <c r="J224" s="44">
        <v>19306</v>
      </c>
      <c r="K224" s="44">
        <f>Table1[[#This Row],[Actual Expenditure (including admin fees)]]*AF224</f>
        <v>13003.935373462466</v>
      </c>
      <c r="L224" s="35" t="s">
        <v>71</v>
      </c>
      <c r="M224" s="42" t="s">
        <v>72</v>
      </c>
      <c r="N224" s="42">
        <v>43381</v>
      </c>
      <c r="O224" s="100" t="s">
        <v>73</v>
      </c>
      <c r="P224" s="42">
        <v>43431</v>
      </c>
      <c r="Q224" s="42">
        <f>Table1[[#This Row],[Site handover date]]+7</f>
        <v>43438</v>
      </c>
      <c r="R224" s="42">
        <v>43517</v>
      </c>
      <c r="S224" s="36" t="s">
        <v>71</v>
      </c>
      <c r="T224" s="89" t="s">
        <v>420</v>
      </c>
      <c r="U224" s="9">
        <v>43566</v>
      </c>
      <c r="V224" s="118" t="s">
        <v>71</v>
      </c>
      <c r="W224" s="118" t="s">
        <v>98</v>
      </c>
      <c r="X224" s="136">
        <v>1</v>
      </c>
      <c r="Y224" s="23">
        <v>10480</v>
      </c>
      <c r="Z224" s="34" t="str">
        <f>IF(ISERROR(VLOOKUP(Y224,'Data inputs '!$N$4:$O$23,2,0)),"",(VLOOKUP(Y224,'Data inputs '!$N$4:$O$23,2,0)))</f>
        <v>USAID</v>
      </c>
      <c r="AA224" s="34">
        <v>98720</v>
      </c>
      <c r="AB224" s="5">
        <v>32.886310000000002</v>
      </c>
      <c r="AC224" s="5">
        <v>13.195550000000001</v>
      </c>
      <c r="AE224" s="14">
        <f ca="1"/>
        <v>0.54916648884766028</v>
      </c>
      <c r="AF224" s="14">
        <v>0.67356963500789735</v>
      </c>
    </row>
    <row r="225" spans="1:32" s="14" customFormat="1" ht="28.5" customHeight="1">
      <c r="A225" s="96">
        <v>224</v>
      </c>
      <c r="B225" s="5" t="s">
        <v>84</v>
      </c>
      <c r="C225" s="5" t="s">
        <v>67</v>
      </c>
      <c r="D225" s="5" t="s">
        <v>419</v>
      </c>
      <c r="E225" s="5" t="s">
        <v>96</v>
      </c>
      <c r="F225" s="5" t="s">
        <v>97</v>
      </c>
      <c r="G225" s="35" t="s">
        <v>70</v>
      </c>
      <c r="H225" s="44">
        <v>9930</v>
      </c>
      <c r="I225" s="44">
        <f>Table1[[#This Row],[Contracted Amount]]*AF225</f>
        <v>6853.6531123131053</v>
      </c>
      <c r="J225" s="44">
        <v>11718.82</v>
      </c>
      <c r="K225" s="44">
        <f>Table1[[#This Row],[Actual Expenditure (including admin fees)]]*AF225</f>
        <v>8088.290751826491</v>
      </c>
      <c r="L225" s="35" t="s">
        <v>71</v>
      </c>
      <c r="M225" s="42" t="s">
        <v>72</v>
      </c>
      <c r="N225" s="42">
        <v>43381</v>
      </c>
      <c r="O225" s="100" t="s">
        <v>73</v>
      </c>
      <c r="P225" s="42">
        <v>43431</v>
      </c>
      <c r="Q225" s="42">
        <f>Table1[[#This Row],[Site handover date]]+7</f>
        <v>43438</v>
      </c>
      <c r="R225" s="42">
        <v>43517</v>
      </c>
      <c r="S225" s="36" t="s">
        <v>71</v>
      </c>
      <c r="T225" s="89" t="s">
        <v>420</v>
      </c>
      <c r="U225" s="9">
        <v>43566</v>
      </c>
      <c r="V225" s="118" t="s">
        <v>71</v>
      </c>
      <c r="W225" s="118" t="s">
        <v>98</v>
      </c>
      <c r="X225" s="136">
        <v>1</v>
      </c>
      <c r="Y225" s="23">
        <v>10480</v>
      </c>
      <c r="Z225" s="34" t="str">
        <f>IF(ISERROR(VLOOKUP(Y225,'Data inputs '!$N$4:$O$23,2,0)),"",(VLOOKUP(Y225,'Data inputs '!$N$4:$O$23,2,0)))</f>
        <v>USAID</v>
      </c>
      <c r="AA225" s="34">
        <v>98720</v>
      </c>
      <c r="AB225" s="5">
        <v>32.887860000000003</v>
      </c>
      <c r="AC225" s="5">
        <v>13.195869999999999</v>
      </c>
      <c r="AE225" s="14">
        <f ca="1"/>
        <v>0.65044099996679416</v>
      </c>
      <c r="AF225" s="14">
        <v>0.690196688047644</v>
      </c>
    </row>
    <row r="226" spans="1:32" s="14" customFormat="1" ht="28.5" customHeight="1">
      <c r="A226" s="96">
        <v>225</v>
      </c>
      <c r="B226" s="5" t="s">
        <v>84</v>
      </c>
      <c r="C226" s="5" t="s">
        <v>67</v>
      </c>
      <c r="D226" s="5" t="s">
        <v>419</v>
      </c>
      <c r="E226" s="5" t="s">
        <v>96</v>
      </c>
      <c r="F226" s="5" t="s">
        <v>97</v>
      </c>
      <c r="G226" s="35" t="s">
        <v>70</v>
      </c>
      <c r="H226" s="44">
        <v>29108</v>
      </c>
      <c r="I226" s="44">
        <f>Table1[[#This Row],[Contracted Amount]]*AF226</f>
        <v>15428.837232280039</v>
      </c>
      <c r="J226" s="44">
        <f>27996.5*0.9+27996.5*0.1</f>
        <v>27996.500000000004</v>
      </c>
      <c r="K226" s="44">
        <f>Table1[[#This Row],[Actual Expenditure (including admin fees)]]*AF226</f>
        <v>14839.681241360731</v>
      </c>
      <c r="L226" s="35" t="s">
        <v>71</v>
      </c>
      <c r="M226" s="42" t="s">
        <v>72</v>
      </c>
      <c r="N226" s="42">
        <v>43422</v>
      </c>
      <c r="O226" s="100" t="s">
        <v>73</v>
      </c>
      <c r="P226" s="42">
        <v>43448</v>
      </c>
      <c r="Q226" s="42">
        <f>Table1[[#This Row],[Site handover date]]+7</f>
        <v>43455</v>
      </c>
      <c r="R226" s="42">
        <v>43570</v>
      </c>
      <c r="S226" s="36" t="s">
        <v>71</v>
      </c>
      <c r="T226" s="89" t="s">
        <v>421</v>
      </c>
      <c r="U226" s="9">
        <v>43584</v>
      </c>
      <c r="V226" s="118" t="s">
        <v>71</v>
      </c>
      <c r="W226" s="118" t="s">
        <v>98</v>
      </c>
      <c r="X226" s="136">
        <v>1</v>
      </c>
      <c r="Y226" s="23">
        <v>10283</v>
      </c>
      <c r="Z226" s="34" t="str">
        <f>IF(ISERROR(VLOOKUP(Y226,'Data inputs '!$N$4:$O$23,2,0)),"",(VLOOKUP(Y226,'Data inputs '!$N$4:$O$23,2,0)))</f>
        <v>Germay(KfW)</v>
      </c>
      <c r="AA226" s="34">
        <v>112158</v>
      </c>
      <c r="AB226" s="5">
        <v>32.891399999999997</v>
      </c>
      <c r="AC226" s="5">
        <v>13.17554</v>
      </c>
      <c r="AE226" s="14">
        <f ca="1"/>
        <v>0.58599349796377775</v>
      </c>
      <c r="AF226" s="14">
        <v>0.53005487262196094</v>
      </c>
    </row>
    <row r="227" spans="1:32" s="14" customFormat="1" ht="28.5" customHeight="1">
      <c r="A227" s="96">
        <v>226</v>
      </c>
      <c r="B227" s="5" t="s">
        <v>84</v>
      </c>
      <c r="C227" s="5" t="s">
        <v>67</v>
      </c>
      <c r="D227" s="5" t="s">
        <v>419</v>
      </c>
      <c r="E227" s="5" t="s">
        <v>96</v>
      </c>
      <c r="F227" s="5" t="s">
        <v>97</v>
      </c>
      <c r="G227" s="35" t="s">
        <v>70</v>
      </c>
      <c r="H227" s="44">
        <v>30034</v>
      </c>
      <c r="I227" s="44">
        <f>Table1[[#This Row],[Contracted Amount]]*AF227</f>
        <v>19520.611493481192</v>
      </c>
      <c r="J227" s="44">
        <f>30026.68*0.9+30026.68*0.1</f>
        <v>30026.680000000004</v>
      </c>
      <c r="K227" s="44">
        <f>Table1[[#This Row],[Actual Expenditure (including admin fees)]]*AF227</f>
        <v>19515.853856265632</v>
      </c>
      <c r="L227" s="35" t="s">
        <v>71</v>
      </c>
      <c r="M227" s="42" t="s">
        <v>72</v>
      </c>
      <c r="N227" s="42">
        <v>43422</v>
      </c>
      <c r="O227" s="100" t="s">
        <v>73</v>
      </c>
      <c r="P227" s="42">
        <v>43448</v>
      </c>
      <c r="Q227" s="42">
        <f>Table1[[#This Row],[Site handover date]]+7</f>
        <v>43455</v>
      </c>
      <c r="R227" s="42">
        <v>43570</v>
      </c>
      <c r="S227" s="36" t="s">
        <v>71</v>
      </c>
      <c r="T227" s="89" t="s">
        <v>421</v>
      </c>
      <c r="U227" s="9">
        <v>43584</v>
      </c>
      <c r="V227" s="118" t="s">
        <v>71</v>
      </c>
      <c r="W227" s="118" t="s">
        <v>98</v>
      </c>
      <c r="X227" s="136">
        <v>1</v>
      </c>
      <c r="Y227" s="23">
        <v>137</v>
      </c>
      <c r="Z227" s="34" t="str">
        <f>IF(ISERROR(VLOOKUP(Y227,'Data inputs '!$N$4:$O$23,2,0)),"",(VLOOKUP(Y227,'Data inputs '!$N$4:$O$23,2,0)))</f>
        <v>Italy</v>
      </c>
      <c r="AA227" s="34">
        <v>98720</v>
      </c>
      <c r="AB227" s="5">
        <v>32.879089999999998</v>
      </c>
      <c r="AC227" s="5">
        <v>13.19524</v>
      </c>
      <c r="AE227" s="14">
        <f ca="1"/>
        <v>0.55175079252535186</v>
      </c>
      <c r="AF227" s="14">
        <v>0.6499504392848503</v>
      </c>
    </row>
    <row r="228" spans="1:32" s="14" customFormat="1" ht="28.5" customHeight="1">
      <c r="A228" s="96">
        <v>227</v>
      </c>
      <c r="B228" s="5" t="s">
        <v>84</v>
      </c>
      <c r="C228" s="5" t="s">
        <v>67</v>
      </c>
      <c r="D228" s="5" t="s">
        <v>419</v>
      </c>
      <c r="E228" s="5" t="s">
        <v>96</v>
      </c>
      <c r="F228" s="5" t="s">
        <v>97</v>
      </c>
      <c r="G228" s="35" t="s">
        <v>70</v>
      </c>
      <c r="H228" s="44">
        <v>27610</v>
      </c>
      <c r="I228" s="44">
        <f>Table1[[#This Row],[Contracted Amount]]*AF228</f>
        <v>16909.304764954442</v>
      </c>
      <c r="J228" s="44">
        <f>28128*0.9+28128*0.1</f>
        <v>28128</v>
      </c>
      <c r="K228" s="44">
        <f>Table1[[#This Row],[Actual Expenditure (including admin fees)]]*AF228</f>
        <v>17226.545614945255</v>
      </c>
      <c r="L228" s="35" t="s">
        <v>71</v>
      </c>
      <c r="M228" s="42" t="s">
        <v>72</v>
      </c>
      <c r="N228" s="42">
        <v>43422</v>
      </c>
      <c r="O228" s="100" t="s">
        <v>73</v>
      </c>
      <c r="P228" s="42">
        <v>43448</v>
      </c>
      <c r="Q228" s="42">
        <f>Table1[[#This Row],[Site handover date]]+7</f>
        <v>43455</v>
      </c>
      <c r="R228" s="42">
        <v>43570</v>
      </c>
      <c r="S228" s="36" t="s">
        <v>71</v>
      </c>
      <c r="T228" s="89" t="s">
        <v>421</v>
      </c>
      <c r="U228" s="9">
        <v>43584</v>
      </c>
      <c r="V228" s="118" t="s">
        <v>71</v>
      </c>
      <c r="W228" s="118" t="s">
        <v>98</v>
      </c>
      <c r="X228" s="136">
        <v>1</v>
      </c>
      <c r="Y228" s="23">
        <v>137</v>
      </c>
      <c r="Z228" s="34" t="str">
        <f>IF(ISERROR(VLOOKUP(Y228,'Data inputs '!$N$4:$O$23,2,0)),"",(VLOOKUP(Y228,'Data inputs '!$N$4:$O$23,2,0)))</f>
        <v>Italy</v>
      </c>
      <c r="AA228" s="34">
        <v>98720</v>
      </c>
      <c r="AB228" s="5">
        <v>32.888869999999997</v>
      </c>
      <c r="AC228" s="5">
        <v>13.185879999999999</v>
      </c>
      <c r="AE228" s="14">
        <f ca="1"/>
        <v>0.62416361466439263</v>
      </c>
      <c r="AF228" s="14">
        <v>0.61243407334134159</v>
      </c>
    </row>
    <row r="229" spans="1:32" s="14" customFormat="1" ht="28.5" customHeight="1">
      <c r="A229" s="96">
        <v>228</v>
      </c>
      <c r="B229" s="5" t="s">
        <v>66</v>
      </c>
      <c r="C229" s="5" t="s">
        <v>67</v>
      </c>
      <c r="D229" s="5" t="s">
        <v>419</v>
      </c>
      <c r="E229" s="5" t="s">
        <v>4</v>
      </c>
      <c r="F229" s="5" t="s">
        <v>125</v>
      </c>
      <c r="G229" s="35" t="s">
        <v>70</v>
      </c>
      <c r="H229" s="46">
        <f>1690653.45/65</f>
        <v>26010.053076923075</v>
      </c>
      <c r="I229" s="46">
        <f>Table1[[#This Row],[Contracted Amount]]*AF229</f>
        <v>13469.20180443374</v>
      </c>
      <c r="J229" s="46">
        <f>1404237.94/65</f>
        <v>21603.660615384615</v>
      </c>
      <c r="K229" s="46">
        <f>Table1[[#This Row],[Actual Expenditure (including admin fees)]]*AF229</f>
        <v>11187.369117723279</v>
      </c>
      <c r="L229" s="35" t="s">
        <v>71</v>
      </c>
      <c r="M229" s="42" t="s">
        <v>72</v>
      </c>
      <c r="N229" s="42">
        <v>43494</v>
      </c>
      <c r="O229" s="100" t="s">
        <v>73</v>
      </c>
      <c r="P229" s="42"/>
      <c r="Q229" s="42"/>
      <c r="R229" s="42">
        <v>44140</v>
      </c>
      <c r="S229" s="36" t="s">
        <v>71</v>
      </c>
      <c r="T229" s="89" t="s">
        <v>401</v>
      </c>
      <c r="U229" s="9">
        <v>44146</v>
      </c>
      <c r="V229" s="118" t="s">
        <v>71</v>
      </c>
      <c r="W229" s="118" t="s">
        <v>126</v>
      </c>
      <c r="X229" s="136">
        <v>1</v>
      </c>
      <c r="Y229" s="132" t="s">
        <v>402</v>
      </c>
      <c r="Z229" s="88" t="s">
        <v>403</v>
      </c>
      <c r="AA229" s="34" t="s">
        <v>264</v>
      </c>
      <c r="AB229" s="5"/>
      <c r="AC229" s="5"/>
      <c r="AE229" s="14">
        <f ca="1"/>
        <v>0.68767339650695947</v>
      </c>
      <c r="AF229" s="14">
        <v>0.51784599456984703</v>
      </c>
    </row>
    <row r="230" spans="1:32" s="14" customFormat="1" ht="28.5" customHeight="1">
      <c r="A230" s="96">
        <v>229</v>
      </c>
      <c r="B230" s="5" t="s">
        <v>66</v>
      </c>
      <c r="C230" s="5" t="s">
        <v>67</v>
      </c>
      <c r="D230" s="5" t="s">
        <v>419</v>
      </c>
      <c r="E230" s="5" t="s">
        <v>4</v>
      </c>
      <c r="F230" s="5" t="s">
        <v>125</v>
      </c>
      <c r="G230" s="35" t="s">
        <v>70</v>
      </c>
      <c r="H230" s="46">
        <f>1690653.45/65</f>
        <v>26010.053076923075</v>
      </c>
      <c r="I230" s="46">
        <f>Table1[[#This Row],[Contracted Amount]]*AF230</f>
        <v>18436.191481331105</v>
      </c>
      <c r="J230" s="46">
        <f>1404237.94/65</f>
        <v>21603.660615384615</v>
      </c>
      <c r="K230" s="46">
        <f>Table1[[#This Row],[Actual Expenditure (including admin fees)]]*AF230</f>
        <v>15312.895464880718</v>
      </c>
      <c r="L230" s="35" t="s">
        <v>71</v>
      </c>
      <c r="M230" s="42" t="s">
        <v>72</v>
      </c>
      <c r="N230" s="42">
        <v>43494</v>
      </c>
      <c r="O230" s="100" t="s">
        <v>73</v>
      </c>
      <c r="P230" s="42"/>
      <c r="Q230" s="42"/>
      <c r="R230" s="42">
        <v>44140</v>
      </c>
      <c r="S230" s="36" t="s">
        <v>71</v>
      </c>
      <c r="T230" s="89" t="s">
        <v>401</v>
      </c>
      <c r="U230" s="9">
        <v>44146</v>
      </c>
      <c r="V230" s="118" t="s">
        <v>71</v>
      </c>
      <c r="W230" s="118" t="s">
        <v>126</v>
      </c>
      <c r="X230" s="136">
        <v>1</v>
      </c>
      <c r="Y230" s="132" t="s">
        <v>402</v>
      </c>
      <c r="Z230" s="88" t="s">
        <v>403</v>
      </c>
      <c r="AA230" s="34" t="s">
        <v>264</v>
      </c>
      <c r="AB230" s="5"/>
      <c r="AC230" s="5"/>
      <c r="AE230" s="14">
        <f ca="1"/>
        <v>0.60561626654265377</v>
      </c>
      <c r="AF230" s="14">
        <v>0.70881022144811634</v>
      </c>
    </row>
    <row r="231" spans="1:32" s="14" customFormat="1" ht="28.5" customHeight="1">
      <c r="A231" s="96">
        <v>230</v>
      </c>
      <c r="B231" s="5" t="s">
        <v>66</v>
      </c>
      <c r="C231" s="5" t="s">
        <v>67</v>
      </c>
      <c r="D231" s="5" t="s">
        <v>419</v>
      </c>
      <c r="E231" s="5" t="s">
        <v>4</v>
      </c>
      <c r="F231" s="5" t="s">
        <v>125</v>
      </c>
      <c r="G231" s="35" t="s">
        <v>70</v>
      </c>
      <c r="H231" s="46">
        <f>1690653.45/65</f>
        <v>26010.053076923075</v>
      </c>
      <c r="I231" s="46">
        <f>Table1[[#This Row],[Contracted Amount]]*AF231</f>
        <v>17466.10450316541</v>
      </c>
      <c r="J231" s="46">
        <f>1404237.94/65</f>
        <v>21603.660615384615</v>
      </c>
      <c r="K231" s="46">
        <f>Table1[[#This Row],[Actual Expenditure (including admin fees)]]*AF231</f>
        <v>14507.152017079385</v>
      </c>
      <c r="L231" s="35" t="s">
        <v>71</v>
      </c>
      <c r="M231" s="42" t="s">
        <v>72</v>
      </c>
      <c r="N231" s="42">
        <v>43494</v>
      </c>
      <c r="O231" s="100" t="s">
        <v>73</v>
      </c>
      <c r="P231" s="42"/>
      <c r="Q231" s="42"/>
      <c r="R231" s="42">
        <v>44140</v>
      </c>
      <c r="S231" s="36" t="s">
        <v>71</v>
      </c>
      <c r="T231" s="89" t="s">
        <v>401</v>
      </c>
      <c r="U231" s="9">
        <v>44146</v>
      </c>
      <c r="V231" s="118" t="s">
        <v>71</v>
      </c>
      <c r="W231" s="118" t="s">
        <v>126</v>
      </c>
      <c r="X231" s="136">
        <v>1</v>
      </c>
      <c r="Y231" s="132" t="s">
        <v>402</v>
      </c>
      <c r="Z231" s="88" t="s">
        <v>403</v>
      </c>
      <c r="AA231" s="34" t="s">
        <v>264</v>
      </c>
      <c r="AB231" s="5"/>
      <c r="AC231" s="5"/>
      <c r="AE231" s="14">
        <f ca="1"/>
        <v>0.68635062571204863</v>
      </c>
      <c r="AF231" s="14">
        <v>0.67151360481697286</v>
      </c>
    </row>
    <row r="232" spans="1:32" s="14" customFormat="1" ht="28.5" customHeight="1">
      <c r="A232" s="96">
        <v>231</v>
      </c>
      <c r="B232" s="5" t="s">
        <v>66</v>
      </c>
      <c r="C232" s="5" t="s">
        <v>67</v>
      </c>
      <c r="D232" s="5" t="s">
        <v>419</v>
      </c>
      <c r="E232" s="5" t="s">
        <v>4</v>
      </c>
      <c r="F232" s="5" t="s">
        <v>125</v>
      </c>
      <c r="G232" s="35" t="s">
        <v>70</v>
      </c>
      <c r="H232" s="46">
        <f>1690653.45/65</f>
        <v>26010.053076923075</v>
      </c>
      <c r="I232" s="46">
        <f>Table1[[#This Row],[Contracted Amount]]*AF232</f>
        <v>18750.719551922168</v>
      </c>
      <c r="J232" s="46">
        <f>1404237.94/65</f>
        <v>21603.660615384615</v>
      </c>
      <c r="K232" s="46">
        <f>Table1[[#This Row],[Actual Expenditure (including admin fees)]]*AF232</f>
        <v>15574.138979877223</v>
      </c>
      <c r="L232" s="35" t="s">
        <v>71</v>
      </c>
      <c r="M232" s="42" t="s">
        <v>72</v>
      </c>
      <c r="N232" s="42">
        <v>43494</v>
      </c>
      <c r="O232" s="100" t="s">
        <v>73</v>
      </c>
      <c r="P232" s="42"/>
      <c r="Q232" s="42"/>
      <c r="R232" s="42">
        <v>44140</v>
      </c>
      <c r="S232" s="36" t="s">
        <v>71</v>
      </c>
      <c r="T232" s="89" t="s">
        <v>401</v>
      </c>
      <c r="U232" s="9">
        <v>44146</v>
      </c>
      <c r="V232" s="118" t="s">
        <v>71</v>
      </c>
      <c r="W232" s="118" t="s">
        <v>126</v>
      </c>
      <c r="X232" s="136">
        <v>1</v>
      </c>
      <c r="Y232" s="132" t="s">
        <v>402</v>
      </c>
      <c r="Z232" s="88" t="s">
        <v>403</v>
      </c>
      <c r="AA232" s="34" t="s">
        <v>264</v>
      </c>
      <c r="AB232" s="5"/>
      <c r="AC232" s="5"/>
      <c r="AE232" s="14">
        <f ca="1"/>
        <v>0.64875215758211535</v>
      </c>
      <c r="AF232" s="14">
        <v>0.72090277926262236</v>
      </c>
    </row>
    <row r="233" spans="1:32" s="14" customFormat="1" ht="28.5" customHeight="1">
      <c r="A233" s="96">
        <v>232</v>
      </c>
      <c r="B233" s="5" t="s">
        <v>66</v>
      </c>
      <c r="C233" s="5" t="s">
        <v>67</v>
      </c>
      <c r="D233" s="5" t="s">
        <v>419</v>
      </c>
      <c r="E233" s="5" t="s">
        <v>4</v>
      </c>
      <c r="F233" s="5" t="s">
        <v>125</v>
      </c>
      <c r="G233" s="35" t="s">
        <v>70</v>
      </c>
      <c r="H233" s="46">
        <f>1690653.45/65</f>
        <v>26010.053076923075</v>
      </c>
      <c r="I233" s="46">
        <f>Table1[[#This Row],[Contracted Amount]]*AF233</f>
        <v>13651.185626144385</v>
      </c>
      <c r="J233" s="46">
        <f>1404237.94/65</f>
        <v>21603.660615384615</v>
      </c>
      <c r="K233" s="46">
        <f>Table1[[#This Row],[Actual Expenditure (including admin fees)]]*AF233</f>
        <v>11338.522854707215</v>
      </c>
      <c r="L233" s="35" t="s">
        <v>71</v>
      </c>
      <c r="M233" s="42" t="s">
        <v>72</v>
      </c>
      <c r="N233" s="42">
        <v>43494</v>
      </c>
      <c r="O233" s="100" t="s">
        <v>73</v>
      </c>
      <c r="P233" s="42"/>
      <c r="Q233" s="42"/>
      <c r="R233" s="42">
        <v>44140</v>
      </c>
      <c r="S233" s="36" t="s">
        <v>71</v>
      </c>
      <c r="T233" s="89" t="s">
        <v>401</v>
      </c>
      <c r="U233" s="9">
        <v>44146</v>
      </c>
      <c r="V233" s="118" t="s">
        <v>71</v>
      </c>
      <c r="W233" s="118" t="s">
        <v>126</v>
      </c>
      <c r="X233" s="136">
        <v>1</v>
      </c>
      <c r="Y233" s="132" t="s">
        <v>402</v>
      </c>
      <c r="Z233" s="88" t="s">
        <v>403</v>
      </c>
      <c r="AA233" s="34" t="s">
        <v>264</v>
      </c>
      <c r="AB233" s="5"/>
      <c r="AC233" s="5"/>
      <c r="AE233" s="14">
        <f ca="1"/>
        <v>0.50519406773511932</v>
      </c>
      <c r="AF233" s="14">
        <v>0.5248426670169366</v>
      </c>
    </row>
    <row r="234" spans="1:32" s="14" customFormat="1" ht="28.5" customHeight="1">
      <c r="A234" s="96">
        <v>233</v>
      </c>
      <c r="B234" s="5" t="s">
        <v>84</v>
      </c>
      <c r="C234" s="5" t="s">
        <v>67</v>
      </c>
      <c r="D234" s="5" t="s">
        <v>422</v>
      </c>
      <c r="E234" s="5" t="s">
        <v>96</v>
      </c>
      <c r="F234" s="5" t="s">
        <v>97</v>
      </c>
      <c r="G234" s="35" t="s">
        <v>70</v>
      </c>
      <c r="H234" s="44">
        <v>105423.75</v>
      </c>
      <c r="I234" s="44">
        <f>Table1[[#This Row],[Contracted Amount]]*AF234</f>
        <v>75494.048560856419</v>
      </c>
      <c r="J234" s="44">
        <f>94642.29+10515.81</f>
        <v>105158.09999999999</v>
      </c>
      <c r="K234" s="44">
        <f>Table1[[#This Row],[Actual Expenditure (including admin fees)]]*AF234</f>
        <v>75303.816340885183</v>
      </c>
      <c r="L234" s="35" t="s">
        <v>71</v>
      </c>
      <c r="M234" s="42" t="s">
        <v>72</v>
      </c>
      <c r="N234" s="92">
        <v>43755</v>
      </c>
      <c r="O234" s="100" t="s">
        <v>73</v>
      </c>
      <c r="P234" s="42">
        <v>43999</v>
      </c>
      <c r="Q234" s="42"/>
      <c r="R234" s="42">
        <v>44130</v>
      </c>
      <c r="S234" s="36" t="s">
        <v>71</v>
      </c>
      <c r="T234" s="89" t="s">
        <v>423</v>
      </c>
      <c r="U234" s="9">
        <v>44132</v>
      </c>
      <c r="V234" s="118" t="s">
        <v>71</v>
      </c>
      <c r="W234" s="118" t="s">
        <v>98</v>
      </c>
      <c r="X234" s="136">
        <v>1</v>
      </c>
      <c r="Y234" s="23">
        <v>10159</v>
      </c>
      <c r="Z234" s="34" t="str">
        <f>IF(ISERROR(VLOOKUP(Y234,'Data inputs '!$N$4:$O$23,2,0)),"",(VLOOKUP(Y234,'Data inputs '!$N$4:$O$23,2,0)))</f>
        <v>EU</v>
      </c>
      <c r="AA234" s="34">
        <v>112158</v>
      </c>
      <c r="AB234" s="5">
        <v>32.570844444444397</v>
      </c>
      <c r="AC234" s="5">
        <v>13.169130555555554</v>
      </c>
      <c r="AE234" s="14">
        <f ca="1"/>
        <v>0.6897752439245175</v>
      </c>
      <c r="AF234" s="14">
        <v>0.71610095980133903</v>
      </c>
    </row>
    <row r="235" spans="1:32" s="14" customFormat="1" ht="28.5" customHeight="1">
      <c r="A235" s="96">
        <v>234</v>
      </c>
      <c r="B235" s="5" t="s">
        <v>84</v>
      </c>
      <c r="C235" s="5" t="s">
        <v>67</v>
      </c>
      <c r="D235" s="5" t="s">
        <v>422</v>
      </c>
      <c r="E235" s="5" t="s">
        <v>96</v>
      </c>
      <c r="F235" s="5" t="s">
        <v>97</v>
      </c>
      <c r="G235" s="35" t="s">
        <v>70</v>
      </c>
      <c r="H235" s="44"/>
      <c r="I235" s="44">
        <f>Table1[[#This Row],[Contracted Amount]]*AF235</f>
        <v>0</v>
      </c>
      <c r="J235" s="44"/>
      <c r="K235" s="44">
        <f>Table1[[#This Row],[Actual Expenditure (including admin fees)]]*AF235</f>
        <v>0</v>
      </c>
      <c r="L235" s="35" t="s">
        <v>71</v>
      </c>
      <c r="M235" s="42" t="s">
        <v>72</v>
      </c>
      <c r="N235" s="92">
        <v>43755</v>
      </c>
      <c r="O235" s="100" t="s">
        <v>73</v>
      </c>
      <c r="P235" s="42">
        <v>43999</v>
      </c>
      <c r="Q235" s="42"/>
      <c r="R235" s="42">
        <v>44130</v>
      </c>
      <c r="S235" s="36" t="s">
        <v>71</v>
      </c>
      <c r="T235" s="130" t="s">
        <v>423</v>
      </c>
      <c r="U235" s="9">
        <v>44132</v>
      </c>
      <c r="V235" s="118" t="s">
        <v>71</v>
      </c>
      <c r="W235" s="118" t="s">
        <v>98</v>
      </c>
      <c r="X235" s="136">
        <v>1</v>
      </c>
      <c r="Y235" s="23">
        <v>10159</v>
      </c>
      <c r="Z235" s="34" t="str">
        <f>IF(ISERROR(VLOOKUP(Y235,'Data inputs '!$N$4:$O$23,2,0)),"",(VLOOKUP(Y235,'Data inputs '!$N$4:$O$23,2,0)))</f>
        <v>EU</v>
      </c>
      <c r="AA235" s="34">
        <v>112158</v>
      </c>
      <c r="AB235" s="5">
        <v>32.338916666666698</v>
      </c>
      <c r="AC235" s="5">
        <v>13.160286111111111</v>
      </c>
      <c r="AE235" s="14">
        <f ca="1"/>
        <v>0.69587321179514294</v>
      </c>
      <c r="AF235" s="14">
        <v>0.51815780740554607</v>
      </c>
    </row>
    <row r="236" spans="1:32" s="14" customFormat="1" ht="28.5" customHeight="1">
      <c r="A236" s="96">
        <v>235</v>
      </c>
      <c r="B236" s="5" t="s">
        <v>84</v>
      </c>
      <c r="C236" s="5" t="s">
        <v>67</v>
      </c>
      <c r="D236" s="5" t="s">
        <v>422</v>
      </c>
      <c r="E236" s="5" t="s">
        <v>96</v>
      </c>
      <c r="F236" s="5" t="s">
        <v>97</v>
      </c>
      <c r="G236" s="35" t="s">
        <v>70</v>
      </c>
      <c r="H236" s="44"/>
      <c r="I236" s="44">
        <f>Table1[[#This Row],[Contracted Amount]]*AF236</f>
        <v>0</v>
      </c>
      <c r="J236" s="44"/>
      <c r="K236" s="44">
        <f>Table1[[#This Row],[Actual Expenditure (including admin fees)]]*AF236</f>
        <v>0</v>
      </c>
      <c r="L236" s="35" t="s">
        <v>71</v>
      </c>
      <c r="M236" s="42" t="s">
        <v>72</v>
      </c>
      <c r="N236" s="92">
        <v>43755</v>
      </c>
      <c r="O236" s="100" t="s">
        <v>73</v>
      </c>
      <c r="P236" s="42">
        <v>43999</v>
      </c>
      <c r="Q236" s="42"/>
      <c r="R236" s="42">
        <v>44130</v>
      </c>
      <c r="S236" s="36" t="s">
        <v>71</v>
      </c>
      <c r="T236" s="89" t="s">
        <v>423</v>
      </c>
      <c r="U236" s="9">
        <v>44132</v>
      </c>
      <c r="V236" s="118" t="s">
        <v>71</v>
      </c>
      <c r="W236" s="118" t="s">
        <v>98</v>
      </c>
      <c r="X236" s="136">
        <v>1</v>
      </c>
      <c r="Y236" s="23">
        <v>10159</v>
      </c>
      <c r="Z236" s="34" t="str">
        <f>IF(ISERROR(VLOOKUP(Y236,'Data inputs '!$N$4:$O$23,2,0)),"",(VLOOKUP(Y236,'Data inputs '!$N$4:$O$23,2,0)))</f>
        <v>EU</v>
      </c>
      <c r="AA236" s="34">
        <v>112158</v>
      </c>
      <c r="AB236" s="5">
        <v>32.536786111111098</v>
      </c>
      <c r="AC236" s="5">
        <v>13.173366666666666</v>
      </c>
      <c r="AE236" s="14">
        <f ca="1"/>
        <v>0.50406822881650315</v>
      </c>
      <c r="AF236" s="14">
        <v>0.51413577691029089</v>
      </c>
    </row>
    <row r="237" spans="1:32" s="14" customFormat="1" ht="28.5" customHeight="1">
      <c r="A237" s="96">
        <v>236</v>
      </c>
      <c r="B237" s="5" t="s">
        <v>84</v>
      </c>
      <c r="C237" s="5" t="s">
        <v>67</v>
      </c>
      <c r="D237" s="5" t="s">
        <v>422</v>
      </c>
      <c r="E237" s="5" t="s">
        <v>96</v>
      </c>
      <c r="F237" s="5" t="s">
        <v>97</v>
      </c>
      <c r="G237" s="35" t="s">
        <v>70</v>
      </c>
      <c r="H237" s="44">
        <v>100124</v>
      </c>
      <c r="I237" s="44">
        <f>Table1[[#This Row],[Contracted Amount]]*AF237</f>
        <v>61943.314540152285</v>
      </c>
      <c r="J237" s="44">
        <f>90039.6+10004.4</f>
        <v>100044</v>
      </c>
      <c r="K237" s="44">
        <f>Table1[[#This Row],[Actual Expenditure (including admin fees)]]*AF237</f>
        <v>61893.821260187324</v>
      </c>
      <c r="L237" s="35" t="s">
        <v>71</v>
      </c>
      <c r="M237" s="42" t="s">
        <v>72</v>
      </c>
      <c r="N237" s="92">
        <v>43772</v>
      </c>
      <c r="O237" s="100" t="s">
        <v>73</v>
      </c>
      <c r="P237" s="42">
        <v>43999</v>
      </c>
      <c r="Q237" s="42"/>
      <c r="R237" s="42">
        <v>44130</v>
      </c>
      <c r="S237" s="36" t="s">
        <v>71</v>
      </c>
      <c r="T237" s="89" t="s">
        <v>423</v>
      </c>
      <c r="U237" s="9">
        <v>44132</v>
      </c>
      <c r="V237" s="118" t="s">
        <v>71</v>
      </c>
      <c r="W237" s="118" t="s">
        <v>98</v>
      </c>
      <c r="X237" s="136">
        <v>1</v>
      </c>
      <c r="Y237" s="23">
        <v>10159</v>
      </c>
      <c r="Z237" s="34" t="str">
        <f>IF(ISERROR(VLOOKUP(Y237,'Data inputs '!$N$4:$O$23,2,0)),"",(VLOOKUP(Y237,'Data inputs '!$N$4:$O$23,2,0)))</f>
        <v>EU</v>
      </c>
      <c r="AA237" s="34">
        <v>112158</v>
      </c>
      <c r="AB237" s="5">
        <v>32.341724999999997</v>
      </c>
      <c r="AC237" s="5">
        <v>13.083847222222223</v>
      </c>
      <c r="AE237" s="14">
        <f ca="1"/>
        <v>0.56205549179356018</v>
      </c>
      <c r="AF237" s="14">
        <v>0.61866599956206592</v>
      </c>
    </row>
    <row r="238" spans="1:32" s="14" customFormat="1" ht="28.5" customHeight="1">
      <c r="A238" s="96">
        <v>237</v>
      </c>
      <c r="B238" s="5" t="s">
        <v>84</v>
      </c>
      <c r="C238" s="5" t="s">
        <v>67</v>
      </c>
      <c r="D238" s="5" t="s">
        <v>422</v>
      </c>
      <c r="E238" s="5" t="s">
        <v>96</v>
      </c>
      <c r="F238" s="5" t="s">
        <v>97</v>
      </c>
      <c r="G238" s="35" t="s">
        <v>70</v>
      </c>
      <c r="H238" s="44"/>
      <c r="I238" s="44">
        <f>Table1[[#This Row],[Contracted Amount]]*AF238</f>
        <v>0</v>
      </c>
      <c r="J238" s="44"/>
      <c r="K238" s="44">
        <f>Table1[[#This Row],[Actual Expenditure (including admin fees)]]*AF238</f>
        <v>0</v>
      </c>
      <c r="L238" s="35" t="s">
        <v>71</v>
      </c>
      <c r="M238" s="42" t="s">
        <v>72</v>
      </c>
      <c r="N238" s="92">
        <v>43772</v>
      </c>
      <c r="O238" s="100" t="s">
        <v>73</v>
      </c>
      <c r="P238" s="42">
        <v>43999</v>
      </c>
      <c r="Q238" s="42"/>
      <c r="R238" s="42">
        <v>44130</v>
      </c>
      <c r="S238" s="36" t="s">
        <v>71</v>
      </c>
      <c r="T238" s="89" t="s">
        <v>423</v>
      </c>
      <c r="U238" s="9">
        <v>44132</v>
      </c>
      <c r="V238" s="118" t="s">
        <v>71</v>
      </c>
      <c r="W238" s="118" t="s">
        <v>98</v>
      </c>
      <c r="X238" s="136">
        <v>1</v>
      </c>
      <c r="Y238" s="23">
        <v>10159</v>
      </c>
      <c r="Z238" s="34" t="str">
        <f>IF(ISERROR(VLOOKUP(Y238,'Data inputs '!$N$4:$O$23,2,0)),"",(VLOOKUP(Y238,'Data inputs '!$N$4:$O$23,2,0)))</f>
        <v>EU</v>
      </c>
      <c r="AA238" s="34">
        <v>112158</v>
      </c>
      <c r="AB238" s="5">
        <v>32.452016666666701</v>
      </c>
      <c r="AC238" s="5">
        <v>13.158394444444445</v>
      </c>
      <c r="AE238" s="14">
        <f ca="1"/>
        <v>0.627468711352969</v>
      </c>
      <c r="AF238" s="14">
        <v>0.50993203025229694</v>
      </c>
    </row>
    <row r="239" spans="1:32" s="14" customFormat="1" ht="28.5" customHeight="1">
      <c r="A239" s="96">
        <v>238</v>
      </c>
      <c r="B239" s="5" t="s">
        <v>84</v>
      </c>
      <c r="C239" s="5" t="s">
        <v>67</v>
      </c>
      <c r="D239" s="5" t="s">
        <v>422</v>
      </c>
      <c r="E239" s="5" t="s">
        <v>96</v>
      </c>
      <c r="F239" s="5" t="s">
        <v>97</v>
      </c>
      <c r="G239" s="35" t="s">
        <v>70</v>
      </c>
      <c r="H239" s="44"/>
      <c r="I239" s="44">
        <f>Table1[[#This Row],[Contracted Amount]]*AF239</f>
        <v>0</v>
      </c>
      <c r="J239" s="44"/>
      <c r="K239" s="44">
        <f>Table1[[#This Row],[Actual Expenditure (including admin fees)]]*AF239</f>
        <v>0</v>
      </c>
      <c r="L239" s="35" t="s">
        <v>71</v>
      </c>
      <c r="M239" s="42" t="s">
        <v>72</v>
      </c>
      <c r="N239" s="92">
        <v>43772</v>
      </c>
      <c r="O239" s="100" t="s">
        <v>73</v>
      </c>
      <c r="P239" s="42">
        <v>43999</v>
      </c>
      <c r="Q239" s="42"/>
      <c r="R239" s="42">
        <v>44130</v>
      </c>
      <c r="S239" s="36" t="s">
        <v>71</v>
      </c>
      <c r="T239" s="89" t="s">
        <v>423</v>
      </c>
      <c r="U239" s="9">
        <v>44132</v>
      </c>
      <c r="V239" s="118" t="s">
        <v>71</v>
      </c>
      <c r="W239" s="118" t="s">
        <v>98</v>
      </c>
      <c r="X239" s="136">
        <v>1</v>
      </c>
      <c r="Y239" s="23">
        <v>10159</v>
      </c>
      <c r="Z239" s="34" t="str">
        <f>IF(ISERROR(VLOOKUP(Y239,'Data inputs '!$N$4:$O$23,2,0)),"",(VLOOKUP(Y239,'Data inputs '!$N$4:$O$23,2,0)))</f>
        <v>EU</v>
      </c>
      <c r="AA239" s="34">
        <v>112158</v>
      </c>
      <c r="AB239" s="5">
        <v>32.317044444444399</v>
      </c>
      <c r="AC239" s="5">
        <v>13.106044444444445</v>
      </c>
      <c r="AE239" s="14">
        <f ca="1"/>
        <v>0.73034931884776932</v>
      </c>
      <c r="AF239" s="14">
        <v>0.69898698564565742</v>
      </c>
    </row>
    <row r="240" spans="1:32" s="14" customFormat="1" ht="28.5" customHeight="1">
      <c r="A240" s="96">
        <v>239</v>
      </c>
      <c r="B240" s="5" t="s">
        <v>66</v>
      </c>
      <c r="C240" s="5" t="s">
        <v>67</v>
      </c>
      <c r="D240" s="5" t="s">
        <v>422</v>
      </c>
      <c r="E240" s="5" t="s">
        <v>4</v>
      </c>
      <c r="F240" s="5" t="s">
        <v>125</v>
      </c>
      <c r="G240" s="35" t="s">
        <v>70</v>
      </c>
      <c r="H240" s="46">
        <f>1690653.45/65</f>
        <v>26010.053076923075</v>
      </c>
      <c r="I240" s="46">
        <f>Table1[[#This Row],[Contracted Amount]]*AF240</f>
        <v>14917.755537691721</v>
      </c>
      <c r="J240" s="46">
        <f>1404237.94/65</f>
        <v>21603.660615384615</v>
      </c>
      <c r="K240" s="46">
        <f>Table1[[#This Row],[Actual Expenditure (including admin fees)]]*AF240</f>
        <v>12390.521727366313</v>
      </c>
      <c r="L240" s="35" t="s">
        <v>71</v>
      </c>
      <c r="M240" s="42" t="s">
        <v>72</v>
      </c>
      <c r="N240" s="42">
        <v>43494</v>
      </c>
      <c r="O240" s="100" t="s">
        <v>73</v>
      </c>
      <c r="P240" s="42"/>
      <c r="Q240" s="42"/>
      <c r="R240" s="42">
        <v>44140</v>
      </c>
      <c r="S240" s="36" t="s">
        <v>71</v>
      </c>
      <c r="T240" s="89" t="s">
        <v>401</v>
      </c>
      <c r="U240" s="9">
        <v>44146</v>
      </c>
      <c r="V240" s="118" t="s">
        <v>71</v>
      </c>
      <c r="W240" s="118" t="s">
        <v>126</v>
      </c>
      <c r="X240" s="136">
        <v>1</v>
      </c>
      <c r="Y240" s="132" t="s">
        <v>402</v>
      </c>
      <c r="Z240" s="88" t="s">
        <v>403</v>
      </c>
      <c r="AA240" s="34" t="s">
        <v>264</v>
      </c>
      <c r="AB240" s="5"/>
      <c r="AC240" s="5"/>
      <c r="AE240" s="14">
        <f ca="1"/>
        <v>0.70373194857540045</v>
      </c>
      <c r="AF240" s="14">
        <v>0.57353806597677481</v>
      </c>
    </row>
    <row r="241" spans="1:32" s="14" customFormat="1" ht="28.5" customHeight="1">
      <c r="A241" s="96">
        <v>240</v>
      </c>
      <c r="B241" s="5" t="s">
        <v>66</v>
      </c>
      <c r="C241" s="5" t="s">
        <v>67</v>
      </c>
      <c r="D241" s="5" t="s">
        <v>422</v>
      </c>
      <c r="E241" s="5" t="s">
        <v>4</v>
      </c>
      <c r="F241" s="5" t="s">
        <v>125</v>
      </c>
      <c r="G241" s="35" t="s">
        <v>70</v>
      </c>
      <c r="H241" s="46">
        <f>1690653.45/65</f>
        <v>26010.053076923075</v>
      </c>
      <c r="I241" s="46">
        <f>Table1[[#This Row],[Contracted Amount]]*AF241</f>
        <v>16156.624346306231</v>
      </c>
      <c r="J241" s="46">
        <f>1404237.94/65</f>
        <v>21603.660615384615</v>
      </c>
      <c r="K241" s="46">
        <f>Table1[[#This Row],[Actual Expenditure (including admin fees)]]*AF241</f>
        <v>13419.512372219693</v>
      </c>
      <c r="L241" s="35" t="s">
        <v>71</v>
      </c>
      <c r="M241" s="42" t="s">
        <v>72</v>
      </c>
      <c r="N241" s="42">
        <v>43494</v>
      </c>
      <c r="O241" s="100" t="s">
        <v>73</v>
      </c>
      <c r="P241" s="42"/>
      <c r="Q241" s="42"/>
      <c r="R241" s="42">
        <v>44140</v>
      </c>
      <c r="S241" s="36" t="s">
        <v>71</v>
      </c>
      <c r="T241" s="89" t="s">
        <v>401</v>
      </c>
      <c r="U241" s="9">
        <v>44146</v>
      </c>
      <c r="V241" s="118" t="s">
        <v>71</v>
      </c>
      <c r="W241" s="118" t="s">
        <v>126</v>
      </c>
      <c r="X241" s="136">
        <v>1</v>
      </c>
      <c r="Y241" s="132" t="s">
        <v>402</v>
      </c>
      <c r="Z241" s="88" t="s">
        <v>403</v>
      </c>
      <c r="AA241" s="34" t="s">
        <v>264</v>
      </c>
      <c r="AB241" s="5"/>
      <c r="AC241" s="5"/>
      <c r="AE241" s="14">
        <f ca="1"/>
        <v>0.57377885106007853</v>
      </c>
      <c r="AF241" s="14">
        <v>0.62116844969612495</v>
      </c>
    </row>
    <row r="242" spans="1:32" s="14" customFormat="1" ht="28.5" customHeight="1">
      <c r="A242" s="96">
        <v>241</v>
      </c>
      <c r="B242" s="5" t="s">
        <v>66</v>
      </c>
      <c r="C242" s="5" t="s">
        <v>67</v>
      </c>
      <c r="D242" s="5" t="s">
        <v>422</v>
      </c>
      <c r="E242" s="5" t="s">
        <v>4</v>
      </c>
      <c r="F242" s="5" t="s">
        <v>125</v>
      </c>
      <c r="G242" s="35" t="s">
        <v>70</v>
      </c>
      <c r="H242" s="46">
        <f>1690653.45/65</f>
        <v>26010.053076923075</v>
      </c>
      <c r="I242" s="46">
        <f>Table1[[#This Row],[Contracted Amount]]*AF242</f>
        <v>17925.209631569185</v>
      </c>
      <c r="J242" s="46">
        <f>1404237.94/65</f>
        <v>21603.660615384615</v>
      </c>
      <c r="K242" s="46">
        <f>Table1[[#This Row],[Actual Expenditure (including admin fees)]]*AF242</f>
        <v>14888.479627272443</v>
      </c>
      <c r="L242" s="35" t="s">
        <v>71</v>
      </c>
      <c r="M242" s="42" t="s">
        <v>72</v>
      </c>
      <c r="N242" s="42">
        <v>43494</v>
      </c>
      <c r="O242" s="100" t="s">
        <v>73</v>
      </c>
      <c r="P242" s="42"/>
      <c r="Q242" s="42"/>
      <c r="R242" s="42">
        <v>44140</v>
      </c>
      <c r="S242" s="36" t="s">
        <v>71</v>
      </c>
      <c r="T242" s="89" t="s">
        <v>401</v>
      </c>
      <c r="U242" s="9">
        <v>44146</v>
      </c>
      <c r="V242" s="118" t="s">
        <v>71</v>
      </c>
      <c r="W242" s="118" t="s">
        <v>126</v>
      </c>
      <c r="X242" s="136">
        <v>1</v>
      </c>
      <c r="Y242" s="132" t="s">
        <v>402</v>
      </c>
      <c r="Z242" s="88" t="s">
        <v>403</v>
      </c>
      <c r="AA242" s="34" t="s">
        <v>264</v>
      </c>
      <c r="AB242" s="5"/>
      <c r="AC242" s="5"/>
      <c r="AE242" s="14">
        <f ca="1"/>
        <v>0.71099056610817357</v>
      </c>
      <c r="AF242" s="14">
        <v>0.68916466946670651</v>
      </c>
    </row>
    <row r="243" spans="1:32" s="14" customFormat="1" ht="28.5" customHeight="1">
      <c r="A243" s="96">
        <v>242</v>
      </c>
      <c r="B243" s="5" t="s">
        <v>66</v>
      </c>
      <c r="C243" s="5" t="s">
        <v>67</v>
      </c>
      <c r="D243" s="5" t="s">
        <v>422</v>
      </c>
      <c r="E243" s="5" t="s">
        <v>4</v>
      </c>
      <c r="F243" s="5" t="s">
        <v>125</v>
      </c>
      <c r="G243" s="35" t="s">
        <v>70</v>
      </c>
      <c r="H243" s="46">
        <f>1690653.45/65</f>
        <v>26010.053076923075</v>
      </c>
      <c r="I243" s="46">
        <f>Table1[[#This Row],[Contracted Amount]]*AF243</f>
        <v>17686.999335350898</v>
      </c>
      <c r="J243" s="46">
        <f>1404237.94/65</f>
        <v>21603.660615384615</v>
      </c>
      <c r="K243" s="46">
        <f>Table1[[#This Row],[Actual Expenditure (including admin fees)]]*AF243</f>
        <v>14690.624806316466</v>
      </c>
      <c r="L243" s="35" t="s">
        <v>71</v>
      </c>
      <c r="M243" s="42" t="s">
        <v>72</v>
      </c>
      <c r="N243" s="42">
        <v>43494</v>
      </c>
      <c r="O243" s="100" t="s">
        <v>73</v>
      </c>
      <c r="P243" s="42"/>
      <c r="Q243" s="42"/>
      <c r="R243" s="42">
        <v>44140</v>
      </c>
      <c r="S243" s="36" t="s">
        <v>71</v>
      </c>
      <c r="T243" s="89" t="s">
        <v>401</v>
      </c>
      <c r="U243" s="9">
        <v>44146</v>
      </c>
      <c r="V243" s="118" t="s">
        <v>71</v>
      </c>
      <c r="W243" s="118" t="s">
        <v>126</v>
      </c>
      <c r="X243" s="136">
        <v>1</v>
      </c>
      <c r="Y243" s="132" t="s">
        <v>402</v>
      </c>
      <c r="Z243" s="88" t="s">
        <v>403</v>
      </c>
      <c r="AA243" s="34" t="s">
        <v>264</v>
      </c>
      <c r="AB243" s="5"/>
      <c r="AC243" s="5"/>
      <c r="AE243" s="14">
        <f ca="1"/>
        <v>0.73145587449448124</v>
      </c>
      <c r="AF243" s="14">
        <v>0.68000627615186804</v>
      </c>
    </row>
    <row r="244" spans="1:32" s="14" customFormat="1" ht="28.5" customHeight="1">
      <c r="A244" s="96">
        <v>243</v>
      </c>
      <c r="B244" s="5" t="s">
        <v>66</v>
      </c>
      <c r="C244" s="5" t="s">
        <v>67</v>
      </c>
      <c r="D244" s="5" t="s">
        <v>422</v>
      </c>
      <c r="E244" s="5" t="s">
        <v>4</v>
      </c>
      <c r="F244" s="5" t="s">
        <v>125</v>
      </c>
      <c r="G244" s="35" t="s">
        <v>70</v>
      </c>
      <c r="H244" s="46">
        <f>1690653.45/65</f>
        <v>26010.053076923075</v>
      </c>
      <c r="I244" s="46">
        <f>Table1[[#This Row],[Contracted Amount]]*AF244</f>
        <v>19300.700665962835</v>
      </c>
      <c r="J244" s="46">
        <f>1404237.94/65</f>
        <v>21603.660615384615</v>
      </c>
      <c r="K244" s="46">
        <f>Table1[[#This Row],[Actual Expenditure (including admin fees)]]*AF244</f>
        <v>16030.947172365975</v>
      </c>
      <c r="L244" s="35" t="s">
        <v>71</v>
      </c>
      <c r="M244" s="42" t="s">
        <v>72</v>
      </c>
      <c r="N244" s="42">
        <v>43494</v>
      </c>
      <c r="O244" s="100" t="s">
        <v>73</v>
      </c>
      <c r="P244" s="42"/>
      <c r="Q244" s="42"/>
      <c r="R244" s="42">
        <v>44140</v>
      </c>
      <c r="S244" s="36" t="s">
        <v>71</v>
      </c>
      <c r="T244" s="89" t="s">
        <v>401</v>
      </c>
      <c r="U244" s="9">
        <v>44146</v>
      </c>
      <c r="V244" s="118" t="s">
        <v>71</v>
      </c>
      <c r="W244" s="118" t="s">
        <v>126</v>
      </c>
      <c r="X244" s="136">
        <v>1</v>
      </c>
      <c r="Y244" s="132" t="s">
        <v>402</v>
      </c>
      <c r="Z244" s="88" t="s">
        <v>403</v>
      </c>
      <c r="AA244" s="34" t="s">
        <v>264</v>
      </c>
      <c r="AB244" s="5"/>
      <c r="AC244" s="5"/>
      <c r="AE244" s="14">
        <f ca="1"/>
        <v>0.57779577362345103</v>
      </c>
      <c r="AF244" s="14">
        <v>0.74204772319695933</v>
      </c>
    </row>
    <row r="245" spans="1:32" s="11" customFormat="1" ht="28.5" customHeight="1">
      <c r="A245" s="96">
        <v>244</v>
      </c>
      <c r="B245" s="5" t="s">
        <v>84</v>
      </c>
      <c r="C245" s="5" t="s">
        <v>67</v>
      </c>
      <c r="D245" s="5" t="s">
        <v>424</v>
      </c>
      <c r="E245" s="5" t="s">
        <v>96</v>
      </c>
      <c r="F245" s="5" t="s">
        <v>97</v>
      </c>
      <c r="G245" s="35" t="s">
        <v>70</v>
      </c>
      <c r="H245" s="44">
        <v>23233</v>
      </c>
      <c r="I245" s="44">
        <f>Table1[[#This Row],[Contracted Amount]]*AF245</f>
        <v>13178.972552245477</v>
      </c>
      <c r="J245" s="44">
        <f>23228.73*0.9+(23228.73*0.1)</f>
        <v>23228.73</v>
      </c>
      <c r="K245" s="44">
        <f>Table1[[#This Row],[Actual Expenditure (including admin fees)]]*AF245</f>
        <v>13176.550384949041</v>
      </c>
      <c r="L245" s="35" t="s">
        <v>71</v>
      </c>
      <c r="M245" s="42" t="s">
        <v>72</v>
      </c>
      <c r="N245" s="42">
        <v>43411</v>
      </c>
      <c r="O245" s="100" t="s">
        <v>73</v>
      </c>
      <c r="P245" s="42">
        <v>43441</v>
      </c>
      <c r="Q245" s="42">
        <f>Table1[[#This Row],[Site handover date]]+7</f>
        <v>43448</v>
      </c>
      <c r="R245" s="42">
        <v>43542</v>
      </c>
      <c r="S245" s="36" t="s">
        <v>71</v>
      </c>
      <c r="T245" s="89" t="s">
        <v>425</v>
      </c>
      <c r="U245" s="9">
        <v>43580</v>
      </c>
      <c r="V245" s="118" t="s">
        <v>71</v>
      </c>
      <c r="W245" s="118" t="s">
        <v>98</v>
      </c>
      <c r="X245" s="136">
        <v>1</v>
      </c>
      <c r="Y245" s="23">
        <v>141</v>
      </c>
      <c r="Z245" s="34" t="str">
        <f>IF(ISERROR(VLOOKUP(Y245,'Data inputs '!$N$4:$O$23,2,0)),"",(VLOOKUP(Y245,'Data inputs '!$N$4:$O$23,2,0)))</f>
        <v>Japan</v>
      </c>
      <c r="AA245" s="34">
        <v>98720</v>
      </c>
      <c r="AB245" s="7">
        <v>32.841250000000002</v>
      </c>
      <c r="AC245" s="7">
        <v>13.21524</v>
      </c>
      <c r="AE245" s="11">
        <f ca="1"/>
        <v>0.74310284732235998</v>
      </c>
      <c r="AF245" s="11">
        <v>0.56725229424721202</v>
      </c>
    </row>
    <row r="246" spans="1:32" s="11" customFormat="1" ht="28.5" customHeight="1">
      <c r="A246" s="96">
        <v>245</v>
      </c>
      <c r="B246" s="5" t="s">
        <v>84</v>
      </c>
      <c r="C246" s="5" t="s">
        <v>67</v>
      </c>
      <c r="D246" s="5" t="s">
        <v>424</v>
      </c>
      <c r="E246" s="5" t="s">
        <v>96</v>
      </c>
      <c r="F246" s="5" t="s">
        <v>97</v>
      </c>
      <c r="G246" s="35" t="s">
        <v>70</v>
      </c>
      <c r="H246" s="44">
        <v>28135</v>
      </c>
      <c r="I246" s="44">
        <f>Table1[[#This Row],[Contracted Amount]]*AF246</f>
        <v>14803.986658896789</v>
      </c>
      <c r="J246" s="44">
        <f>28119.61*0.9+(28119.61*0.1)</f>
        <v>28119.61</v>
      </c>
      <c r="K246" s="44">
        <f>Table1[[#This Row],[Actual Expenditure (including admin fees)]]*AF246</f>
        <v>14795.888796636957</v>
      </c>
      <c r="L246" s="35" t="s">
        <v>71</v>
      </c>
      <c r="M246" s="42" t="s">
        <v>72</v>
      </c>
      <c r="N246" s="42">
        <v>43411</v>
      </c>
      <c r="O246" s="100" t="s">
        <v>73</v>
      </c>
      <c r="P246" s="42">
        <v>43441</v>
      </c>
      <c r="Q246" s="42">
        <f>Table1[[#This Row],[Site handover date]]+7</f>
        <v>43448</v>
      </c>
      <c r="R246" s="42">
        <v>43542</v>
      </c>
      <c r="S246" s="36" t="s">
        <v>71</v>
      </c>
      <c r="T246" s="89" t="s">
        <v>425</v>
      </c>
      <c r="U246" s="9">
        <v>43580</v>
      </c>
      <c r="V246" s="118" t="s">
        <v>71</v>
      </c>
      <c r="W246" s="118" t="s">
        <v>98</v>
      </c>
      <c r="X246" s="136">
        <v>1</v>
      </c>
      <c r="Y246" s="23">
        <v>141</v>
      </c>
      <c r="Z246" s="34" t="str">
        <f>IF(ISERROR(VLOOKUP(Y246,'Data inputs '!$N$4:$O$23,2,0)),"",(VLOOKUP(Y246,'Data inputs '!$N$4:$O$23,2,0)))</f>
        <v>Japan</v>
      </c>
      <c r="AA246" s="34">
        <v>98720</v>
      </c>
      <c r="AB246" s="7">
        <v>32.849609999999998</v>
      </c>
      <c r="AC246" s="7">
        <v>13.205730000000001</v>
      </c>
      <c r="AE246" s="11">
        <f ca="1"/>
        <v>0.68683492840014015</v>
      </c>
      <c r="AF246" s="11">
        <v>0.5261768849794487</v>
      </c>
    </row>
    <row r="247" spans="1:32" s="11" customFormat="1" ht="28.5" customHeight="1">
      <c r="A247" s="96">
        <v>246</v>
      </c>
      <c r="B247" s="5" t="s">
        <v>84</v>
      </c>
      <c r="C247" s="5" t="s">
        <v>67</v>
      </c>
      <c r="D247" s="5" t="s">
        <v>424</v>
      </c>
      <c r="E247" s="5" t="s">
        <v>96</v>
      </c>
      <c r="F247" s="5" t="s">
        <v>97</v>
      </c>
      <c r="G247" s="35" t="s">
        <v>70</v>
      </c>
      <c r="H247" s="44">
        <v>45334</v>
      </c>
      <c r="I247" s="44">
        <f>Table1[[#This Row],[Contracted Amount]]*AF247</f>
        <v>28254.265804390441</v>
      </c>
      <c r="J247" s="44">
        <f>36389.69*0.9+(36389.69*0.1)</f>
        <v>36389.69</v>
      </c>
      <c r="K247" s="44">
        <f>Table1[[#This Row],[Actual Expenditure (including admin fees)]]*AF247</f>
        <v>22679.75413154297</v>
      </c>
      <c r="L247" s="35" t="s">
        <v>71</v>
      </c>
      <c r="M247" s="42" t="s">
        <v>72</v>
      </c>
      <c r="N247" s="42">
        <v>43411</v>
      </c>
      <c r="O247" s="100" t="s">
        <v>73</v>
      </c>
      <c r="P247" s="42">
        <v>43441</v>
      </c>
      <c r="Q247" s="42">
        <f>Table1[[#This Row],[Site handover date]]+7</f>
        <v>43448</v>
      </c>
      <c r="R247" s="42">
        <v>43542</v>
      </c>
      <c r="S247" s="36" t="s">
        <v>71</v>
      </c>
      <c r="T247" s="89" t="s">
        <v>425</v>
      </c>
      <c r="U247" s="9">
        <v>43580</v>
      </c>
      <c r="V247" s="118" t="s">
        <v>71</v>
      </c>
      <c r="W247" s="118" t="s">
        <v>98</v>
      </c>
      <c r="X247" s="136">
        <v>1</v>
      </c>
      <c r="Y247" s="23">
        <v>141</v>
      </c>
      <c r="Z247" s="34" t="str">
        <f>IF(ISERROR(VLOOKUP(Y247,'Data inputs '!$N$4:$O$23,2,0)),"",(VLOOKUP(Y247,'Data inputs '!$N$4:$O$23,2,0)))</f>
        <v>Japan</v>
      </c>
      <c r="AA247" s="34">
        <v>98720</v>
      </c>
      <c r="AB247" s="7">
        <v>32.832090000000001</v>
      </c>
      <c r="AC247" s="7">
        <v>13.236599999999999</v>
      </c>
      <c r="AE247" s="11">
        <f ca="1"/>
        <v>0.57327756715855582</v>
      </c>
      <c r="AF247" s="11">
        <v>0.62324669793952536</v>
      </c>
    </row>
    <row r="248" spans="1:32" s="11" customFormat="1" ht="28.5" customHeight="1">
      <c r="A248" s="96">
        <v>247</v>
      </c>
      <c r="B248" s="5" t="s">
        <v>84</v>
      </c>
      <c r="C248" s="5" t="s">
        <v>67</v>
      </c>
      <c r="D248" s="5" t="s">
        <v>424</v>
      </c>
      <c r="E248" s="5" t="s">
        <v>96</v>
      </c>
      <c r="F248" s="5" t="s">
        <v>97</v>
      </c>
      <c r="G248" s="35" t="s">
        <v>70</v>
      </c>
      <c r="H248" s="44">
        <v>27057</v>
      </c>
      <c r="I248" s="44">
        <f>Table1[[#This Row],[Contracted Amount]]*AF248</f>
        <v>15508.631882977723</v>
      </c>
      <c r="J248" s="44">
        <f>26929.49*0.9+(26929.49*0.1)</f>
        <v>26929.49</v>
      </c>
      <c r="K248" s="44">
        <f>Table1[[#This Row],[Actual Expenditure (including admin fees)]]*AF248</f>
        <v>15435.545226977483</v>
      </c>
      <c r="L248" s="35" t="s">
        <v>71</v>
      </c>
      <c r="M248" s="42" t="s">
        <v>72</v>
      </c>
      <c r="N248" s="42">
        <v>43424</v>
      </c>
      <c r="O248" s="100" t="s">
        <v>73</v>
      </c>
      <c r="P248" s="42">
        <v>43431</v>
      </c>
      <c r="Q248" s="42">
        <f>Table1[[#This Row],[Site handover date]]+7</f>
        <v>43438</v>
      </c>
      <c r="R248" s="42">
        <v>43542</v>
      </c>
      <c r="S248" s="36" t="s">
        <v>71</v>
      </c>
      <c r="T248" s="89" t="s">
        <v>425</v>
      </c>
      <c r="U248" s="9">
        <v>43580</v>
      </c>
      <c r="V248" s="118" t="s">
        <v>71</v>
      </c>
      <c r="W248" s="118" t="s">
        <v>98</v>
      </c>
      <c r="X248" s="136">
        <v>1</v>
      </c>
      <c r="Y248" s="23">
        <v>10159</v>
      </c>
      <c r="Z248" s="34" t="str">
        <f>IF(ISERROR(VLOOKUP(Y248,'Data inputs '!$N$4:$O$23,2,0)),"",(VLOOKUP(Y248,'Data inputs '!$N$4:$O$23,2,0)))</f>
        <v>EU</v>
      </c>
      <c r="AA248" s="34">
        <v>112158</v>
      </c>
      <c r="AB248" s="7">
        <v>32.801870000000001</v>
      </c>
      <c r="AC248" s="7">
        <v>13.28237</v>
      </c>
      <c r="AE248" s="11">
        <f ca="1"/>
        <v>0.69398311666695411</v>
      </c>
      <c r="AF248" s="11">
        <v>0.57318371892588693</v>
      </c>
    </row>
    <row r="249" spans="1:32" s="11" customFormat="1" ht="28.5" customHeight="1">
      <c r="A249" s="96">
        <v>248</v>
      </c>
      <c r="B249" s="5" t="s">
        <v>84</v>
      </c>
      <c r="C249" s="5" t="s">
        <v>67</v>
      </c>
      <c r="D249" s="5" t="s">
        <v>424</v>
      </c>
      <c r="E249" s="5" t="s">
        <v>96</v>
      </c>
      <c r="F249" s="5" t="s">
        <v>97</v>
      </c>
      <c r="G249" s="35" t="s">
        <v>70</v>
      </c>
      <c r="H249" s="44">
        <v>37240</v>
      </c>
      <c r="I249" s="44">
        <f>Table1[[#This Row],[Contracted Amount]]*AF249</f>
        <v>25666.461810834233</v>
      </c>
      <c r="J249" s="44">
        <f>37037.12*0.9+(37037.12*0.1)</f>
        <v>37037.120000000003</v>
      </c>
      <c r="K249" s="44">
        <f>Table1[[#This Row],[Actual Expenditure (including admin fees)]]*AF249</f>
        <v>25526.633352934608</v>
      </c>
      <c r="L249" s="35" t="s">
        <v>71</v>
      </c>
      <c r="M249" s="42" t="s">
        <v>72</v>
      </c>
      <c r="N249" s="42">
        <v>43424</v>
      </c>
      <c r="O249" s="100" t="s">
        <v>73</v>
      </c>
      <c r="P249" s="42">
        <v>43431</v>
      </c>
      <c r="Q249" s="42">
        <f>Table1[[#This Row],[Site handover date]]+7</f>
        <v>43438</v>
      </c>
      <c r="R249" s="42">
        <v>43542</v>
      </c>
      <c r="S249" s="36" t="s">
        <v>71</v>
      </c>
      <c r="T249" s="89" t="s">
        <v>425</v>
      </c>
      <c r="U249" s="9">
        <v>43580</v>
      </c>
      <c r="V249" s="118" t="s">
        <v>71</v>
      </c>
      <c r="W249" s="118" t="s">
        <v>98</v>
      </c>
      <c r="X249" s="136">
        <v>1</v>
      </c>
      <c r="Y249" s="23">
        <v>10159</v>
      </c>
      <c r="Z249" s="34" t="str">
        <f>IF(ISERROR(VLOOKUP(Y249,'Data inputs '!$N$4:$O$23,2,0)),"",(VLOOKUP(Y249,'Data inputs '!$N$4:$O$23,2,0)))</f>
        <v>EU</v>
      </c>
      <c r="AA249" s="34">
        <v>112158</v>
      </c>
      <c r="AB249" s="7">
        <v>32.859050000000003</v>
      </c>
      <c r="AC249" s="7">
        <v>13.20703</v>
      </c>
      <c r="AE249" s="11">
        <f ca="1"/>
        <v>0.6282789844228921</v>
      </c>
      <c r="AF249" s="11">
        <v>0.68921755668190743</v>
      </c>
    </row>
    <row r="250" spans="1:32" s="11" customFormat="1" ht="28.5" customHeight="1">
      <c r="A250" s="96">
        <v>249</v>
      </c>
      <c r="B250" s="5" t="s">
        <v>84</v>
      </c>
      <c r="C250" s="5" t="s">
        <v>67</v>
      </c>
      <c r="D250" s="5" t="s">
        <v>424</v>
      </c>
      <c r="E250" s="5" t="s">
        <v>96</v>
      </c>
      <c r="F250" s="5" t="s">
        <v>97</v>
      </c>
      <c r="G250" s="35" t="s">
        <v>70</v>
      </c>
      <c r="H250" s="44">
        <v>24702</v>
      </c>
      <c r="I250" s="44">
        <f>Table1[[#This Row],[Contracted Amount]]*AF250</f>
        <v>17989.168715923206</v>
      </c>
      <c r="J250" s="44">
        <f>24545*0.9+(24545*0.1)</f>
        <v>24545</v>
      </c>
      <c r="K250" s="44">
        <f>Table1[[#This Row],[Actual Expenditure (including admin fees)]]*AF250</f>
        <v>17874.833864963774</v>
      </c>
      <c r="L250" s="35" t="s">
        <v>71</v>
      </c>
      <c r="M250" s="42" t="s">
        <v>72</v>
      </c>
      <c r="N250" s="42">
        <v>43424</v>
      </c>
      <c r="O250" s="100" t="s">
        <v>73</v>
      </c>
      <c r="P250" s="42">
        <v>43431</v>
      </c>
      <c r="Q250" s="42">
        <f>Table1[[#This Row],[Site handover date]]+7</f>
        <v>43438</v>
      </c>
      <c r="R250" s="42">
        <v>43542</v>
      </c>
      <c r="S250" s="36" t="s">
        <v>71</v>
      </c>
      <c r="T250" s="89" t="s">
        <v>425</v>
      </c>
      <c r="U250" s="9">
        <v>43580</v>
      </c>
      <c r="V250" s="118" t="s">
        <v>71</v>
      </c>
      <c r="W250" s="118" t="s">
        <v>98</v>
      </c>
      <c r="X250" s="136">
        <v>1</v>
      </c>
      <c r="Y250" s="23">
        <v>10159</v>
      </c>
      <c r="Z250" s="34" t="str">
        <f>IF(ISERROR(VLOOKUP(Y250,'Data inputs '!$N$4:$O$23,2,0)),"",(VLOOKUP(Y250,'Data inputs '!$N$4:$O$23,2,0)))</f>
        <v>EU</v>
      </c>
      <c r="AA250" s="34">
        <v>112158</v>
      </c>
      <c r="AB250" s="7">
        <v>32.818530000000003</v>
      </c>
      <c r="AC250" s="7">
        <v>13.23419</v>
      </c>
      <c r="AE250" s="11">
        <f ca="1"/>
        <v>0.59793735896734157</v>
      </c>
      <c r="AF250" s="11">
        <v>0.72824745834034521</v>
      </c>
    </row>
    <row r="251" spans="1:32" s="11" customFormat="1" ht="28.5" customHeight="1">
      <c r="A251" s="96">
        <v>250</v>
      </c>
      <c r="B251" s="5" t="s">
        <v>66</v>
      </c>
      <c r="C251" s="5" t="s">
        <v>67</v>
      </c>
      <c r="D251" s="5" t="s">
        <v>424</v>
      </c>
      <c r="E251" s="5" t="s">
        <v>4</v>
      </c>
      <c r="F251" s="5" t="s">
        <v>125</v>
      </c>
      <c r="G251" s="35" t="s">
        <v>70</v>
      </c>
      <c r="H251" s="46">
        <f>1690653.45/65</f>
        <v>26010.053076923075</v>
      </c>
      <c r="I251" s="46">
        <f>Table1[[#This Row],[Contracted Amount]]*AF251</f>
        <v>17656.197818391905</v>
      </c>
      <c r="J251" s="46">
        <f>1404237.94/65</f>
        <v>21603.660615384615</v>
      </c>
      <c r="K251" s="46">
        <f>Table1[[#This Row],[Actual Expenditure (including admin fees)]]*AF251</f>
        <v>14665.04140912565</v>
      </c>
      <c r="L251" s="35" t="s">
        <v>71</v>
      </c>
      <c r="M251" s="42" t="s">
        <v>72</v>
      </c>
      <c r="N251" s="42">
        <v>43494</v>
      </c>
      <c r="O251" s="100" t="s">
        <v>73</v>
      </c>
      <c r="P251" s="42"/>
      <c r="Q251" s="42"/>
      <c r="R251" s="42">
        <v>44140</v>
      </c>
      <c r="S251" s="36" t="s">
        <v>71</v>
      </c>
      <c r="T251" s="89" t="s">
        <v>401</v>
      </c>
      <c r="U251" s="9">
        <v>44146</v>
      </c>
      <c r="V251" s="118" t="s">
        <v>71</v>
      </c>
      <c r="W251" s="118" t="s">
        <v>126</v>
      </c>
      <c r="X251" s="136">
        <v>1</v>
      </c>
      <c r="Y251" s="132" t="s">
        <v>402</v>
      </c>
      <c r="Z251" s="88" t="s">
        <v>403</v>
      </c>
      <c r="AA251" s="34" t="s">
        <v>264</v>
      </c>
      <c r="AB251" s="7"/>
      <c r="AC251" s="7"/>
      <c r="AE251" s="11">
        <f ca="1"/>
        <v>0.66745561473762327</v>
      </c>
      <c r="AF251" s="11">
        <v>0.67882206030779035</v>
      </c>
    </row>
    <row r="252" spans="1:32" s="11" customFormat="1" ht="28.5" customHeight="1">
      <c r="A252" s="96">
        <v>251</v>
      </c>
      <c r="B252" s="5" t="s">
        <v>66</v>
      </c>
      <c r="C252" s="5" t="s">
        <v>67</v>
      </c>
      <c r="D252" s="5" t="s">
        <v>424</v>
      </c>
      <c r="E252" s="5" t="s">
        <v>4</v>
      </c>
      <c r="F252" s="5" t="s">
        <v>125</v>
      </c>
      <c r="G252" s="35" t="s">
        <v>70</v>
      </c>
      <c r="H252" s="46">
        <f>1690653.45/65</f>
        <v>26010.053076923075</v>
      </c>
      <c r="I252" s="46">
        <f>Table1[[#This Row],[Contracted Amount]]*AF252</f>
        <v>16458.697013331395</v>
      </c>
      <c r="J252" s="46">
        <f>1404237.94/65</f>
        <v>21603.660615384615</v>
      </c>
      <c r="K252" s="46">
        <f>Table1[[#This Row],[Actual Expenditure (including admin fees)]]*AF252</f>
        <v>13670.410567632669</v>
      </c>
      <c r="L252" s="35" t="s">
        <v>71</v>
      </c>
      <c r="M252" s="42" t="s">
        <v>72</v>
      </c>
      <c r="N252" s="42">
        <v>43494</v>
      </c>
      <c r="O252" s="100" t="s">
        <v>73</v>
      </c>
      <c r="P252" s="42"/>
      <c r="Q252" s="42"/>
      <c r="R252" s="42">
        <v>44140</v>
      </c>
      <c r="S252" s="36" t="s">
        <v>71</v>
      </c>
      <c r="T252" s="89" t="s">
        <v>401</v>
      </c>
      <c r="U252" s="9">
        <v>44146</v>
      </c>
      <c r="V252" s="118" t="s">
        <v>71</v>
      </c>
      <c r="W252" s="118" t="s">
        <v>126</v>
      </c>
      <c r="X252" s="136">
        <v>1</v>
      </c>
      <c r="Y252" s="132" t="s">
        <v>402</v>
      </c>
      <c r="Z252" s="88" t="s">
        <v>403</v>
      </c>
      <c r="AA252" s="34" t="s">
        <v>264</v>
      </c>
      <c r="AB252" s="7"/>
      <c r="AC252" s="7"/>
      <c r="AE252" s="11">
        <f ca="1"/>
        <v>0.60990011916422138</v>
      </c>
      <c r="AF252" s="11">
        <v>0.63278213868521704</v>
      </c>
    </row>
    <row r="253" spans="1:32" s="11" customFormat="1" ht="28.5" customHeight="1">
      <c r="A253" s="96">
        <v>252</v>
      </c>
      <c r="B253" s="5" t="s">
        <v>66</v>
      </c>
      <c r="C253" s="5" t="s">
        <v>67</v>
      </c>
      <c r="D253" s="5" t="s">
        <v>424</v>
      </c>
      <c r="E253" s="5" t="s">
        <v>4</v>
      </c>
      <c r="F253" s="5" t="s">
        <v>125</v>
      </c>
      <c r="G253" s="35" t="s">
        <v>70</v>
      </c>
      <c r="H253" s="46">
        <f>1690653.45/65</f>
        <v>26010.053076923075</v>
      </c>
      <c r="I253" s="46">
        <f>Table1[[#This Row],[Contracted Amount]]*AF253</f>
        <v>14409.387631729878</v>
      </c>
      <c r="J253" s="46">
        <f>1404237.94/65</f>
        <v>21603.660615384615</v>
      </c>
      <c r="K253" s="46">
        <f>Table1[[#This Row],[Actual Expenditure (including admin fees)]]*AF253</f>
        <v>11968.277002387356</v>
      </c>
      <c r="L253" s="35" t="s">
        <v>71</v>
      </c>
      <c r="M253" s="42" t="s">
        <v>72</v>
      </c>
      <c r="N253" s="42">
        <v>43494</v>
      </c>
      <c r="O253" s="100" t="s">
        <v>73</v>
      </c>
      <c r="P253" s="42"/>
      <c r="Q253" s="42"/>
      <c r="R253" s="42">
        <v>44140</v>
      </c>
      <c r="S253" s="36" t="s">
        <v>71</v>
      </c>
      <c r="T253" s="89" t="s">
        <v>401</v>
      </c>
      <c r="U253" s="9">
        <v>44146</v>
      </c>
      <c r="V253" s="118" t="s">
        <v>71</v>
      </c>
      <c r="W253" s="118" t="s">
        <v>126</v>
      </c>
      <c r="X253" s="136">
        <v>1</v>
      </c>
      <c r="Y253" s="132" t="s">
        <v>402</v>
      </c>
      <c r="Z253" s="88" t="s">
        <v>403</v>
      </c>
      <c r="AA253" s="34" t="s">
        <v>264</v>
      </c>
      <c r="AB253" s="7"/>
      <c r="AC253" s="7"/>
      <c r="AE253" s="11">
        <f ca="1"/>
        <v>0.6444529467510991</v>
      </c>
      <c r="AF253" s="11">
        <v>0.55399301143734814</v>
      </c>
    </row>
    <row r="254" spans="1:32" s="11" customFormat="1" ht="28.5" customHeight="1">
      <c r="A254" s="96">
        <v>253</v>
      </c>
      <c r="B254" s="5" t="s">
        <v>66</v>
      </c>
      <c r="C254" s="5" t="s">
        <v>67</v>
      </c>
      <c r="D254" s="5" t="s">
        <v>424</v>
      </c>
      <c r="E254" s="5" t="s">
        <v>4</v>
      </c>
      <c r="F254" s="5" t="s">
        <v>125</v>
      </c>
      <c r="G254" s="35" t="s">
        <v>70</v>
      </c>
      <c r="H254" s="46">
        <f>1690653.45/65</f>
        <v>26010.053076923075</v>
      </c>
      <c r="I254" s="46">
        <f>Table1[[#This Row],[Contracted Amount]]*AF254</f>
        <v>15626.297488713662</v>
      </c>
      <c r="J254" s="46">
        <f>1404237.94/65</f>
        <v>21603.660615384615</v>
      </c>
      <c r="K254" s="46">
        <f>Table1[[#This Row],[Actual Expenditure (including admin fees)]]*AF254</f>
        <v>12979.028786401168</v>
      </c>
      <c r="L254" s="35" t="s">
        <v>71</v>
      </c>
      <c r="M254" s="42" t="s">
        <v>72</v>
      </c>
      <c r="N254" s="42">
        <v>43494</v>
      </c>
      <c r="O254" s="100" t="s">
        <v>73</v>
      </c>
      <c r="P254" s="42"/>
      <c r="Q254" s="42"/>
      <c r="R254" s="42">
        <v>44140</v>
      </c>
      <c r="S254" s="36" t="s">
        <v>71</v>
      </c>
      <c r="T254" s="89" t="s">
        <v>401</v>
      </c>
      <c r="U254" s="9">
        <v>44146</v>
      </c>
      <c r="V254" s="118" t="s">
        <v>71</v>
      </c>
      <c r="W254" s="118" t="s">
        <v>126</v>
      </c>
      <c r="X254" s="136">
        <v>1</v>
      </c>
      <c r="Y254" s="132" t="s">
        <v>402</v>
      </c>
      <c r="Z254" s="88" t="s">
        <v>403</v>
      </c>
      <c r="AA254" s="34" t="s">
        <v>264</v>
      </c>
      <c r="AB254" s="7"/>
      <c r="AC254" s="7"/>
      <c r="AE254" s="11">
        <f ca="1"/>
        <v>0.66123546671034461</v>
      </c>
      <c r="AF254" s="11">
        <v>0.6007791465284551</v>
      </c>
    </row>
    <row r="255" spans="1:32" s="11" customFormat="1" ht="28.5" customHeight="1">
      <c r="A255" s="96">
        <v>254</v>
      </c>
      <c r="B255" s="5" t="s">
        <v>66</v>
      </c>
      <c r="C255" s="5" t="s">
        <v>67</v>
      </c>
      <c r="D255" s="5" t="s">
        <v>424</v>
      </c>
      <c r="E255" s="5" t="s">
        <v>4</v>
      </c>
      <c r="F255" s="5" t="s">
        <v>125</v>
      </c>
      <c r="G255" s="35" t="s">
        <v>70</v>
      </c>
      <c r="H255" s="46">
        <f>1690653.45/65</f>
        <v>26010.053076923075</v>
      </c>
      <c r="I255" s="46">
        <f>Table1[[#This Row],[Contracted Amount]]*AF255</f>
        <v>14730.472064664105</v>
      </c>
      <c r="J255" s="46">
        <f>1404237.94/65</f>
        <v>21603.660615384615</v>
      </c>
      <c r="K255" s="46">
        <f>Table1[[#This Row],[Actual Expenditure (including admin fees)]]*AF255</f>
        <v>12234.966158979221</v>
      </c>
      <c r="L255" s="35" t="s">
        <v>71</v>
      </c>
      <c r="M255" s="42" t="s">
        <v>72</v>
      </c>
      <c r="N255" s="42">
        <v>43494</v>
      </c>
      <c r="O255" s="100" t="s">
        <v>73</v>
      </c>
      <c r="P255" s="42"/>
      <c r="Q255" s="42"/>
      <c r="R255" s="42">
        <v>44140</v>
      </c>
      <c r="S255" s="36" t="s">
        <v>71</v>
      </c>
      <c r="T255" s="89" t="s">
        <v>401</v>
      </c>
      <c r="U255" s="9">
        <v>44146</v>
      </c>
      <c r="V255" s="118" t="s">
        <v>71</v>
      </c>
      <c r="W255" s="118" t="s">
        <v>126</v>
      </c>
      <c r="X255" s="136">
        <v>1</v>
      </c>
      <c r="Y255" s="132" t="s">
        <v>402</v>
      </c>
      <c r="Z255" s="88" t="s">
        <v>403</v>
      </c>
      <c r="AA255" s="34" t="s">
        <v>264</v>
      </c>
      <c r="AB255" s="7"/>
      <c r="AC255" s="7"/>
      <c r="AE255" s="11">
        <f ca="1"/>
        <v>0.55693803538321318</v>
      </c>
      <c r="AF255" s="11">
        <v>0.56633763956957994</v>
      </c>
    </row>
    <row r="256" spans="1:32" s="11" customFormat="1" ht="28.5" customHeight="1">
      <c r="A256" s="96">
        <v>255</v>
      </c>
      <c r="B256" s="5" t="s">
        <v>84</v>
      </c>
      <c r="C256" s="5" t="s">
        <v>67</v>
      </c>
      <c r="D256" s="5" t="s">
        <v>426</v>
      </c>
      <c r="E256" s="5" t="s">
        <v>96</v>
      </c>
      <c r="F256" s="5" t="s">
        <v>97</v>
      </c>
      <c r="G256" s="35" t="s">
        <v>70</v>
      </c>
      <c r="H256" s="44">
        <v>24030</v>
      </c>
      <c r="I256" s="44">
        <f>Table1[[#This Row],[Contracted Amount]]*AF256</f>
        <v>16510.122113453064</v>
      </c>
      <c r="J256" s="44">
        <f>23329.33</f>
        <v>23329.33</v>
      </c>
      <c r="K256" s="44">
        <f>Table1[[#This Row],[Actual Expenditure (including admin fees)]]*AF256</f>
        <v>16028.717733043861</v>
      </c>
      <c r="L256" s="35" t="s">
        <v>71</v>
      </c>
      <c r="M256" s="42" t="s">
        <v>72</v>
      </c>
      <c r="N256" s="42">
        <v>43396</v>
      </c>
      <c r="O256" s="100" t="s">
        <v>73</v>
      </c>
      <c r="P256" s="42">
        <v>43426</v>
      </c>
      <c r="Q256" s="42">
        <f>Table1[[#This Row],[Site handover date]]+7</f>
        <v>43433</v>
      </c>
      <c r="R256" s="42">
        <v>43544</v>
      </c>
      <c r="S256" s="36" t="s">
        <v>71</v>
      </c>
      <c r="T256" s="89" t="s">
        <v>427</v>
      </c>
      <c r="U256" s="9">
        <v>43566</v>
      </c>
      <c r="V256" s="118" t="s">
        <v>71</v>
      </c>
      <c r="W256" s="118" t="s">
        <v>98</v>
      </c>
      <c r="X256" s="136">
        <v>1</v>
      </c>
      <c r="Y256" s="23">
        <v>10283</v>
      </c>
      <c r="Z256" s="34" t="str">
        <f>IF(ISERROR(VLOOKUP(Y256,'Data inputs '!$N$4:$O$23,2,0)),"",(VLOOKUP(Y256,'Data inputs '!$N$4:$O$23,2,0)))</f>
        <v>Germay(KfW)</v>
      </c>
      <c r="AA256" s="34">
        <v>112158</v>
      </c>
      <c r="AB256" s="7">
        <v>32.855873000000003</v>
      </c>
      <c r="AC256" s="7">
        <v>13.095475</v>
      </c>
      <c r="AE256" s="11">
        <f ca="1"/>
        <v>0.69551092417883698</v>
      </c>
      <c r="AF256" s="11">
        <v>0.68706292606962394</v>
      </c>
    </row>
    <row r="257" spans="1:32" s="11" customFormat="1" ht="28.5" customHeight="1">
      <c r="A257" s="96">
        <v>256</v>
      </c>
      <c r="B257" s="5" t="s">
        <v>84</v>
      </c>
      <c r="C257" s="5" t="s">
        <v>67</v>
      </c>
      <c r="D257" s="5" t="s">
        <v>426</v>
      </c>
      <c r="E257" s="5" t="s">
        <v>96</v>
      </c>
      <c r="F257" s="5" t="s">
        <v>97</v>
      </c>
      <c r="G257" s="35" t="s">
        <v>70</v>
      </c>
      <c r="H257" s="44">
        <v>32870</v>
      </c>
      <c r="I257" s="44">
        <f>Table1[[#This Row],[Contracted Amount]]*AF257</f>
        <v>20019.725050198853</v>
      </c>
      <c r="J257" s="44">
        <f>32431.76</f>
        <v>32431.759999999998</v>
      </c>
      <c r="K257" s="44">
        <f>Table1[[#This Row],[Actual Expenditure (including admin fees)]]*AF257</f>
        <v>19752.811624400278</v>
      </c>
      <c r="L257" s="35" t="s">
        <v>71</v>
      </c>
      <c r="M257" s="42" t="s">
        <v>72</v>
      </c>
      <c r="N257" s="42">
        <v>43396</v>
      </c>
      <c r="O257" s="100" t="s">
        <v>73</v>
      </c>
      <c r="P257" s="42">
        <v>43426</v>
      </c>
      <c r="Q257" s="42">
        <f>Table1[[#This Row],[Site handover date]]+7</f>
        <v>43433</v>
      </c>
      <c r="R257" s="42">
        <v>43536</v>
      </c>
      <c r="S257" s="36" t="s">
        <v>71</v>
      </c>
      <c r="T257" s="89" t="s">
        <v>427</v>
      </c>
      <c r="U257" s="9">
        <v>43566</v>
      </c>
      <c r="V257" s="118" t="s">
        <v>71</v>
      </c>
      <c r="W257" s="118" t="s">
        <v>98</v>
      </c>
      <c r="X257" s="136">
        <v>1</v>
      </c>
      <c r="Y257" s="23">
        <v>10283</v>
      </c>
      <c r="Z257" s="34" t="str">
        <f>IF(ISERROR(VLOOKUP(Y257,'Data inputs '!$N$4:$O$23,2,0)),"",(VLOOKUP(Y257,'Data inputs '!$N$4:$O$23,2,0)))</f>
        <v>Germay(KfW)</v>
      </c>
      <c r="AA257" s="34">
        <v>112158</v>
      </c>
      <c r="AB257" s="7">
        <v>32.865172999999999</v>
      </c>
      <c r="AC257" s="7">
        <v>13.125793</v>
      </c>
      <c r="AE257" s="11">
        <f ca="1"/>
        <v>0.50013019254126811</v>
      </c>
      <c r="AF257" s="11">
        <v>0.60905765288101166</v>
      </c>
    </row>
    <row r="258" spans="1:32" s="11" customFormat="1" ht="28.5" customHeight="1">
      <c r="A258" s="96">
        <v>257</v>
      </c>
      <c r="B258" s="5" t="s">
        <v>84</v>
      </c>
      <c r="C258" s="5" t="s">
        <v>67</v>
      </c>
      <c r="D258" s="5" t="s">
        <v>426</v>
      </c>
      <c r="E258" s="5" t="s">
        <v>96</v>
      </c>
      <c r="F258" s="5" t="s">
        <v>97</v>
      </c>
      <c r="G258" s="35" t="s">
        <v>70</v>
      </c>
      <c r="H258" s="44">
        <v>16547.5</v>
      </c>
      <c r="I258" s="44">
        <f>Table1[[#This Row],[Contracted Amount]]*AF258</f>
        <v>11625.41865417872</v>
      </c>
      <c r="J258" s="44">
        <f>15844.6</f>
        <v>15844.6</v>
      </c>
      <c r="K258" s="44">
        <f>Table1[[#This Row],[Actual Expenditure (including admin fees)]]*AF258</f>
        <v>11131.597426076456</v>
      </c>
      <c r="L258" s="35" t="s">
        <v>71</v>
      </c>
      <c r="M258" s="42" t="s">
        <v>72</v>
      </c>
      <c r="N258" s="42">
        <v>43396</v>
      </c>
      <c r="O258" s="100" t="s">
        <v>73</v>
      </c>
      <c r="P258" s="42">
        <v>43426</v>
      </c>
      <c r="Q258" s="42">
        <f>Table1[[#This Row],[Site handover date]]+7</f>
        <v>43433</v>
      </c>
      <c r="R258" s="42">
        <v>43535</v>
      </c>
      <c r="S258" s="36" t="s">
        <v>71</v>
      </c>
      <c r="T258" s="89" t="s">
        <v>427</v>
      </c>
      <c r="U258" s="9">
        <v>43566</v>
      </c>
      <c r="V258" s="118" t="s">
        <v>71</v>
      </c>
      <c r="W258" s="118" t="s">
        <v>98</v>
      </c>
      <c r="X258" s="136">
        <v>1</v>
      </c>
      <c r="Y258" s="23">
        <v>10283</v>
      </c>
      <c r="Z258" s="34" t="str">
        <f>IF(ISERROR(VLOOKUP(Y258,'Data inputs '!$N$4:$O$23,2,0)),"",(VLOOKUP(Y258,'Data inputs '!$N$4:$O$23,2,0)))</f>
        <v>Germay(KfW)</v>
      </c>
      <c r="AA258" s="34">
        <v>112158</v>
      </c>
      <c r="AB258" s="7">
        <v>32.846597000000003</v>
      </c>
      <c r="AC258" s="7">
        <v>13.132059</v>
      </c>
      <c r="AE258" s="11">
        <f ca="1"/>
        <v>0.6036789229274937</v>
      </c>
      <c r="AF258" s="11">
        <v>0.7025483398808714</v>
      </c>
    </row>
    <row r="259" spans="1:32" s="11" customFormat="1" ht="28.5" customHeight="1">
      <c r="A259" s="96">
        <v>258</v>
      </c>
      <c r="B259" s="5" t="s">
        <v>84</v>
      </c>
      <c r="C259" s="5" t="s">
        <v>67</v>
      </c>
      <c r="D259" s="5" t="s">
        <v>426</v>
      </c>
      <c r="E259" s="5" t="s">
        <v>96</v>
      </c>
      <c r="F259" s="5" t="s">
        <v>97</v>
      </c>
      <c r="G259" s="35" t="s">
        <v>70</v>
      </c>
      <c r="H259" s="44">
        <v>23541</v>
      </c>
      <c r="I259" s="44">
        <f>Table1[[#This Row],[Contracted Amount]]*AF259</f>
        <v>14154.494995951158</v>
      </c>
      <c r="J259" s="44">
        <f>(22426.3+396)*0.9+(22426.3+396)*0.1</f>
        <v>22822.3</v>
      </c>
      <c r="K259" s="44">
        <f>Table1[[#This Row],[Actual Expenditure (including admin fees)]]*AF259</f>
        <v>13722.362310271275</v>
      </c>
      <c r="L259" s="35" t="s">
        <v>71</v>
      </c>
      <c r="M259" s="42" t="s">
        <v>72</v>
      </c>
      <c r="N259" s="92">
        <v>43392</v>
      </c>
      <c r="O259" s="100" t="s">
        <v>73</v>
      </c>
      <c r="P259" s="42">
        <v>43421</v>
      </c>
      <c r="Q259" s="42">
        <f>Table1[[#This Row],[Site handover date]]+7</f>
        <v>43428</v>
      </c>
      <c r="R259" s="42">
        <v>43525</v>
      </c>
      <c r="S259" s="36" t="s">
        <v>71</v>
      </c>
      <c r="T259" s="89" t="s">
        <v>278</v>
      </c>
      <c r="U259" s="9">
        <v>43550</v>
      </c>
      <c r="V259" s="118" t="s">
        <v>71</v>
      </c>
      <c r="W259" s="118" t="s">
        <v>98</v>
      </c>
      <c r="X259" s="136">
        <v>1</v>
      </c>
      <c r="Y259" s="23">
        <v>141</v>
      </c>
      <c r="Z259" s="34" t="str">
        <f>IF(ISERROR(VLOOKUP(Y259,'Data inputs '!$N$4:$O$23,2,0)),"",(VLOOKUP(Y259,'Data inputs '!$N$4:$O$23,2,0)))</f>
        <v>Japan</v>
      </c>
      <c r="AA259" s="34">
        <v>98720</v>
      </c>
      <c r="AB259" s="7">
        <v>32.843302999999999</v>
      </c>
      <c r="AC259" s="7">
        <v>13.117146999999999</v>
      </c>
      <c r="AE259" s="11">
        <f ca="1"/>
        <v>0.74741760307126393</v>
      </c>
      <c r="AF259" s="11">
        <v>0.60126991189631529</v>
      </c>
    </row>
    <row r="260" spans="1:32" s="11" customFormat="1" ht="28.5" customHeight="1">
      <c r="A260" s="96">
        <v>259</v>
      </c>
      <c r="B260" s="5" t="s">
        <v>84</v>
      </c>
      <c r="C260" s="5" t="s">
        <v>67</v>
      </c>
      <c r="D260" s="5" t="s">
        <v>426</v>
      </c>
      <c r="E260" s="5" t="s">
        <v>96</v>
      </c>
      <c r="F260" s="5" t="s">
        <v>97</v>
      </c>
      <c r="G260" s="35" t="s">
        <v>70</v>
      </c>
      <c r="H260" s="44">
        <v>23181</v>
      </c>
      <c r="I260" s="44">
        <f>Table1[[#This Row],[Contracted Amount]]*AF260</f>
        <v>14166.367030638237</v>
      </c>
      <c r="J260" s="44">
        <f>(23225.52+335.38)*0.9+(23225.52+335.38)*0.1</f>
        <v>23560.9</v>
      </c>
      <c r="K260" s="44">
        <f>Table1[[#This Row],[Actual Expenditure (including admin fees)]]*AF260</f>
        <v>14398.53142539858</v>
      </c>
      <c r="L260" s="35" t="s">
        <v>71</v>
      </c>
      <c r="M260" s="42" t="s">
        <v>72</v>
      </c>
      <c r="N260" s="92">
        <v>43392</v>
      </c>
      <c r="O260" s="100" t="s">
        <v>73</v>
      </c>
      <c r="P260" s="42">
        <v>43421</v>
      </c>
      <c r="Q260" s="42">
        <f>Table1[[#This Row],[Site handover date]]+7</f>
        <v>43428</v>
      </c>
      <c r="R260" s="42">
        <v>43525</v>
      </c>
      <c r="S260" s="36" t="s">
        <v>71</v>
      </c>
      <c r="T260" s="89" t="s">
        <v>278</v>
      </c>
      <c r="U260" s="9">
        <v>43550</v>
      </c>
      <c r="V260" s="118" t="s">
        <v>71</v>
      </c>
      <c r="W260" s="118" t="s">
        <v>98</v>
      </c>
      <c r="X260" s="136">
        <v>1</v>
      </c>
      <c r="Y260" s="23">
        <v>141</v>
      </c>
      <c r="Z260" s="34" t="str">
        <f>IF(ISERROR(VLOOKUP(Y260,'Data inputs '!$N$4:$O$23,2,0)),"",(VLOOKUP(Y260,'Data inputs '!$N$4:$O$23,2,0)))</f>
        <v>Japan</v>
      </c>
      <c r="AA260" s="34">
        <v>98720</v>
      </c>
      <c r="AB260" s="7">
        <v>32.790745999999999</v>
      </c>
      <c r="AC260" s="7">
        <v>13.087356</v>
      </c>
      <c r="AE260" s="11">
        <f ca="1"/>
        <v>0.71308843499786945</v>
      </c>
      <c r="AF260" s="11">
        <v>0.61111975456788914</v>
      </c>
    </row>
    <row r="261" spans="1:32" s="11" customFormat="1" ht="28.5" customHeight="1">
      <c r="A261" s="96">
        <v>260</v>
      </c>
      <c r="B261" s="5" t="s">
        <v>84</v>
      </c>
      <c r="C261" s="5" t="s">
        <v>67</v>
      </c>
      <c r="D261" s="5" t="s">
        <v>426</v>
      </c>
      <c r="E261" s="5" t="s">
        <v>96</v>
      </c>
      <c r="F261" s="5" t="s">
        <v>97</v>
      </c>
      <c r="G261" s="35" t="s">
        <v>70</v>
      </c>
      <c r="H261" s="44">
        <v>32300</v>
      </c>
      <c r="I261" s="44">
        <f>Table1[[#This Row],[Contracted Amount]]*AF261</f>
        <v>24212.309242651638</v>
      </c>
      <c r="J261" s="44">
        <f>(31885.26+753.54)*0.9+(31885.26+753.54)*0.1</f>
        <v>32638.799999999999</v>
      </c>
      <c r="K261" s="44">
        <f>Table1[[#This Row],[Actual Expenditure (including admin fees)]]*AF261</f>
        <v>24466.276127215424</v>
      </c>
      <c r="L261" s="35" t="s">
        <v>71</v>
      </c>
      <c r="M261" s="42" t="s">
        <v>72</v>
      </c>
      <c r="N261" s="92">
        <v>43392</v>
      </c>
      <c r="O261" s="100" t="s">
        <v>73</v>
      </c>
      <c r="P261" s="42">
        <v>43421</v>
      </c>
      <c r="Q261" s="42">
        <f>Table1[[#This Row],[Site handover date]]+7</f>
        <v>43428</v>
      </c>
      <c r="R261" s="42">
        <v>43525</v>
      </c>
      <c r="S261" s="36" t="s">
        <v>71</v>
      </c>
      <c r="T261" s="89" t="s">
        <v>278</v>
      </c>
      <c r="U261" s="9">
        <v>43550</v>
      </c>
      <c r="V261" s="118" t="s">
        <v>71</v>
      </c>
      <c r="W261" s="118" t="s">
        <v>98</v>
      </c>
      <c r="X261" s="136">
        <v>1</v>
      </c>
      <c r="Y261" s="23">
        <v>141</v>
      </c>
      <c r="Z261" s="34" t="str">
        <f>IF(ISERROR(VLOOKUP(Y261,'Data inputs '!$N$4:$O$23,2,0)),"",(VLOOKUP(Y261,'Data inputs '!$N$4:$O$23,2,0)))</f>
        <v>Japan</v>
      </c>
      <c r="AA261" s="34">
        <v>98720</v>
      </c>
      <c r="AB261" s="7">
        <v>32.850425999999999</v>
      </c>
      <c r="AC261" s="7">
        <v>13.115976</v>
      </c>
      <c r="AE261" s="11">
        <f ca="1"/>
        <v>0.68130868042453485</v>
      </c>
      <c r="AF261" s="11">
        <v>0.74960709729571628</v>
      </c>
    </row>
    <row r="262" spans="1:32" s="11" customFormat="1" ht="28.5" customHeight="1">
      <c r="A262" s="96">
        <v>261</v>
      </c>
      <c r="B262" s="5" t="s">
        <v>66</v>
      </c>
      <c r="C262" s="5" t="s">
        <v>67</v>
      </c>
      <c r="D262" s="5" t="s">
        <v>426</v>
      </c>
      <c r="E262" s="5" t="s">
        <v>4</v>
      </c>
      <c r="F262" s="5" t="s">
        <v>125</v>
      </c>
      <c r="G262" s="35" t="s">
        <v>70</v>
      </c>
      <c r="H262" s="46">
        <f>1690653.45/65</f>
        <v>26010.053076923075</v>
      </c>
      <c r="I262" s="46">
        <f>Table1[[#This Row],[Contracted Amount]]*AF262</f>
        <v>14736.728844278347</v>
      </c>
      <c r="J262" s="46">
        <f>1404237.94/65</f>
        <v>21603.660615384615</v>
      </c>
      <c r="K262" s="46">
        <f>Table1[[#This Row],[Actual Expenditure (including admin fees)]]*AF262</f>
        <v>12240.162970494046</v>
      </c>
      <c r="L262" s="35" t="s">
        <v>71</v>
      </c>
      <c r="M262" s="42" t="s">
        <v>72</v>
      </c>
      <c r="N262" s="42">
        <v>43494</v>
      </c>
      <c r="O262" s="100" t="s">
        <v>73</v>
      </c>
      <c r="P262" s="42"/>
      <c r="Q262" s="42"/>
      <c r="R262" s="42">
        <v>44140</v>
      </c>
      <c r="S262" s="36" t="s">
        <v>71</v>
      </c>
      <c r="T262" s="89" t="s">
        <v>401</v>
      </c>
      <c r="U262" s="9">
        <v>44146</v>
      </c>
      <c r="V262" s="118" t="s">
        <v>71</v>
      </c>
      <c r="W262" s="118" t="s">
        <v>126</v>
      </c>
      <c r="X262" s="136">
        <v>1</v>
      </c>
      <c r="Y262" s="132" t="s">
        <v>402</v>
      </c>
      <c r="Z262" s="88" t="s">
        <v>403</v>
      </c>
      <c r="AA262" s="34" t="s">
        <v>264</v>
      </c>
      <c r="AB262" s="7"/>
      <c r="AC262" s="7"/>
      <c r="AE262" s="11">
        <f ca="1"/>
        <v>0.70921376318116924</v>
      </c>
      <c r="AF262" s="11">
        <v>0.56657819192815218</v>
      </c>
    </row>
    <row r="263" spans="1:32" s="11" customFormat="1" ht="28.5" customHeight="1">
      <c r="A263" s="96">
        <v>262</v>
      </c>
      <c r="B263" s="5" t="s">
        <v>66</v>
      </c>
      <c r="C263" s="5" t="s">
        <v>67</v>
      </c>
      <c r="D263" s="5" t="s">
        <v>426</v>
      </c>
      <c r="E263" s="5" t="s">
        <v>4</v>
      </c>
      <c r="F263" s="5" t="s">
        <v>125</v>
      </c>
      <c r="G263" s="35" t="s">
        <v>70</v>
      </c>
      <c r="H263" s="46">
        <f>1690653.45/65</f>
        <v>26010.053076923075</v>
      </c>
      <c r="I263" s="46">
        <f>Table1[[#This Row],[Contracted Amount]]*AF263</f>
        <v>18396.284030703708</v>
      </c>
      <c r="J263" s="46">
        <f>1404237.94/65</f>
        <v>21603.660615384615</v>
      </c>
      <c r="K263" s="46">
        <f>Table1[[#This Row],[Actual Expenditure (including admin fees)]]*AF263</f>
        <v>15279.748780526412</v>
      </c>
      <c r="L263" s="35" t="s">
        <v>71</v>
      </c>
      <c r="M263" s="42" t="s">
        <v>72</v>
      </c>
      <c r="N263" s="42">
        <v>43494</v>
      </c>
      <c r="O263" s="100" t="s">
        <v>73</v>
      </c>
      <c r="P263" s="42"/>
      <c r="Q263" s="42"/>
      <c r="R263" s="42">
        <v>44140</v>
      </c>
      <c r="S263" s="36" t="s">
        <v>71</v>
      </c>
      <c r="T263" s="89" t="s">
        <v>401</v>
      </c>
      <c r="U263" s="9">
        <v>44146</v>
      </c>
      <c r="V263" s="118" t="s">
        <v>71</v>
      </c>
      <c r="W263" s="118" t="s">
        <v>126</v>
      </c>
      <c r="X263" s="136">
        <v>1</v>
      </c>
      <c r="Y263" s="132" t="s">
        <v>402</v>
      </c>
      <c r="Z263" s="88" t="s">
        <v>403</v>
      </c>
      <c r="AA263" s="34" t="s">
        <v>264</v>
      </c>
      <c r="AB263" s="7"/>
      <c r="AC263" s="7"/>
      <c r="AE263" s="11">
        <f ca="1"/>
        <v>0.6699818773401196</v>
      </c>
      <c r="AF263" s="11">
        <v>0.70727591275180668</v>
      </c>
    </row>
    <row r="264" spans="1:32" s="11" customFormat="1" ht="28.5" customHeight="1">
      <c r="A264" s="96">
        <v>263</v>
      </c>
      <c r="B264" s="5" t="s">
        <v>66</v>
      </c>
      <c r="C264" s="5" t="s">
        <v>67</v>
      </c>
      <c r="D264" s="5" t="s">
        <v>426</v>
      </c>
      <c r="E264" s="5" t="s">
        <v>4</v>
      </c>
      <c r="F264" s="5" t="s">
        <v>125</v>
      </c>
      <c r="G264" s="35" t="s">
        <v>70</v>
      </c>
      <c r="H264" s="46">
        <f>1690653.45/65</f>
        <v>26010.053076923075</v>
      </c>
      <c r="I264" s="46">
        <f>Table1[[#This Row],[Contracted Amount]]*AF264</f>
        <v>18290.586617042103</v>
      </c>
      <c r="J264" s="46">
        <f>1404237.94/65</f>
        <v>21603.660615384615</v>
      </c>
      <c r="K264" s="46">
        <f>Table1[[#This Row],[Actual Expenditure (including admin fees)]]*AF264</f>
        <v>15191.957685063591</v>
      </c>
      <c r="L264" s="35" t="s">
        <v>71</v>
      </c>
      <c r="M264" s="42" t="s">
        <v>72</v>
      </c>
      <c r="N264" s="42">
        <v>43494</v>
      </c>
      <c r="O264" s="100" t="s">
        <v>73</v>
      </c>
      <c r="P264" s="42"/>
      <c r="Q264" s="42"/>
      <c r="R264" s="42">
        <v>44140</v>
      </c>
      <c r="S264" s="36" t="s">
        <v>71</v>
      </c>
      <c r="T264" s="89" t="s">
        <v>401</v>
      </c>
      <c r="U264" s="9">
        <v>44146</v>
      </c>
      <c r="V264" s="118" t="s">
        <v>71</v>
      </c>
      <c r="W264" s="118" t="s">
        <v>126</v>
      </c>
      <c r="X264" s="136">
        <v>1</v>
      </c>
      <c r="Y264" s="132" t="s">
        <v>402</v>
      </c>
      <c r="Z264" s="88" t="s">
        <v>403</v>
      </c>
      <c r="AA264" s="34" t="s">
        <v>264</v>
      </c>
      <c r="AB264" s="7"/>
      <c r="AC264" s="7"/>
      <c r="AE264" s="11">
        <f ca="1"/>
        <v>0.7087187817441416</v>
      </c>
      <c r="AF264" s="11">
        <v>0.70321219887359931</v>
      </c>
    </row>
    <row r="265" spans="1:32" s="11" customFormat="1" ht="28.5" customHeight="1">
      <c r="A265" s="96">
        <v>264</v>
      </c>
      <c r="B265" s="5" t="s">
        <v>66</v>
      </c>
      <c r="C265" s="5" t="s">
        <v>67</v>
      </c>
      <c r="D265" s="5" t="s">
        <v>426</v>
      </c>
      <c r="E265" s="5" t="s">
        <v>4</v>
      </c>
      <c r="F265" s="5" t="s">
        <v>125</v>
      </c>
      <c r="G265" s="35" t="s">
        <v>70</v>
      </c>
      <c r="H265" s="46">
        <f>1690653.45/65</f>
        <v>26010.053076923075</v>
      </c>
      <c r="I265" s="46">
        <f>Table1[[#This Row],[Contracted Amount]]*AF265</f>
        <v>15015.830818307057</v>
      </c>
      <c r="J265" s="46">
        <f>1404237.94/65</f>
        <v>21603.660615384615</v>
      </c>
      <c r="K265" s="46">
        <f>Table1[[#This Row],[Actual Expenditure (including admin fees)]]*AF265</f>
        <v>12471.98196394892</v>
      </c>
      <c r="L265" s="35" t="s">
        <v>71</v>
      </c>
      <c r="M265" s="42" t="s">
        <v>72</v>
      </c>
      <c r="N265" s="42">
        <v>43494</v>
      </c>
      <c r="O265" s="100" t="s">
        <v>73</v>
      </c>
      <c r="P265" s="42"/>
      <c r="Q265" s="42"/>
      <c r="R265" s="42">
        <v>44140</v>
      </c>
      <c r="S265" s="36" t="s">
        <v>71</v>
      </c>
      <c r="T265" s="89" t="s">
        <v>401</v>
      </c>
      <c r="U265" s="9">
        <v>44146</v>
      </c>
      <c r="V265" s="118" t="s">
        <v>71</v>
      </c>
      <c r="W265" s="118" t="s">
        <v>126</v>
      </c>
      <c r="X265" s="136">
        <v>1</v>
      </c>
      <c r="Y265" s="132" t="s">
        <v>402</v>
      </c>
      <c r="Z265" s="88" t="s">
        <v>403</v>
      </c>
      <c r="AA265" s="34" t="s">
        <v>264</v>
      </c>
      <c r="AB265" s="7"/>
      <c r="AC265" s="7"/>
      <c r="AE265" s="11">
        <f ca="1"/>
        <v>0.5559799296500082</v>
      </c>
      <c r="AF265" s="11">
        <v>0.57730873419976092</v>
      </c>
    </row>
    <row r="266" spans="1:32" s="11" customFormat="1" ht="28.5" customHeight="1">
      <c r="A266" s="96">
        <v>265</v>
      </c>
      <c r="B266" s="5" t="s">
        <v>66</v>
      </c>
      <c r="C266" s="5" t="s">
        <v>67</v>
      </c>
      <c r="D266" s="5" t="s">
        <v>426</v>
      </c>
      <c r="E266" s="5" t="s">
        <v>4</v>
      </c>
      <c r="F266" s="5" t="s">
        <v>125</v>
      </c>
      <c r="G266" s="35" t="s">
        <v>70</v>
      </c>
      <c r="H266" s="46">
        <f>1690653.45/65</f>
        <v>26010.053076923075</v>
      </c>
      <c r="I266" s="46">
        <f>Table1[[#This Row],[Contracted Amount]]*AF266</f>
        <v>15289.701918554689</v>
      </c>
      <c r="J266" s="46">
        <f>1404237.94/65</f>
        <v>21603.660615384615</v>
      </c>
      <c r="K266" s="46">
        <f>Table1[[#This Row],[Actual Expenditure (including admin fees)]]*AF266</f>
        <v>12699.456251856514</v>
      </c>
      <c r="L266" s="35" t="s">
        <v>71</v>
      </c>
      <c r="M266" s="42" t="s">
        <v>72</v>
      </c>
      <c r="N266" s="42">
        <v>43494</v>
      </c>
      <c r="O266" s="100" t="s">
        <v>73</v>
      </c>
      <c r="P266" s="42"/>
      <c r="Q266" s="42"/>
      <c r="R266" s="42">
        <v>44140</v>
      </c>
      <c r="S266" s="36" t="s">
        <v>71</v>
      </c>
      <c r="T266" s="89" t="s">
        <v>401</v>
      </c>
      <c r="U266" s="9">
        <v>44146</v>
      </c>
      <c r="V266" s="118" t="s">
        <v>71</v>
      </c>
      <c r="W266" s="118" t="s">
        <v>126</v>
      </c>
      <c r="X266" s="136">
        <v>1</v>
      </c>
      <c r="Y266" s="132" t="s">
        <v>402</v>
      </c>
      <c r="Z266" s="88" t="s">
        <v>403</v>
      </c>
      <c r="AA266" s="34" t="s">
        <v>264</v>
      </c>
      <c r="AB266" s="7"/>
      <c r="AC266" s="7"/>
      <c r="AE266" s="11">
        <f ca="1"/>
        <v>0.66653681943182552</v>
      </c>
      <c r="AF266" s="11">
        <v>0.58783816677868239</v>
      </c>
    </row>
    <row r="267" spans="1:32" s="11" customFormat="1" ht="28.5" customHeight="1">
      <c r="A267" s="96">
        <v>266</v>
      </c>
      <c r="B267" s="5" t="s">
        <v>84</v>
      </c>
      <c r="C267" s="5" t="s">
        <v>67</v>
      </c>
      <c r="D267" s="5" t="s">
        <v>428</v>
      </c>
      <c r="E267" s="5" t="s">
        <v>96</v>
      </c>
      <c r="F267" s="5" t="s">
        <v>97</v>
      </c>
      <c r="G267" s="35" t="s">
        <v>70</v>
      </c>
      <c r="H267" s="44">
        <v>94954</v>
      </c>
      <c r="I267" s="44">
        <f>Table1[[#This Row],[Contracted Amount]]*AF267</f>
        <v>59538.941001237697</v>
      </c>
      <c r="J267" s="44">
        <f>85418.59+9490.15</f>
        <v>94908.739999999991</v>
      </c>
      <c r="K267" s="44">
        <f>Table1[[#This Row],[Actual Expenditure (including admin fees)]]*AF267</f>
        <v>59510.561654714991</v>
      </c>
      <c r="L267" s="35" t="s">
        <v>71</v>
      </c>
      <c r="M267" s="42" t="s">
        <v>72</v>
      </c>
      <c r="N267" s="92">
        <v>43702</v>
      </c>
      <c r="O267" s="100" t="s">
        <v>73</v>
      </c>
      <c r="P267" s="92">
        <v>43999</v>
      </c>
      <c r="Q267" s="92"/>
      <c r="R267" s="42">
        <v>44199</v>
      </c>
      <c r="S267" s="36" t="s">
        <v>71</v>
      </c>
      <c r="T267" s="89" t="s">
        <v>429</v>
      </c>
      <c r="U267" s="9">
        <v>44214</v>
      </c>
      <c r="V267" s="118" t="s">
        <v>71</v>
      </c>
      <c r="W267" s="118" t="s">
        <v>98</v>
      </c>
      <c r="X267" s="136">
        <v>1</v>
      </c>
      <c r="Y267" s="23">
        <v>717</v>
      </c>
      <c r="Z267" s="34" t="str">
        <f>IF(ISERROR(VLOOKUP(Y267,'Data inputs '!$N$4:$O$23,2,0)),"",(VLOOKUP(Y267,'Data inputs '!$N$4:$O$23,2,0)))</f>
        <v>C/S ROK</v>
      </c>
      <c r="AA267" s="34">
        <v>112158</v>
      </c>
      <c r="AB267" s="7">
        <v>32.682271999999998</v>
      </c>
      <c r="AC267" s="7">
        <v>13.124753999999999</v>
      </c>
      <c r="AE267" s="11">
        <f ca="1"/>
        <v>0.59789908149103888</v>
      </c>
      <c r="AF267" s="11">
        <v>0.6270293089415685</v>
      </c>
    </row>
    <row r="268" spans="1:32" s="11" customFormat="1" ht="28.5" customHeight="1">
      <c r="A268" s="96">
        <v>267</v>
      </c>
      <c r="B268" s="5" t="s">
        <v>84</v>
      </c>
      <c r="C268" s="5" t="s">
        <v>67</v>
      </c>
      <c r="D268" s="5" t="s">
        <v>428</v>
      </c>
      <c r="E268" s="5" t="s">
        <v>96</v>
      </c>
      <c r="F268" s="5" t="s">
        <v>97</v>
      </c>
      <c r="G268" s="35" t="s">
        <v>70</v>
      </c>
      <c r="H268" s="44"/>
      <c r="I268" s="44">
        <f>Table1[[#This Row],[Contracted Amount]]*AF268</f>
        <v>0</v>
      </c>
      <c r="J268" s="44"/>
      <c r="K268" s="44">
        <f>Table1[[#This Row],[Actual Expenditure (including admin fees)]]*AF268</f>
        <v>0</v>
      </c>
      <c r="L268" s="35" t="s">
        <v>71</v>
      </c>
      <c r="M268" s="42" t="s">
        <v>72</v>
      </c>
      <c r="N268" s="92">
        <v>43702</v>
      </c>
      <c r="O268" s="100" t="s">
        <v>73</v>
      </c>
      <c r="P268" s="92">
        <v>43999</v>
      </c>
      <c r="Q268" s="92"/>
      <c r="R268" s="42">
        <v>44199</v>
      </c>
      <c r="S268" s="36" t="s">
        <v>71</v>
      </c>
      <c r="T268" s="89" t="s">
        <v>429</v>
      </c>
      <c r="U268" s="9">
        <v>44214</v>
      </c>
      <c r="V268" s="118" t="s">
        <v>71</v>
      </c>
      <c r="W268" s="118" t="s">
        <v>98</v>
      </c>
      <c r="X268" s="136">
        <v>1</v>
      </c>
      <c r="Y268" s="23">
        <v>717</v>
      </c>
      <c r="Z268" s="34" t="str">
        <f>IF(ISERROR(VLOOKUP(Y268,'Data inputs '!$N$4:$O$23,2,0)),"",(VLOOKUP(Y268,'Data inputs '!$N$4:$O$23,2,0)))</f>
        <v>C/S ROK</v>
      </c>
      <c r="AA268" s="34">
        <v>112158</v>
      </c>
      <c r="AB268" s="7">
        <v>32.691034999999999</v>
      </c>
      <c r="AC268" s="7">
        <v>13.150522</v>
      </c>
      <c r="AE268" s="11">
        <f ca="1"/>
        <v>0.56998618497084652</v>
      </c>
      <c r="AF268" s="11">
        <v>0.74236882741313537</v>
      </c>
    </row>
    <row r="269" spans="1:32" s="11" customFormat="1" ht="28.5" customHeight="1">
      <c r="A269" s="96">
        <v>268</v>
      </c>
      <c r="B269" s="5" t="s">
        <v>84</v>
      </c>
      <c r="C269" s="5" t="s">
        <v>67</v>
      </c>
      <c r="D269" s="5" t="s">
        <v>428</v>
      </c>
      <c r="E269" s="5" t="s">
        <v>96</v>
      </c>
      <c r="F269" s="5" t="s">
        <v>97</v>
      </c>
      <c r="G269" s="35" t="s">
        <v>70</v>
      </c>
      <c r="H269" s="44"/>
      <c r="I269" s="44">
        <f>Table1[[#This Row],[Contracted Amount]]*AF269</f>
        <v>0</v>
      </c>
      <c r="J269" s="44"/>
      <c r="K269" s="44">
        <f>Table1[[#This Row],[Actual Expenditure (including admin fees)]]*AF269</f>
        <v>0</v>
      </c>
      <c r="L269" s="35" t="s">
        <v>71</v>
      </c>
      <c r="M269" s="42" t="s">
        <v>72</v>
      </c>
      <c r="N269" s="92">
        <v>43702</v>
      </c>
      <c r="O269" s="100" t="s">
        <v>73</v>
      </c>
      <c r="P269" s="92">
        <v>43999</v>
      </c>
      <c r="Q269" s="92"/>
      <c r="R269" s="42">
        <v>44199</v>
      </c>
      <c r="S269" s="36" t="s">
        <v>71</v>
      </c>
      <c r="T269" s="89" t="s">
        <v>429</v>
      </c>
      <c r="U269" s="9">
        <v>44214</v>
      </c>
      <c r="V269" s="118" t="s">
        <v>71</v>
      </c>
      <c r="W269" s="118" t="s">
        <v>98</v>
      </c>
      <c r="X269" s="136">
        <v>1</v>
      </c>
      <c r="Y269" s="23">
        <v>717</v>
      </c>
      <c r="Z269" s="34" t="str">
        <f>IF(ISERROR(VLOOKUP(Y269,'Data inputs '!$N$4:$O$23,2,0)),"",(VLOOKUP(Y269,'Data inputs '!$N$4:$O$23,2,0)))</f>
        <v>C/S ROK</v>
      </c>
      <c r="AA269" s="34">
        <v>112158</v>
      </c>
      <c r="AB269" s="7">
        <v>32.599798999999997</v>
      </c>
      <c r="AC269" s="7">
        <v>13.212469</v>
      </c>
      <c r="AE269" s="11">
        <f ca="1"/>
        <v>0.60077077472779605</v>
      </c>
      <c r="AF269" s="11">
        <v>0.54805660850922422</v>
      </c>
    </row>
    <row r="270" spans="1:32" s="11" customFormat="1" ht="28.5" customHeight="1">
      <c r="A270" s="96">
        <v>269</v>
      </c>
      <c r="B270" s="5" t="s">
        <v>84</v>
      </c>
      <c r="C270" s="5" t="s">
        <v>67</v>
      </c>
      <c r="D270" s="5" t="s">
        <v>428</v>
      </c>
      <c r="E270" s="5" t="s">
        <v>96</v>
      </c>
      <c r="F270" s="5" t="s">
        <v>97</v>
      </c>
      <c r="G270" s="35" t="s">
        <v>70</v>
      </c>
      <c r="H270" s="44">
        <v>29966</v>
      </c>
      <c r="I270" s="44">
        <f>Table1[[#This Row],[Contracted Amount]]*AF270</f>
        <v>18724.213876282785</v>
      </c>
      <c r="J270" s="44">
        <f>(19563.173+7940.16+17611.01)*0.9+(19563.173+7940.16+17611.01)*0.1</f>
        <v>45114.342999999993</v>
      </c>
      <c r="K270" s="44">
        <f>Table1[[#This Row],[Actual Expenditure (including admin fees)]]*AF270</f>
        <v>28189.635160514616</v>
      </c>
      <c r="L270" s="35" t="s">
        <v>71</v>
      </c>
      <c r="M270" s="42" t="s">
        <v>72</v>
      </c>
      <c r="N270" s="92">
        <v>43430</v>
      </c>
      <c r="O270" s="100" t="s">
        <v>73</v>
      </c>
      <c r="P270" s="42">
        <v>43450</v>
      </c>
      <c r="Q270" s="42">
        <f>Table1[[#This Row],[Site handover date]]+7</f>
        <v>43457</v>
      </c>
      <c r="R270" s="118">
        <v>43940</v>
      </c>
      <c r="S270" s="36" t="s">
        <v>71</v>
      </c>
      <c r="T270" s="89" t="s">
        <v>430</v>
      </c>
      <c r="U270" s="9">
        <v>44440</v>
      </c>
      <c r="V270" s="118" t="s">
        <v>71</v>
      </c>
      <c r="W270" s="118" t="s">
        <v>98</v>
      </c>
      <c r="X270" s="136">
        <v>1</v>
      </c>
      <c r="Y270" s="23">
        <v>10159</v>
      </c>
      <c r="Z270" s="34" t="str">
        <f>IF(ISERROR(VLOOKUP(Y270,'Data inputs '!$N$4:$O$23,2,0)),"",(VLOOKUP(Y270,'Data inputs '!$N$4:$O$23,2,0)))</f>
        <v>EU</v>
      </c>
      <c r="AA270" s="34">
        <v>112158</v>
      </c>
      <c r="AB270" s="7">
        <v>32.682344444444396</v>
      </c>
      <c r="AC270" s="7">
        <v>13.124797222222222</v>
      </c>
      <c r="AE270" s="11">
        <f ca="1"/>
        <v>0.55517996148095627</v>
      </c>
      <c r="AF270" s="11">
        <v>0.6248486243169854</v>
      </c>
    </row>
    <row r="271" spans="1:32" s="11" customFormat="1" ht="28.5" customHeight="1">
      <c r="A271" s="96">
        <v>270</v>
      </c>
      <c r="B271" s="5" t="s">
        <v>84</v>
      </c>
      <c r="C271" s="5" t="s">
        <v>67</v>
      </c>
      <c r="D271" s="5" t="s">
        <v>428</v>
      </c>
      <c r="E271" s="5" t="s">
        <v>96</v>
      </c>
      <c r="F271" s="5" t="s">
        <v>97</v>
      </c>
      <c r="G271" s="35" t="s">
        <v>70</v>
      </c>
      <c r="H271" s="44">
        <v>26214</v>
      </c>
      <c r="I271" s="44">
        <f>Table1[[#This Row],[Contracted Amount]]*AF271</f>
        <v>14801.970539643369</v>
      </c>
      <c r="J271" s="44"/>
      <c r="K271" s="44">
        <f>Table1[[#This Row],[Actual Expenditure (including admin fees)]]*AF271</f>
        <v>0</v>
      </c>
      <c r="L271" s="35" t="s">
        <v>71</v>
      </c>
      <c r="M271" s="42" t="s">
        <v>72</v>
      </c>
      <c r="N271" s="92">
        <v>43430</v>
      </c>
      <c r="O271" s="100" t="s">
        <v>73</v>
      </c>
      <c r="P271" s="42">
        <v>43450</v>
      </c>
      <c r="Q271" s="42">
        <f>Table1[[#This Row],[Site handover date]]+7</f>
        <v>43457</v>
      </c>
      <c r="R271" s="118">
        <v>43940</v>
      </c>
      <c r="S271" s="36" t="s">
        <v>71</v>
      </c>
      <c r="T271" s="89" t="s">
        <v>431</v>
      </c>
      <c r="U271" s="9">
        <v>44440</v>
      </c>
      <c r="V271" s="118" t="s">
        <v>71</v>
      </c>
      <c r="W271" s="118" t="s">
        <v>98</v>
      </c>
      <c r="X271" s="136">
        <v>1</v>
      </c>
      <c r="Y271" s="23">
        <v>10159</v>
      </c>
      <c r="Z271" s="34" t="str">
        <f>IF(ISERROR(VLOOKUP(Y271,'Data inputs '!$N$4:$O$23,2,0)),"",(VLOOKUP(Y271,'Data inputs '!$N$4:$O$23,2,0)))</f>
        <v>EU</v>
      </c>
      <c r="AA271" s="34">
        <v>112158</v>
      </c>
      <c r="AB271" s="7">
        <v>32.6912083333333</v>
      </c>
      <c r="AC271" s="7">
        <v>13.150638888888889</v>
      </c>
      <c r="AE271" s="11">
        <f ca="1"/>
        <v>0.54445134420932118</v>
      </c>
      <c r="AF271" s="11">
        <v>0.56465898144668381</v>
      </c>
    </row>
    <row r="272" spans="1:32" s="11" customFormat="1" ht="28.5" customHeight="1">
      <c r="A272" s="96">
        <v>271</v>
      </c>
      <c r="B272" s="5" t="s">
        <v>84</v>
      </c>
      <c r="C272" s="5" t="s">
        <v>67</v>
      </c>
      <c r="D272" s="5" t="s">
        <v>428</v>
      </c>
      <c r="E272" s="5" t="s">
        <v>96</v>
      </c>
      <c r="F272" s="5" t="s">
        <v>97</v>
      </c>
      <c r="G272" s="35" t="s">
        <v>70</v>
      </c>
      <c r="H272" s="44">
        <v>42616</v>
      </c>
      <c r="I272" s="44">
        <f>Table1[[#This Row],[Contracted Amount]]*AF272</f>
        <v>24460.496395208578</v>
      </c>
      <c r="J272" s="44">
        <f>(23103.847+12291.62+16539)*0.9+(23103.847+12291.62+16539)*0.1</f>
        <v>51934.467000000004</v>
      </c>
      <c r="K272" s="44">
        <f>Table1[[#This Row],[Actual Expenditure (including admin fees)]]*AF272</f>
        <v>29809.058636206562</v>
      </c>
      <c r="L272" s="35" t="s">
        <v>71</v>
      </c>
      <c r="M272" s="42" t="s">
        <v>72</v>
      </c>
      <c r="N272" s="92">
        <v>43430</v>
      </c>
      <c r="O272" s="100" t="s">
        <v>73</v>
      </c>
      <c r="P272" s="42">
        <v>43450</v>
      </c>
      <c r="Q272" s="42">
        <f>Table1[[#This Row],[Site handover date]]+7</f>
        <v>43457</v>
      </c>
      <c r="R272" s="118">
        <v>43940</v>
      </c>
      <c r="S272" s="36" t="s">
        <v>71</v>
      </c>
      <c r="T272" s="89" t="s">
        <v>430</v>
      </c>
      <c r="U272" s="9">
        <v>44440</v>
      </c>
      <c r="V272" s="118" t="s">
        <v>71</v>
      </c>
      <c r="W272" s="118" t="s">
        <v>98</v>
      </c>
      <c r="X272" s="136">
        <v>1</v>
      </c>
      <c r="Y272" s="23">
        <v>10159</v>
      </c>
      <c r="Z272" s="34" t="str">
        <f>IF(ISERROR(VLOOKUP(Y272,'Data inputs '!$N$4:$O$23,2,0)),"",(VLOOKUP(Y272,'Data inputs '!$N$4:$O$23,2,0)))</f>
        <v>EU</v>
      </c>
      <c r="AA272" s="34">
        <v>112158</v>
      </c>
      <c r="AB272" s="7"/>
      <c r="AC272" s="7"/>
      <c r="AE272" s="11">
        <f ca="1"/>
        <v>0.55142057715639603</v>
      </c>
      <c r="AF272" s="11">
        <v>0.57397447895646181</v>
      </c>
    </row>
    <row r="273" spans="1:32" s="11" customFormat="1" ht="28.5" customHeight="1">
      <c r="A273" s="96">
        <v>272</v>
      </c>
      <c r="B273" s="5" t="s">
        <v>66</v>
      </c>
      <c r="C273" s="5" t="s">
        <v>67</v>
      </c>
      <c r="D273" s="5" t="s">
        <v>428</v>
      </c>
      <c r="E273" s="5" t="s">
        <v>4</v>
      </c>
      <c r="F273" s="5" t="s">
        <v>125</v>
      </c>
      <c r="G273" s="35" t="s">
        <v>70</v>
      </c>
      <c r="H273" s="46">
        <f>1690653.45/65</f>
        <v>26010.053076923075</v>
      </c>
      <c r="I273" s="46">
        <f>Table1[[#This Row],[Contracted Amount]]*AF273</f>
        <v>18868.76222628629</v>
      </c>
      <c r="J273" s="46">
        <f>1404237.94/65</f>
        <v>21603.660615384615</v>
      </c>
      <c r="K273" s="46">
        <f>Table1[[#This Row],[Actual Expenditure (including admin fees)]]*AF273</f>
        <v>15672.183911487051</v>
      </c>
      <c r="L273" s="35" t="s">
        <v>71</v>
      </c>
      <c r="M273" s="42" t="s">
        <v>72</v>
      </c>
      <c r="N273" s="42">
        <v>43494</v>
      </c>
      <c r="O273" s="100" t="s">
        <v>73</v>
      </c>
      <c r="P273" s="42"/>
      <c r="Q273" s="42"/>
      <c r="R273" s="42">
        <v>44140</v>
      </c>
      <c r="S273" s="36" t="s">
        <v>71</v>
      </c>
      <c r="T273" s="89" t="s">
        <v>401</v>
      </c>
      <c r="U273" s="9">
        <v>44146</v>
      </c>
      <c r="V273" s="118" t="s">
        <v>71</v>
      </c>
      <c r="W273" s="118" t="s">
        <v>126</v>
      </c>
      <c r="X273" s="136">
        <v>1</v>
      </c>
      <c r="Y273" s="132" t="s">
        <v>402</v>
      </c>
      <c r="Z273" s="88" t="s">
        <v>403</v>
      </c>
      <c r="AA273" s="34" t="s">
        <v>264</v>
      </c>
      <c r="AB273" s="7"/>
      <c r="AC273" s="7"/>
      <c r="AE273" s="11">
        <f ca="1"/>
        <v>0.59787046896374996</v>
      </c>
      <c r="AF273" s="11">
        <v>0.72544112733961474</v>
      </c>
    </row>
    <row r="274" spans="1:32" s="11" customFormat="1" ht="28.5" customHeight="1">
      <c r="A274" s="96">
        <v>273</v>
      </c>
      <c r="B274" s="5" t="s">
        <v>66</v>
      </c>
      <c r="C274" s="5" t="s">
        <v>67</v>
      </c>
      <c r="D274" s="5" t="s">
        <v>428</v>
      </c>
      <c r="E274" s="5" t="s">
        <v>4</v>
      </c>
      <c r="F274" s="5" t="s">
        <v>125</v>
      </c>
      <c r="G274" s="35" t="s">
        <v>70</v>
      </c>
      <c r="H274" s="46">
        <f>1690653.45/65</f>
        <v>26010.053076923075</v>
      </c>
      <c r="I274" s="46">
        <f>Table1[[#This Row],[Contracted Amount]]*AF274</f>
        <v>14734.51866519059</v>
      </c>
      <c r="J274" s="46">
        <f>1404237.94/65</f>
        <v>21603.660615384615</v>
      </c>
      <c r="K274" s="46">
        <f>Table1[[#This Row],[Actual Expenditure (including admin fees)]]*AF274</f>
        <v>12238.327220341214</v>
      </c>
      <c r="L274" s="35" t="s">
        <v>71</v>
      </c>
      <c r="M274" s="42" t="s">
        <v>72</v>
      </c>
      <c r="N274" s="42">
        <v>43494</v>
      </c>
      <c r="O274" s="100" t="s">
        <v>73</v>
      </c>
      <c r="P274" s="42"/>
      <c r="Q274" s="42"/>
      <c r="R274" s="42">
        <v>44140</v>
      </c>
      <c r="S274" s="36" t="s">
        <v>71</v>
      </c>
      <c r="T274" s="89" t="s">
        <v>401</v>
      </c>
      <c r="U274" s="9">
        <v>44146</v>
      </c>
      <c r="V274" s="118" t="s">
        <v>71</v>
      </c>
      <c r="W274" s="118" t="s">
        <v>126</v>
      </c>
      <c r="X274" s="136">
        <v>1</v>
      </c>
      <c r="Y274" s="132" t="s">
        <v>402</v>
      </c>
      <c r="Z274" s="88" t="s">
        <v>403</v>
      </c>
      <c r="AA274" s="34" t="s">
        <v>264</v>
      </c>
      <c r="AB274" s="7">
        <v>32.618277777777799</v>
      </c>
      <c r="AC274" s="7">
        <v>13.222861111111111</v>
      </c>
      <c r="AE274" s="11">
        <f ca="1"/>
        <v>0.52290421015932609</v>
      </c>
      <c r="AF274" s="11">
        <v>0.56649321789594931</v>
      </c>
    </row>
    <row r="275" spans="1:32" s="11" customFormat="1" ht="28.5" customHeight="1">
      <c r="A275" s="96">
        <v>274</v>
      </c>
      <c r="B275" s="5" t="s">
        <v>66</v>
      </c>
      <c r="C275" s="5" t="s">
        <v>67</v>
      </c>
      <c r="D275" s="5" t="s">
        <v>428</v>
      </c>
      <c r="E275" s="5" t="s">
        <v>4</v>
      </c>
      <c r="F275" s="5" t="s">
        <v>125</v>
      </c>
      <c r="G275" s="35" t="s">
        <v>70</v>
      </c>
      <c r="H275" s="46">
        <f>1690653.45/65</f>
        <v>26010.053076923075</v>
      </c>
      <c r="I275" s="46">
        <f>Table1[[#This Row],[Contracted Amount]]*AF275</f>
        <v>17829.569999853516</v>
      </c>
      <c r="J275" s="46">
        <f>1404237.94/65</f>
        <v>21603.660615384615</v>
      </c>
      <c r="K275" s="46">
        <f>Table1[[#This Row],[Actual Expenditure (including admin fees)]]*AF275</f>
        <v>14809.042413559149</v>
      </c>
      <c r="L275" s="35" t="s">
        <v>71</v>
      </c>
      <c r="M275" s="42" t="s">
        <v>72</v>
      </c>
      <c r="N275" s="42">
        <v>43494</v>
      </c>
      <c r="O275" s="100" t="s">
        <v>73</v>
      </c>
      <c r="P275" s="42"/>
      <c r="Q275" s="42"/>
      <c r="R275" s="42">
        <v>44140</v>
      </c>
      <c r="S275" s="36" t="s">
        <v>71</v>
      </c>
      <c r="T275" s="89" t="s">
        <v>401</v>
      </c>
      <c r="U275" s="9">
        <v>44146</v>
      </c>
      <c r="V275" s="118" t="s">
        <v>71</v>
      </c>
      <c r="W275" s="118" t="s">
        <v>126</v>
      </c>
      <c r="X275" s="136">
        <v>1</v>
      </c>
      <c r="Y275" s="132" t="s">
        <v>402</v>
      </c>
      <c r="Z275" s="88" t="s">
        <v>403</v>
      </c>
      <c r="AA275" s="34" t="s">
        <v>264</v>
      </c>
      <c r="AB275" s="7"/>
      <c r="AC275" s="7"/>
      <c r="AE275" s="11">
        <f ca="1"/>
        <v>0.73645653853675641</v>
      </c>
      <c r="AF275" s="11">
        <v>0.68548764384000671</v>
      </c>
    </row>
    <row r="276" spans="1:32" s="11" customFormat="1" ht="28.5" customHeight="1">
      <c r="A276" s="96">
        <v>275</v>
      </c>
      <c r="B276" s="5" t="s">
        <v>66</v>
      </c>
      <c r="C276" s="5" t="s">
        <v>67</v>
      </c>
      <c r="D276" s="5" t="s">
        <v>428</v>
      </c>
      <c r="E276" s="5" t="s">
        <v>4</v>
      </c>
      <c r="F276" s="5" t="s">
        <v>125</v>
      </c>
      <c r="G276" s="35" t="s">
        <v>70</v>
      </c>
      <c r="H276" s="46">
        <f>1690653.45/65</f>
        <v>26010.053076923075</v>
      </c>
      <c r="I276" s="46">
        <f>Table1[[#This Row],[Contracted Amount]]*AF276</f>
        <v>15595.438089312276</v>
      </c>
      <c r="J276" s="46">
        <f>1404237.94/65</f>
        <v>21603.660615384615</v>
      </c>
      <c r="K276" s="46">
        <f>Table1[[#This Row],[Actual Expenditure (including admin fees)]]*AF276</f>
        <v>12953.397312697885</v>
      </c>
      <c r="L276" s="35" t="s">
        <v>71</v>
      </c>
      <c r="M276" s="42" t="s">
        <v>72</v>
      </c>
      <c r="N276" s="42">
        <v>43494</v>
      </c>
      <c r="O276" s="100" t="s">
        <v>73</v>
      </c>
      <c r="P276" s="42"/>
      <c r="Q276" s="42"/>
      <c r="R276" s="42">
        <v>44140</v>
      </c>
      <c r="S276" s="36" t="s">
        <v>71</v>
      </c>
      <c r="T276" s="89" t="s">
        <v>401</v>
      </c>
      <c r="U276" s="9">
        <v>44146</v>
      </c>
      <c r="V276" s="118" t="s">
        <v>71</v>
      </c>
      <c r="W276" s="118" t="s">
        <v>126</v>
      </c>
      <c r="X276" s="136">
        <v>1</v>
      </c>
      <c r="Y276" s="132" t="s">
        <v>402</v>
      </c>
      <c r="Z276" s="88" t="s">
        <v>403</v>
      </c>
      <c r="AA276" s="34" t="s">
        <v>264</v>
      </c>
      <c r="AB276" s="7"/>
      <c r="AC276" s="7"/>
      <c r="AE276" s="11">
        <f ca="1"/>
        <v>0.6113637609700866</v>
      </c>
      <c r="AF276" s="11">
        <v>0.59959270529705422</v>
      </c>
    </row>
    <row r="277" spans="1:32" s="11" customFormat="1" ht="28.5" customHeight="1">
      <c r="A277" s="96">
        <v>276</v>
      </c>
      <c r="B277" s="5" t="s">
        <v>66</v>
      </c>
      <c r="C277" s="5" t="s">
        <v>67</v>
      </c>
      <c r="D277" s="5" t="s">
        <v>428</v>
      </c>
      <c r="E277" s="5" t="s">
        <v>4</v>
      </c>
      <c r="F277" s="5" t="s">
        <v>125</v>
      </c>
      <c r="G277" s="35" t="s">
        <v>70</v>
      </c>
      <c r="H277" s="46">
        <f>1690653.45/65</f>
        <v>26010.053076923075</v>
      </c>
      <c r="I277" s="46">
        <f>Table1[[#This Row],[Contracted Amount]]*AF277</f>
        <v>16627.589048245471</v>
      </c>
      <c r="J277" s="46">
        <f>1404237.94/65</f>
        <v>21603.660615384615</v>
      </c>
      <c r="K277" s="46">
        <f>Table1[[#This Row],[Actual Expenditure (including admin fees)]]*AF277</f>
        <v>13810.6904122041</v>
      </c>
      <c r="L277" s="35" t="s">
        <v>71</v>
      </c>
      <c r="M277" s="42" t="s">
        <v>72</v>
      </c>
      <c r="N277" s="42">
        <v>43494</v>
      </c>
      <c r="O277" s="100" t="s">
        <v>73</v>
      </c>
      <c r="P277" s="42"/>
      <c r="Q277" s="42"/>
      <c r="R277" s="42">
        <v>44140</v>
      </c>
      <c r="S277" s="36" t="s">
        <v>71</v>
      </c>
      <c r="T277" s="89" t="s">
        <v>401</v>
      </c>
      <c r="U277" s="9">
        <v>44146</v>
      </c>
      <c r="V277" s="118" t="s">
        <v>71</v>
      </c>
      <c r="W277" s="118" t="s">
        <v>126</v>
      </c>
      <c r="X277" s="136">
        <v>1</v>
      </c>
      <c r="Y277" s="132" t="s">
        <v>402</v>
      </c>
      <c r="Z277" s="88" t="s">
        <v>403</v>
      </c>
      <c r="AA277" s="34" t="s">
        <v>264</v>
      </c>
      <c r="AB277" s="7"/>
      <c r="AC277" s="7"/>
      <c r="AE277" s="11">
        <f ca="1"/>
        <v>0.64187577861629297</v>
      </c>
      <c r="AF277" s="11">
        <v>0.63927547548905173</v>
      </c>
    </row>
    <row r="278" spans="1:32" s="11" customFormat="1" ht="28.5" customHeight="1">
      <c r="A278" s="96">
        <v>277</v>
      </c>
      <c r="B278" s="5" t="s">
        <v>84</v>
      </c>
      <c r="C278" s="5" t="s">
        <v>67</v>
      </c>
      <c r="D278" s="5" t="s">
        <v>432</v>
      </c>
      <c r="E278" s="5" t="s">
        <v>96</v>
      </c>
      <c r="F278" s="5" t="s">
        <v>97</v>
      </c>
      <c r="G278" s="35" t="s">
        <v>70</v>
      </c>
      <c r="H278" s="44">
        <v>24300</v>
      </c>
      <c r="I278" s="44">
        <f>Table1[[#This Row],[Contracted Amount]]*AF278</f>
        <v>15275.648583464103</v>
      </c>
      <c r="J278" s="44">
        <f>(14872.35+3811.7)*0.9+(14872.35+3811.7)*0.1</f>
        <v>18684.05</v>
      </c>
      <c r="K278" s="44">
        <f>Table1[[#This Row],[Actual Expenditure (including admin fees)]]*AF278</f>
        <v>11745.307897772529</v>
      </c>
      <c r="L278" s="35" t="s">
        <v>71</v>
      </c>
      <c r="M278" s="42" t="s">
        <v>72</v>
      </c>
      <c r="N278" s="42">
        <v>43431</v>
      </c>
      <c r="O278" s="100" t="s">
        <v>73</v>
      </c>
      <c r="P278" s="42">
        <v>43446</v>
      </c>
      <c r="Q278" s="42">
        <f>Table1[[#This Row],[Site handover date]]+7</f>
        <v>43453</v>
      </c>
      <c r="R278" s="42">
        <v>43550</v>
      </c>
      <c r="S278" s="36" t="s">
        <v>71</v>
      </c>
      <c r="T278" s="89" t="s">
        <v>433</v>
      </c>
      <c r="U278" s="9">
        <v>43791</v>
      </c>
      <c r="V278" s="118" t="s">
        <v>71</v>
      </c>
      <c r="W278" s="118" t="s">
        <v>98</v>
      </c>
      <c r="X278" s="136">
        <v>1</v>
      </c>
      <c r="Y278" s="23">
        <v>10480</v>
      </c>
      <c r="Z278" s="34" t="str">
        <f>IF(ISERROR(VLOOKUP(Y278,'Data inputs '!$N$4:$O$23,2,0)),"",(VLOOKUP(Y278,'Data inputs '!$N$4:$O$23,2,0)))</f>
        <v>USAID</v>
      </c>
      <c r="AA278" s="34">
        <v>112158</v>
      </c>
      <c r="AB278" s="7">
        <v>32.302</v>
      </c>
      <c r="AC278" s="7">
        <v>13.268000000000001</v>
      </c>
      <c r="AE278" s="11">
        <f ca="1"/>
        <v>0.60943308320034184</v>
      </c>
      <c r="AF278" s="11">
        <v>0.62862751372280257</v>
      </c>
    </row>
    <row r="279" spans="1:32" s="11" customFormat="1" ht="28.5" customHeight="1">
      <c r="A279" s="96">
        <v>278</v>
      </c>
      <c r="B279" s="5" t="s">
        <v>84</v>
      </c>
      <c r="C279" s="5" t="s">
        <v>67</v>
      </c>
      <c r="D279" s="5" t="s">
        <v>432</v>
      </c>
      <c r="E279" s="5" t="s">
        <v>96</v>
      </c>
      <c r="F279" s="5" t="s">
        <v>97</v>
      </c>
      <c r="G279" s="35" t="s">
        <v>70</v>
      </c>
      <c r="H279" s="44">
        <v>31356.5</v>
      </c>
      <c r="I279" s="44">
        <f>Table1[[#This Row],[Contracted Amount]]*AF279</f>
        <v>19723.158322754593</v>
      </c>
      <c r="J279" s="44">
        <f>(22158.98+3490)*0.9+(22158.98+3490)*0.1</f>
        <v>25648.98</v>
      </c>
      <c r="K279" s="44">
        <f>Table1[[#This Row],[Actual Expenditure (including admin fees)]]*AF279</f>
        <v>16133.142836642037</v>
      </c>
      <c r="L279" s="35" t="s">
        <v>71</v>
      </c>
      <c r="M279" s="42" t="s">
        <v>72</v>
      </c>
      <c r="N279" s="42">
        <v>43431</v>
      </c>
      <c r="O279" s="100" t="s">
        <v>73</v>
      </c>
      <c r="P279" s="42">
        <v>43446</v>
      </c>
      <c r="Q279" s="42">
        <f>Table1[[#This Row],[Site handover date]]+7</f>
        <v>43453</v>
      </c>
      <c r="R279" s="42">
        <v>43550</v>
      </c>
      <c r="S279" s="36" t="s">
        <v>71</v>
      </c>
      <c r="T279" s="89" t="s">
        <v>433</v>
      </c>
      <c r="U279" s="9">
        <v>43791</v>
      </c>
      <c r="V279" s="118" t="s">
        <v>71</v>
      </c>
      <c r="W279" s="118" t="s">
        <v>98</v>
      </c>
      <c r="X279" s="136">
        <v>1</v>
      </c>
      <c r="Y279" s="23">
        <v>10480</v>
      </c>
      <c r="Z279" s="34" t="str">
        <f>IF(ISERROR(VLOOKUP(Y279,'Data inputs '!$N$4:$O$23,2,0)),"",(VLOOKUP(Y279,'Data inputs '!$N$4:$O$23,2,0)))</f>
        <v>USAID</v>
      </c>
      <c r="AA279" s="34">
        <v>112158</v>
      </c>
      <c r="AB279" s="7">
        <v>32.381</v>
      </c>
      <c r="AC279" s="7">
        <v>13.228999999999999</v>
      </c>
      <c r="AE279" s="11">
        <f ca="1"/>
        <v>0.67857608678717263</v>
      </c>
      <c r="AF279" s="11">
        <v>0.62899744304225891</v>
      </c>
    </row>
    <row r="280" spans="1:32" s="11" customFormat="1" ht="28.5" customHeight="1">
      <c r="A280" s="96">
        <v>279</v>
      </c>
      <c r="B280" s="5" t="s">
        <v>84</v>
      </c>
      <c r="C280" s="5" t="s">
        <v>67</v>
      </c>
      <c r="D280" s="5" t="s">
        <v>432</v>
      </c>
      <c r="E280" s="5" t="s">
        <v>96</v>
      </c>
      <c r="F280" s="5" t="s">
        <v>97</v>
      </c>
      <c r="G280" s="35" t="s">
        <v>70</v>
      </c>
      <c r="H280" s="44">
        <v>31469.5</v>
      </c>
      <c r="I280" s="44">
        <f>Table1[[#This Row],[Contracted Amount]]*AF280</f>
        <v>16927.736686819611</v>
      </c>
      <c r="J280" s="44">
        <f>(42342.89+400)*0.9+(42342.89+400)*0.1</f>
        <v>42742.89</v>
      </c>
      <c r="K280" s="44">
        <f>Table1[[#This Row],[Actual Expenditure (including admin fees)]]*AF280</f>
        <v>22991.797999767874</v>
      </c>
      <c r="L280" s="35" t="s">
        <v>71</v>
      </c>
      <c r="M280" s="42" t="s">
        <v>72</v>
      </c>
      <c r="N280" s="42">
        <v>43431</v>
      </c>
      <c r="O280" s="100" t="s">
        <v>73</v>
      </c>
      <c r="P280" s="42">
        <v>43446</v>
      </c>
      <c r="Q280" s="42">
        <f>Table1[[#This Row],[Site handover date]]+7</f>
        <v>43453</v>
      </c>
      <c r="R280" s="42">
        <v>43550</v>
      </c>
      <c r="S280" s="36" t="s">
        <v>71</v>
      </c>
      <c r="T280" s="89" t="s">
        <v>433</v>
      </c>
      <c r="U280" s="9">
        <v>43791</v>
      </c>
      <c r="V280" s="118" t="s">
        <v>71</v>
      </c>
      <c r="W280" s="118" t="s">
        <v>98</v>
      </c>
      <c r="X280" s="136">
        <v>1</v>
      </c>
      <c r="Y280" s="23">
        <v>10480</v>
      </c>
      <c r="Z280" s="34" t="str">
        <f>IF(ISERROR(VLOOKUP(Y280,'Data inputs '!$N$4:$O$23,2,0)),"",(VLOOKUP(Y280,'Data inputs '!$N$4:$O$23,2,0)))</f>
        <v>USAID</v>
      </c>
      <c r="AA280" s="34">
        <v>112158</v>
      </c>
      <c r="AB280" s="7">
        <v>32.466999999999999</v>
      </c>
      <c r="AC280" s="7">
        <v>13.256</v>
      </c>
      <c r="AE280" s="11">
        <f ca="1"/>
        <v>0.52958911068050907</v>
      </c>
      <c r="AF280" s="11">
        <v>0.53790929906161877</v>
      </c>
    </row>
    <row r="281" spans="1:32" s="11" customFormat="1" ht="28.5" customHeight="1">
      <c r="A281" s="96">
        <v>280</v>
      </c>
      <c r="B281" s="5" t="s">
        <v>84</v>
      </c>
      <c r="C281" s="5" t="s">
        <v>67</v>
      </c>
      <c r="D281" s="5" t="s">
        <v>432</v>
      </c>
      <c r="E281" s="5" t="s">
        <v>96</v>
      </c>
      <c r="F281" s="5" t="s">
        <v>97</v>
      </c>
      <c r="G281" s="35" t="s">
        <v>70</v>
      </c>
      <c r="H281" s="44">
        <v>21840</v>
      </c>
      <c r="I281" s="44">
        <f>Table1[[#This Row],[Contracted Amount]]*AF281</f>
        <v>12426.749399119772</v>
      </c>
      <c r="J281" s="44">
        <f>(9937.2+10797.95)</f>
        <v>20735.150000000001</v>
      </c>
      <c r="K281" s="44">
        <f>Table1[[#This Row],[Actual Expenditure (including admin fees)]]*AF281</f>
        <v>11798.100403075015</v>
      </c>
      <c r="L281" s="35" t="s">
        <v>71</v>
      </c>
      <c r="M281" s="42" t="s">
        <v>72</v>
      </c>
      <c r="N281" s="42">
        <v>43423</v>
      </c>
      <c r="O281" s="100" t="s">
        <v>73</v>
      </c>
      <c r="P281" s="42">
        <v>43453</v>
      </c>
      <c r="Q281" s="42">
        <f>Table1[[#This Row],[Site handover date]]+7</f>
        <v>43460</v>
      </c>
      <c r="R281" s="42">
        <v>43776</v>
      </c>
      <c r="S281" s="36" t="s">
        <v>71</v>
      </c>
      <c r="T281" s="89" t="s">
        <v>434</v>
      </c>
      <c r="U281" s="9">
        <v>43791</v>
      </c>
      <c r="V281" s="118" t="s">
        <v>71</v>
      </c>
      <c r="W281" s="118" t="s">
        <v>98</v>
      </c>
      <c r="X281" s="136">
        <v>1</v>
      </c>
      <c r="Y281" s="23" t="s">
        <v>294</v>
      </c>
      <c r="Z281" s="34" t="s">
        <v>435</v>
      </c>
      <c r="AA281" s="34">
        <v>112158</v>
      </c>
      <c r="AB281" s="7">
        <v>32.408000000000001</v>
      </c>
      <c r="AC281" s="7">
        <v>13.228</v>
      </c>
      <c r="AE281" s="11">
        <f ca="1"/>
        <v>0.63380874782338847</v>
      </c>
      <c r="AF281" s="11">
        <v>0.56899035710255363</v>
      </c>
    </row>
    <row r="282" spans="1:32" s="11" customFormat="1" ht="28.5" customHeight="1">
      <c r="A282" s="96">
        <v>281</v>
      </c>
      <c r="B282" s="5" t="s">
        <v>84</v>
      </c>
      <c r="C282" s="5" t="s">
        <v>67</v>
      </c>
      <c r="D282" s="5" t="s">
        <v>432</v>
      </c>
      <c r="E282" s="5" t="s">
        <v>96</v>
      </c>
      <c r="F282" s="5" t="s">
        <v>97</v>
      </c>
      <c r="G282" s="35" t="s">
        <v>70</v>
      </c>
      <c r="H282" s="44">
        <v>40070</v>
      </c>
      <c r="I282" s="44">
        <f>Table1[[#This Row],[Contracted Amount]]*AF282</f>
        <v>28157.577373715369</v>
      </c>
      <c r="J282" s="44">
        <f>(41934.74+2538.22)</f>
        <v>44472.959999999999</v>
      </c>
      <c r="K282" s="44">
        <f>Table1[[#This Row],[Actual Expenditure (including admin fees)]]*AF282</f>
        <v>31251.580040882171</v>
      </c>
      <c r="L282" s="35" t="s">
        <v>71</v>
      </c>
      <c r="M282" s="42" t="s">
        <v>72</v>
      </c>
      <c r="N282" s="42">
        <v>43423</v>
      </c>
      <c r="O282" s="100" t="s">
        <v>73</v>
      </c>
      <c r="P282" s="42">
        <v>43453</v>
      </c>
      <c r="Q282" s="42">
        <f>Table1[[#This Row],[Site handover date]]+7</f>
        <v>43460</v>
      </c>
      <c r="R282" s="42">
        <v>43776</v>
      </c>
      <c r="S282" s="36" t="s">
        <v>71</v>
      </c>
      <c r="T282" s="89" t="s">
        <v>434</v>
      </c>
      <c r="U282" s="9">
        <v>43791</v>
      </c>
      <c r="V282" s="118" t="s">
        <v>71</v>
      </c>
      <c r="W282" s="118" t="s">
        <v>98</v>
      </c>
      <c r="X282" s="136">
        <v>1</v>
      </c>
      <c r="Y282" s="23" t="s">
        <v>294</v>
      </c>
      <c r="Z282" s="34" t="s">
        <v>435</v>
      </c>
      <c r="AA282" s="34">
        <v>112158</v>
      </c>
      <c r="AB282" s="7">
        <v>32.298999999999999</v>
      </c>
      <c r="AC282" s="7">
        <v>13.269</v>
      </c>
      <c r="AE282" s="11">
        <f ca="1"/>
        <v>0.74745811136365992</v>
      </c>
      <c r="AF282" s="11">
        <v>0.70270969238121705</v>
      </c>
    </row>
    <row r="283" spans="1:32" s="11" customFormat="1" ht="28.5" customHeight="1">
      <c r="A283" s="96">
        <v>282</v>
      </c>
      <c r="B283" s="5" t="s">
        <v>84</v>
      </c>
      <c r="C283" s="5" t="s">
        <v>67</v>
      </c>
      <c r="D283" s="5" t="s">
        <v>432</v>
      </c>
      <c r="E283" s="5" t="s">
        <v>96</v>
      </c>
      <c r="F283" s="5" t="s">
        <v>97</v>
      </c>
      <c r="G283" s="35" t="s">
        <v>70</v>
      </c>
      <c r="H283" s="44">
        <v>26575</v>
      </c>
      <c r="I283" s="44">
        <f>Table1[[#This Row],[Contracted Amount]]*AF283</f>
        <v>17114.577579566783</v>
      </c>
      <c r="J283" s="44">
        <f>(21083.35+1529.01)</f>
        <v>22612.359999999997</v>
      </c>
      <c r="K283" s="44">
        <f>Table1[[#This Row],[Actual Expenditure (including admin fees)]]*AF283</f>
        <v>14562.596029241495</v>
      </c>
      <c r="L283" s="35" t="s">
        <v>71</v>
      </c>
      <c r="M283" s="42" t="s">
        <v>72</v>
      </c>
      <c r="N283" s="42">
        <v>43423</v>
      </c>
      <c r="O283" s="100" t="s">
        <v>73</v>
      </c>
      <c r="P283" s="42">
        <v>43453</v>
      </c>
      <c r="Q283" s="42">
        <f>Table1[[#This Row],[Site handover date]]+7</f>
        <v>43460</v>
      </c>
      <c r="R283" s="42">
        <v>43776</v>
      </c>
      <c r="S283" s="36" t="s">
        <v>71</v>
      </c>
      <c r="T283" s="89" t="s">
        <v>434</v>
      </c>
      <c r="U283" s="9">
        <v>43791</v>
      </c>
      <c r="V283" s="118" t="s">
        <v>71</v>
      </c>
      <c r="W283" s="118" t="s">
        <v>98</v>
      </c>
      <c r="X283" s="136">
        <v>1</v>
      </c>
      <c r="Y283" s="23" t="s">
        <v>294</v>
      </c>
      <c r="Z283" s="34" t="s">
        <v>435</v>
      </c>
      <c r="AA283" s="34">
        <v>112158</v>
      </c>
      <c r="AB283" s="7">
        <v>32.444000000000003</v>
      </c>
      <c r="AC283" s="7">
        <v>13.282999999999999</v>
      </c>
      <c r="AE283" s="11">
        <f ca="1"/>
        <v>0.63604071103884452</v>
      </c>
      <c r="AF283" s="11">
        <v>0.64401044513891947</v>
      </c>
    </row>
    <row r="284" spans="1:32" s="11" customFormat="1" ht="28.5" customHeight="1">
      <c r="A284" s="96">
        <v>283</v>
      </c>
      <c r="B284" s="5" t="s">
        <v>66</v>
      </c>
      <c r="C284" s="5" t="s">
        <v>67</v>
      </c>
      <c r="D284" s="5" t="s">
        <v>432</v>
      </c>
      <c r="E284" s="5" t="s">
        <v>4</v>
      </c>
      <c r="F284" s="5" t="s">
        <v>125</v>
      </c>
      <c r="G284" s="35" t="s">
        <v>70</v>
      </c>
      <c r="H284" s="46">
        <f>1690653.45/65</f>
        <v>26010.053076923075</v>
      </c>
      <c r="I284" s="46">
        <f>Table1[[#This Row],[Contracted Amount]]*AF284</f>
        <v>14514.817506759962</v>
      </c>
      <c r="J284" s="46">
        <f>1404237.94/65</f>
        <v>21603.660615384615</v>
      </c>
      <c r="K284" s="46">
        <f>Table1[[#This Row],[Actual Expenditure (including admin fees)]]*AF284</f>
        <v>12055.845883240321</v>
      </c>
      <c r="L284" s="35" t="s">
        <v>71</v>
      </c>
      <c r="M284" s="42" t="s">
        <v>72</v>
      </c>
      <c r="N284" s="42">
        <v>43494</v>
      </c>
      <c r="O284" s="100" t="s">
        <v>73</v>
      </c>
      <c r="P284" s="42"/>
      <c r="Q284" s="42"/>
      <c r="R284" s="42">
        <v>44140</v>
      </c>
      <c r="S284" s="36" t="s">
        <v>71</v>
      </c>
      <c r="T284" s="89" t="s">
        <v>401</v>
      </c>
      <c r="U284" s="9">
        <v>44146</v>
      </c>
      <c r="V284" s="118" t="s">
        <v>71</v>
      </c>
      <c r="W284" s="118" t="s">
        <v>126</v>
      </c>
      <c r="X284" s="136">
        <v>1</v>
      </c>
      <c r="Y284" s="132" t="s">
        <v>402</v>
      </c>
      <c r="Z284" s="88" t="s">
        <v>403</v>
      </c>
      <c r="AA284" s="34" t="s">
        <v>264</v>
      </c>
      <c r="AB284" s="7"/>
      <c r="AC284" s="7"/>
      <c r="AE284" s="11">
        <f ca="1"/>
        <v>0.7106297029128833</v>
      </c>
      <c r="AF284" s="11">
        <v>0.55804643934532983</v>
      </c>
    </row>
    <row r="285" spans="1:32" s="11" customFormat="1" ht="28.5" customHeight="1">
      <c r="A285" s="96">
        <v>284</v>
      </c>
      <c r="B285" s="5" t="s">
        <v>66</v>
      </c>
      <c r="C285" s="5" t="s">
        <v>67</v>
      </c>
      <c r="D285" s="5" t="s">
        <v>432</v>
      </c>
      <c r="E285" s="5" t="s">
        <v>4</v>
      </c>
      <c r="F285" s="5" t="s">
        <v>125</v>
      </c>
      <c r="G285" s="35" t="s">
        <v>70</v>
      </c>
      <c r="H285" s="46">
        <f>1690653.45/65</f>
        <v>26010.053076923075</v>
      </c>
      <c r="I285" s="46">
        <f>Table1[[#This Row],[Contracted Amount]]*AF285</f>
        <v>18055.830479135893</v>
      </c>
      <c r="J285" s="46">
        <f>1404237.94/65</f>
        <v>21603.660615384615</v>
      </c>
      <c r="K285" s="46">
        <f>Table1[[#This Row],[Actual Expenditure (including admin fees)]]*AF285</f>
        <v>14996.971849559706</v>
      </c>
      <c r="L285" s="35" t="s">
        <v>71</v>
      </c>
      <c r="M285" s="42" t="s">
        <v>72</v>
      </c>
      <c r="N285" s="42">
        <v>43494</v>
      </c>
      <c r="O285" s="100" t="s">
        <v>73</v>
      </c>
      <c r="P285" s="42"/>
      <c r="Q285" s="42"/>
      <c r="R285" s="42">
        <v>44140</v>
      </c>
      <c r="S285" s="36" t="s">
        <v>71</v>
      </c>
      <c r="T285" s="89" t="s">
        <v>401</v>
      </c>
      <c r="U285" s="9">
        <v>44146</v>
      </c>
      <c r="V285" s="118" t="s">
        <v>71</v>
      </c>
      <c r="W285" s="118" t="s">
        <v>126</v>
      </c>
      <c r="X285" s="136">
        <v>1</v>
      </c>
      <c r="Y285" s="132" t="s">
        <v>402</v>
      </c>
      <c r="Z285" s="88" t="s">
        <v>403</v>
      </c>
      <c r="AA285" s="34" t="s">
        <v>264</v>
      </c>
      <c r="AB285" s="7"/>
      <c r="AC285" s="7"/>
      <c r="AE285" s="11">
        <f ca="1"/>
        <v>0.62511182514694641</v>
      </c>
      <c r="AF285" s="11">
        <v>0.69418660645316344</v>
      </c>
    </row>
    <row r="286" spans="1:32" s="11" customFormat="1" ht="28.5" customHeight="1">
      <c r="A286" s="96">
        <v>285</v>
      </c>
      <c r="B286" s="5" t="s">
        <v>66</v>
      </c>
      <c r="C286" s="5" t="s">
        <v>67</v>
      </c>
      <c r="D286" s="5" t="s">
        <v>432</v>
      </c>
      <c r="E286" s="5" t="s">
        <v>4</v>
      </c>
      <c r="F286" s="5" t="s">
        <v>125</v>
      </c>
      <c r="G286" s="35" t="s">
        <v>70</v>
      </c>
      <c r="H286" s="46">
        <f>1690653.45/65</f>
        <v>26010.053076923075</v>
      </c>
      <c r="I286" s="46">
        <f>Table1[[#This Row],[Contracted Amount]]*AF286</f>
        <v>18967.517286836293</v>
      </c>
      <c r="J286" s="46">
        <f>1404237.94/65</f>
        <v>21603.660615384615</v>
      </c>
      <c r="K286" s="46">
        <f>Table1[[#This Row],[Actual Expenditure (including admin fees)]]*AF286</f>
        <v>15754.208765718004</v>
      </c>
      <c r="L286" s="35" t="s">
        <v>71</v>
      </c>
      <c r="M286" s="42" t="s">
        <v>72</v>
      </c>
      <c r="N286" s="42">
        <v>43494</v>
      </c>
      <c r="O286" s="100" t="s">
        <v>73</v>
      </c>
      <c r="P286" s="42"/>
      <c r="Q286" s="42"/>
      <c r="R286" s="42">
        <v>44140</v>
      </c>
      <c r="S286" s="36" t="s">
        <v>71</v>
      </c>
      <c r="T286" s="89" t="s">
        <v>401</v>
      </c>
      <c r="U286" s="9">
        <v>44146</v>
      </c>
      <c r="V286" s="118" t="s">
        <v>71</v>
      </c>
      <c r="W286" s="118" t="s">
        <v>126</v>
      </c>
      <c r="X286" s="136">
        <v>1</v>
      </c>
      <c r="Y286" s="132" t="s">
        <v>402</v>
      </c>
      <c r="Z286" s="88" t="s">
        <v>403</v>
      </c>
      <c r="AA286" s="34" t="s">
        <v>264</v>
      </c>
      <c r="AB286" s="7"/>
      <c r="AC286" s="7"/>
      <c r="AE286" s="11">
        <f ca="1"/>
        <v>0.53642747886738729</v>
      </c>
      <c r="AF286" s="11">
        <v>0.72923793083932076</v>
      </c>
    </row>
    <row r="287" spans="1:32" s="11" customFormat="1" ht="28.5" customHeight="1">
      <c r="A287" s="96">
        <v>286</v>
      </c>
      <c r="B287" s="5" t="s">
        <v>66</v>
      </c>
      <c r="C287" s="5" t="s">
        <v>67</v>
      </c>
      <c r="D287" s="5" t="s">
        <v>432</v>
      </c>
      <c r="E287" s="5" t="s">
        <v>4</v>
      </c>
      <c r="F287" s="5" t="s">
        <v>125</v>
      </c>
      <c r="G287" s="35" t="s">
        <v>70</v>
      </c>
      <c r="H287" s="46">
        <f>1690653.45/65</f>
        <v>26010.053076923075</v>
      </c>
      <c r="I287" s="46">
        <f>Table1[[#This Row],[Contracted Amount]]*AF287</f>
        <v>18257.744097026487</v>
      </c>
      <c r="J287" s="46">
        <f>1404237.94/65</f>
        <v>21603.660615384615</v>
      </c>
      <c r="K287" s="46">
        <f>Table1[[#This Row],[Actual Expenditure (including admin fees)]]*AF287</f>
        <v>15164.679053448615</v>
      </c>
      <c r="L287" s="35" t="s">
        <v>71</v>
      </c>
      <c r="M287" s="42" t="s">
        <v>72</v>
      </c>
      <c r="N287" s="42">
        <v>43494</v>
      </c>
      <c r="O287" s="100" t="s">
        <v>73</v>
      </c>
      <c r="P287" s="42"/>
      <c r="Q287" s="42"/>
      <c r="R287" s="42">
        <v>44140</v>
      </c>
      <c r="S287" s="36" t="s">
        <v>71</v>
      </c>
      <c r="T287" s="89" t="s">
        <v>401</v>
      </c>
      <c r="U287" s="9">
        <v>44146</v>
      </c>
      <c r="V287" s="118" t="s">
        <v>71</v>
      </c>
      <c r="W287" s="118" t="s">
        <v>126</v>
      </c>
      <c r="X287" s="136">
        <v>1</v>
      </c>
      <c r="Y287" s="132" t="s">
        <v>402</v>
      </c>
      <c r="Z287" s="88" t="s">
        <v>403</v>
      </c>
      <c r="AA287" s="34" t="s">
        <v>264</v>
      </c>
      <c r="AB287" s="7"/>
      <c r="AC287" s="7"/>
      <c r="AE287" s="11">
        <f ca="1"/>
        <v>0.74743812074148408</v>
      </c>
      <c r="AF287" s="11">
        <v>0.70194951325283239</v>
      </c>
    </row>
    <row r="288" spans="1:32" s="11" customFormat="1" ht="28.5" customHeight="1">
      <c r="A288" s="96">
        <v>287</v>
      </c>
      <c r="B288" s="5" t="s">
        <v>66</v>
      </c>
      <c r="C288" s="5" t="s">
        <v>67</v>
      </c>
      <c r="D288" s="5" t="s">
        <v>432</v>
      </c>
      <c r="E288" s="5" t="s">
        <v>4</v>
      </c>
      <c r="F288" s="5" t="s">
        <v>125</v>
      </c>
      <c r="G288" s="35" t="s">
        <v>70</v>
      </c>
      <c r="H288" s="46">
        <f>1690653.45/65</f>
        <v>26010.053076923075</v>
      </c>
      <c r="I288" s="46">
        <f>Table1[[#This Row],[Contracted Amount]]*AF288</f>
        <v>15854.672400430733</v>
      </c>
      <c r="J288" s="46">
        <f>1404237.94/65</f>
        <v>21603.660615384615</v>
      </c>
      <c r="K288" s="46">
        <f>Table1[[#This Row],[Actual Expenditure (including admin fees)]]*AF288</f>
        <v>13168.714446450103</v>
      </c>
      <c r="L288" s="35" t="s">
        <v>71</v>
      </c>
      <c r="M288" s="42" t="s">
        <v>72</v>
      </c>
      <c r="N288" s="42">
        <v>43494</v>
      </c>
      <c r="O288" s="100" t="s">
        <v>73</v>
      </c>
      <c r="P288" s="42"/>
      <c r="Q288" s="42"/>
      <c r="R288" s="42">
        <v>44140</v>
      </c>
      <c r="S288" s="36" t="s">
        <v>71</v>
      </c>
      <c r="T288" s="89" t="s">
        <v>401</v>
      </c>
      <c r="U288" s="9">
        <v>44146</v>
      </c>
      <c r="V288" s="118" t="s">
        <v>71</v>
      </c>
      <c r="W288" s="118" t="s">
        <v>126</v>
      </c>
      <c r="X288" s="136">
        <v>1</v>
      </c>
      <c r="Y288" s="132" t="s">
        <v>402</v>
      </c>
      <c r="Z288" s="88" t="s">
        <v>403</v>
      </c>
      <c r="AA288" s="34" t="s">
        <v>264</v>
      </c>
      <c r="AB288" s="7"/>
      <c r="AC288" s="7"/>
      <c r="AE288" s="11">
        <f ca="1"/>
        <v>0.50545969818291869</v>
      </c>
      <c r="AF288" s="11">
        <v>0.60955940203357328</v>
      </c>
    </row>
    <row r="289" spans="1:32" s="11" customFormat="1" ht="28.5" customHeight="1">
      <c r="A289" s="96">
        <v>288</v>
      </c>
      <c r="B289" s="5" t="s">
        <v>84</v>
      </c>
      <c r="C289" s="5" t="s">
        <v>67</v>
      </c>
      <c r="D289" s="5" t="s">
        <v>436</v>
      </c>
      <c r="E289" s="5" t="s">
        <v>96</v>
      </c>
      <c r="F289" s="5" t="s">
        <v>97</v>
      </c>
      <c r="G289" s="35" t="s">
        <v>70</v>
      </c>
      <c r="H289" s="44">
        <v>35113</v>
      </c>
      <c r="I289" s="44">
        <f>Table1[[#This Row],[Contracted Amount]]*AF289</f>
        <v>26281.326090892231</v>
      </c>
      <c r="J289" s="44">
        <f>7773.3+20000+3686.4+3653.3</f>
        <v>35113</v>
      </c>
      <c r="K289" s="44">
        <f>Table1[[#This Row],[Actual Expenditure (including admin fees)]]*AF289</f>
        <v>26281.326090892231</v>
      </c>
      <c r="L289" s="35" t="s">
        <v>71</v>
      </c>
      <c r="M289" s="42" t="s">
        <v>72</v>
      </c>
      <c r="N289" s="42">
        <v>43412</v>
      </c>
      <c r="O289" s="100" t="s">
        <v>73</v>
      </c>
      <c r="P289" s="42">
        <v>43419</v>
      </c>
      <c r="Q289" s="42">
        <f>Table1[[#This Row],[Site handover date]]+7</f>
        <v>43426</v>
      </c>
      <c r="R289" s="42">
        <v>43580</v>
      </c>
      <c r="S289" s="36" t="s">
        <v>71</v>
      </c>
      <c r="T289" s="89" t="s">
        <v>421</v>
      </c>
      <c r="U289" s="9">
        <v>43671</v>
      </c>
      <c r="V289" s="118" t="s">
        <v>71</v>
      </c>
      <c r="W289" s="118" t="s">
        <v>98</v>
      </c>
      <c r="X289" s="136">
        <v>1</v>
      </c>
      <c r="Y289" s="22">
        <v>717</v>
      </c>
      <c r="Z289" s="34" t="str">
        <f>IF(ISERROR(VLOOKUP(Y289,'Data inputs '!$N$4:$O$23,2,0)),"",(VLOOKUP(Y289,'Data inputs '!$N$4:$O$23,2,0)))</f>
        <v>C/S ROK</v>
      </c>
      <c r="AA289" s="34">
        <v>98720</v>
      </c>
      <c r="AB289" s="7">
        <v>32.905059999999999</v>
      </c>
      <c r="AC289" s="7">
        <v>13.25506</v>
      </c>
      <c r="AE289" s="11">
        <f ca="1"/>
        <v>0.57584058726973464</v>
      </c>
      <c r="AF289" s="11">
        <v>0.74847851482050043</v>
      </c>
    </row>
    <row r="290" spans="1:32" s="11" customFormat="1" ht="28.5" customHeight="1">
      <c r="A290" s="96">
        <v>289</v>
      </c>
      <c r="B290" s="5" t="s">
        <v>84</v>
      </c>
      <c r="C290" s="5" t="s">
        <v>67</v>
      </c>
      <c r="D290" s="5" t="s">
        <v>436</v>
      </c>
      <c r="E290" s="5" t="s">
        <v>96</v>
      </c>
      <c r="F290" s="5" t="s">
        <v>97</v>
      </c>
      <c r="G290" s="35" t="s">
        <v>70</v>
      </c>
      <c r="H290" s="44">
        <v>31253</v>
      </c>
      <c r="I290" s="44">
        <f>Table1[[#This Row],[Contracted Amount]]*AF290</f>
        <v>20010.906709866333</v>
      </c>
      <c r="J290" s="44">
        <f>17725.69+9807.75+3719.56</f>
        <v>31253</v>
      </c>
      <c r="K290" s="44">
        <f>Table1[[#This Row],[Actual Expenditure (including admin fees)]]*AF290</f>
        <v>20010.906709866333</v>
      </c>
      <c r="L290" s="35" t="s">
        <v>71</v>
      </c>
      <c r="M290" s="42" t="s">
        <v>72</v>
      </c>
      <c r="N290" s="42">
        <v>43412</v>
      </c>
      <c r="O290" s="100" t="s">
        <v>73</v>
      </c>
      <c r="P290" s="42">
        <v>43419</v>
      </c>
      <c r="Q290" s="42">
        <f>Table1[[#This Row],[Site handover date]]+7</f>
        <v>43426</v>
      </c>
      <c r="R290" s="42">
        <v>43580</v>
      </c>
      <c r="S290" s="36" t="s">
        <v>71</v>
      </c>
      <c r="T290" s="89" t="s">
        <v>421</v>
      </c>
      <c r="U290" s="9">
        <v>43671</v>
      </c>
      <c r="V290" s="118" t="s">
        <v>71</v>
      </c>
      <c r="W290" s="118" t="s">
        <v>98</v>
      </c>
      <c r="X290" s="136">
        <v>1</v>
      </c>
      <c r="Y290" s="22">
        <v>717</v>
      </c>
      <c r="Z290" s="34" t="str">
        <f>IF(ISERROR(VLOOKUP(Y290,'Data inputs '!$N$4:$O$23,2,0)),"",(VLOOKUP(Y290,'Data inputs '!$N$4:$O$23,2,0)))</f>
        <v>C/S ROK</v>
      </c>
      <c r="AA290" s="34">
        <v>98720</v>
      </c>
      <c r="AB290" s="7">
        <v>32.886980000000001</v>
      </c>
      <c r="AC290" s="7">
        <v>13.230449999999999</v>
      </c>
      <c r="AE290" s="11">
        <f ca="1"/>
        <v>0.66257357435899111</v>
      </c>
      <c r="AF290" s="11">
        <v>0.64028754711119995</v>
      </c>
    </row>
    <row r="291" spans="1:32" s="11" customFormat="1" ht="28.5" customHeight="1">
      <c r="A291" s="96">
        <v>290</v>
      </c>
      <c r="B291" s="5" t="s">
        <v>84</v>
      </c>
      <c r="C291" s="5" t="s">
        <v>67</v>
      </c>
      <c r="D291" s="5" t="s">
        <v>436</v>
      </c>
      <c r="E291" s="5" t="s">
        <v>96</v>
      </c>
      <c r="F291" s="5" t="s">
        <v>97</v>
      </c>
      <c r="G291" s="35" t="s">
        <v>70</v>
      </c>
      <c r="H291" s="44">
        <v>38578</v>
      </c>
      <c r="I291" s="44">
        <f>Table1[[#This Row],[Contracted Amount]]*AF291</f>
        <v>23505.17490519995</v>
      </c>
      <c r="J291" s="44">
        <f>15378.13+20000+3074.81</f>
        <v>38452.939999999995</v>
      </c>
      <c r="K291" s="44">
        <f>Table1[[#This Row],[Actual Expenditure (including admin fees)]]*AF291</f>
        <v>23428.977145501565</v>
      </c>
      <c r="L291" s="35" t="s">
        <v>71</v>
      </c>
      <c r="M291" s="42" t="s">
        <v>72</v>
      </c>
      <c r="N291" s="42">
        <v>43412</v>
      </c>
      <c r="O291" s="100" t="s">
        <v>73</v>
      </c>
      <c r="P291" s="42">
        <v>43419</v>
      </c>
      <c r="Q291" s="42">
        <f>Table1[[#This Row],[Site handover date]]+7</f>
        <v>43426</v>
      </c>
      <c r="R291" s="42">
        <v>43580</v>
      </c>
      <c r="S291" s="36" t="s">
        <v>71</v>
      </c>
      <c r="T291" s="89" t="s">
        <v>421</v>
      </c>
      <c r="U291" s="9">
        <v>43671</v>
      </c>
      <c r="V291" s="118" t="s">
        <v>71</v>
      </c>
      <c r="W291" s="118" t="s">
        <v>98</v>
      </c>
      <c r="X291" s="136">
        <v>1</v>
      </c>
      <c r="Y291" s="22">
        <v>717</v>
      </c>
      <c r="Z291" s="34" t="str">
        <f>IF(ISERROR(VLOOKUP(Y291,'Data inputs '!$N$4:$O$23,2,0)),"",(VLOOKUP(Y291,'Data inputs '!$N$4:$O$23,2,0)))</f>
        <v>C/S ROK</v>
      </c>
      <c r="AA291" s="34">
        <v>98720</v>
      </c>
      <c r="AB291" s="7">
        <v>32.893450000000001</v>
      </c>
      <c r="AC291" s="7">
        <v>13.23845</v>
      </c>
      <c r="AE291" s="11">
        <f ca="1"/>
        <v>0.53125421884770418</v>
      </c>
      <c r="AF291" s="11">
        <v>0.60928961857016828</v>
      </c>
    </row>
    <row r="292" spans="1:32" s="11" customFormat="1" ht="28.5" customHeight="1">
      <c r="A292" s="96">
        <v>291</v>
      </c>
      <c r="B292" s="5" t="s">
        <v>84</v>
      </c>
      <c r="C292" s="5" t="s">
        <v>67</v>
      </c>
      <c r="D292" s="5" t="s">
        <v>436</v>
      </c>
      <c r="E292" s="5" t="s">
        <v>96</v>
      </c>
      <c r="F292" s="5" t="s">
        <v>97</v>
      </c>
      <c r="G292" s="35" t="s">
        <v>70</v>
      </c>
      <c r="H292" s="44">
        <v>41886</v>
      </c>
      <c r="I292" s="44">
        <f>Table1[[#This Row],[Contracted Amount]]*AF292</f>
        <v>24237.421655891878</v>
      </c>
      <c r="J292" s="44">
        <f>36624.65</f>
        <v>36624.65</v>
      </c>
      <c r="K292" s="44">
        <f>Table1[[#This Row],[Actual Expenditure (including admin fees)]]*AF292</f>
        <v>21192.930455270507</v>
      </c>
      <c r="L292" s="35" t="s">
        <v>71</v>
      </c>
      <c r="M292" s="42" t="s">
        <v>72</v>
      </c>
      <c r="N292" s="42">
        <v>43399</v>
      </c>
      <c r="O292" s="100" t="s">
        <v>73</v>
      </c>
      <c r="P292" s="42">
        <v>43406</v>
      </c>
      <c r="Q292" s="42">
        <f>Table1[[#This Row],[Site handover date]]+7</f>
        <v>43413</v>
      </c>
      <c r="R292" s="42">
        <v>43530</v>
      </c>
      <c r="S292" s="36" t="s">
        <v>71</v>
      </c>
      <c r="T292" s="89" t="s">
        <v>437</v>
      </c>
      <c r="U292" s="9">
        <v>43580</v>
      </c>
      <c r="V292" s="118" t="s">
        <v>71</v>
      </c>
      <c r="W292" s="118" t="s">
        <v>98</v>
      </c>
      <c r="X292" s="136">
        <v>1</v>
      </c>
      <c r="Y292" s="22">
        <v>141</v>
      </c>
      <c r="Z292" s="34" t="str">
        <f>IF(ISERROR(VLOOKUP(Y292,'Data inputs '!$N$4:$O$23,2,0)),"",(VLOOKUP(Y292,'Data inputs '!$N$4:$O$23,2,0)))</f>
        <v>Japan</v>
      </c>
      <c r="AA292" s="34">
        <v>98720</v>
      </c>
      <c r="AB292" s="7">
        <v>32.903260000000003</v>
      </c>
      <c r="AC292" s="7">
        <v>13.238479999999999</v>
      </c>
      <c r="AE292" s="11">
        <f ca="1"/>
        <v>0.71057613917157469</v>
      </c>
      <c r="AF292" s="11">
        <v>0.57865209511273163</v>
      </c>
    </row>
    <row r="293" spans="1:32" s="11" customFormat="1" ht="28.5" customHeight="1">
      <c r="A293" s="96">
        <v>292</v>
      </c>
      <c r="B293" s="5" t="s">
        <v>84</v>
      </c>
      <c r="C293" s="5" t="s">
        <v>67</v>
      </c>
      <c r="D293" s="5" t="s">
        <v>436</v>
      </c>
      <c r="E293" s="5" t="s">
        <v>96</v>
      </c>
      <c r="F293" s="5" t="s">
        <v>97</v>
      </c>
      <c r="G293" s="35" t="s">
        <v>70</v>
      </c>
      <c r="H293" s="44">
        <v>14780</v>
      </c>
      <c r="I293" s="44">
        <f>Table1[[#This Row],[Contracted Amount]]*AF293</f>
        <v>9422.2217428575132</v>
      </c>
      <c r="J293" s="44">
        <f>19421.32</f>
        <v>19421.32</v>
      </c>
      <c r="K293" s="44">
        <f>Table1[[#This Row],[Actual Expenditure (including admin fees)]]*AF293</f>
        <v>12381.054369350033</v>
      </c>
      <c r="L293" s="35" t="s">
        <v>71</v>
      </c>
      <c r="M293" s="42" t="s">
        <v>72</v>
      </c>
      <c r="N293" s="42">
        <v>43399</v>
      </c>
      <c r="O293" s="100" t="s">
        <v>73</v>
      </c>
      <c r="P293" s="42">
        <v>43406</v>
      </c>
      <c r="Q293" s="42">
        <f>Table1[[#This Row],[Site handover date]]+7</f>
        <v>43413</v>
      </c>
      <c r="R293" s="42">
        <v>43530</v>
      </c>
      <c r="S293" s="36" t="s">
        <v>71</v>
      </c>
      <c r="T293" s="89" t="s">
        <v>437</v>
      </c>
      <c r="U293" s="9">
        <v>43580</v>
      </c>
      <c r="V293" s="118" t="s">
        <v>71</v>
      </c>
      <c r="W293" s="118" t="s">
        <v>98</v>
      </c>
      <c r="X293" s="136">
        <v>1</v>
      </c>
      <c r="Y293" s="22">
        <v>141</v>
      </c>
      <c r="Z293" s="34" t="str">
        <f>IF(ISERROR(VLOOKUP(Y293,'Data inputs '!$N$4:$O$23,2,0)),"",(VLOOKUP(Y293,'Data inputs '!$N$4:$O$23,2,0)))</f>
        <v>Japan</v>
      </c>
      <c r="AA293" s="34">
        <v>98720</v>
      </c>
      <c r="AB293" s="7">
        <v>32.889270000000003</v>
      </c>
      <c r="AC293" s="7">
        <v>13.237069999999999</v>
      </c>
      <c r="AE293" s="11">
        <f ca="1"/>
        <v>0.60947669113687442</v>
      </c>
      <c r="AF293" s="11">
        <v>0.63749808815003473</v>
      </c>
    </row>
    <row r="294" spans="1:32" s="11" customFormat="1" ht="28.5" customHeight="1">
      <c r="A294" s="96">
        <v>293</v>
      </c>
      <c r="B294" s="5" t="s">
        <v>84</v>
      </c>
      <c r="C294" s="5" t="s">
        <v>67</v>
      </c>
      <c r="D294" s="5" t="s">
        <v>436</v>
      </c>
      <c r="E294" s="5" t="s">
        <v>96</v>
      </c>
      <c r="F294" s="5" t="s">
        <v>97</v>
      </c>
      <c r="G294" s="35" t="s">
        <v>70</v>
      </c>
      <c r="H294" s="44">
        <v>15315</v>
      </c>
      <c r="I294" s="44">
        <f>Table1[[#This Row],[Contracted Amount]]*AF294</f>
        <v>9558.569263255331</v>
      </c>
      <c r="J294" s="44">
        <f>15861.21</f>
        <v>15861.21</v>
      </c>
      <c r="K294" s="44">
        <f>Table1[[#This Row],[Actual Expenditure (including admin fees)]]*AF294</f>
        <v>9899.4759636982089</v>
      </c>
      <c r="L294" s="35" t="s">
        <v>71</v>
      </c>
      <c r="M294" s="42" t="s">
        <v>72</v>
      </c>
      <c r="N294" s="42">
        <v>43399</v>
      </c>
      <c r="O294" s="100" t="s">
        <v>73</v>
      </c>
      <c r="P294" s="42">
        <v>43406</v>
      </c>
      <c r="Q294" s="42">
        <f>Table1[[#This Row],[Site handover date]]+7</f>
        <v>43413</v>
      </c>
      <c r="R294" s="42">
        <v>43530</v>
      </c>
      <c r="S294" s="36" t="s">
        <v>71</v>
      </c>
      <c r="T294" s="89" t="s">
        <v>437</v>
      </c>
      <c r="U294" s="9">
        <v>43580</v>
      </c>
      <c r="V294" s="118" t="s">
        <v>71</v>
      </c>
      <c r="W294" s="118" t="s">
        <v>98</v>
      </c>
      <c r="X294" s="136">
        <v>1</v>
      </c>
      <c r="Y294" s="22">
        <v>141</v>
      </c>
      <c r="Z294" s="34" t="str">
        <f>IF(ISERROR(VLOOKUP(Y294,'Data inputs '!$N$4:$O$23,2,0)),"",(VLOOKUP(Y294,'Data inputs '!$N$4:$O$23,2,0)))</f>
        <v>Japan</v>
      </c>
      <c r="AA294" s="34">
        <v>98720</v>
      </c>
      <c r="AB294" s="7">
        <v>32.890540000000001</v>
      </c>
      <c r="AC294" s="7">
        <v>13.24417</v>
      </c>
      <c r="AE294" s="11">
        <f ca="1"/>
        <v>0.50667874465507345</v>
      </c>
      <c r="AF294" s="11">
        <v>0.6241311957724669</v>
      </c>
    </row>
    <row r="295" spans="1:32" s="11" customFormat="1" ht="28.5" customHeight="1">
      <c r="A295" s="96">
        <v>294</v>
      </c>
      <c r="B295" s="5" t="s">
        <v>66</v>
      </c>
      <c r="C295" s="5" t="s">
        <v>67</v>
      </c>
      <c r="D295" s="5" t="s">
        <v>436</v>
      </c>
      <c r="E295" s="5" t="s">
        <v>4</v>
      </c>
      <c r="F295" s="5" t="s">
        <v>125</v>
      </c>
      <c r="G295" s="35" t="s">
        <v>70</v>
      </c>
      <c r="H295" s="46">
        <f>1690653.45/65</f>
        <v>26010.053076923075</v>
      </c>
      <c r="I295" s="46">
        <f>Table1[[#This Row],[Contracted Amount]]*AF295</f>
        <v>18397.397605843835</v>
      </c>
      <c r="J295" s="46">
        <f>1404237.94/65</f>
        <v>21603.660615384615</v>
      </c>
      <c r="K295" s="46">
        <f>Table1[[#This Row],[Actual Expenditure (including admin fees)]]*AF295</f>
        <v>15280.673703644636</v>
      </c>
      <c r="L295" s="35" t="s">
        <v>71</v>
      </c>
      <c r="M295" s="42" t="s">
        <v>72</v>
      </c>
      <c r="N295" s="42">
        <v>43494</v>
      </c>
      <c r="O295" s="100" t="s">
        <v>73</v>
      </c>
      <c r="P295" s="42"/>
      <c r="Q295" s="42"/>
      <c r="R295" s="42">
        <v>44140</v>
      </c>
      <c r="S295" s="36" t="s">
        <v>71</v>
      </c>
      <c r="T295" s="89" t="s">
        <v>401</v>
      </c>
      <c r="U295" s="9">
        <v>44146</v>
      </c>
      <c r="V295" s="118" t="s">
        <v>71</v>
      </c>
      <c r="W295" s="118" t="s">
        <v>126</v>
      </c>
      <c r="X295" s="136">
        <v>1</v>
      </c>
      <c r="Y295" s="132" t="s">
        <v>402</v>
      </c>
      <c r="Z295" s="88" t="s">
        <v>403</v>
      </c>
      <c r="AA295" s="34" t="s">
        <v>264</v>
      </c>
      <c r="AB295" s="7"/>
      <c r="AC295" s="7"/>
      <c r="AE295" s="11">
        <f ca="1"/>
        <v>0.52966945262843501</v>
      </c>
      <c r="AF295" s="11">
        <v>0.70731872601085066</v>
      </c>
    </row>
    <row r="296" spans="1:32" s="11" customFormat="1" ht="28.5" customHeight="1">
      <c r="A296" s="96">
        <v>295</v>
      </c>
      <c r="B296" s="5" t="s">
        <v>66</v>
      </c>
      <c r="C296" s="5" t="s">
        <v>67</v>
      </c>
      <c r="D296" s="5" t="s">
        <v>436</v>
      </c>
      <c r="E296" s="5" t="s">
        <v>4</v>
      </c>
      <c r="F296" s="5" t="s">
        <v>125</v>
      </c>
      <c r="G296" s="35" t="s">
        <v>70</v>
      </c>
      <c r="H296" s="46">
        <f>1690653.45/65</f>
        <v>26010.053076923075</v>
      </c>
      <c r="I296" s="46">
        <f>Table1[[#This Row],[Contracted Amount]]*AF296</f>
        <v>15182.277941578413</v>
      </c>
      <c r="J296" s="46">
        <f>1404237.94/65</f>
        <v>21603.660615384615</v>
      </c>
      <c r="K296" s="46">
        <f>Table1[[#This Row],[Actual Expenditure (including admin fees)]]*AF296</f>
        <v>12610.231092119744</v>
      </c>
      <c r="L296" s="35" t="s">
        <v>71</v>
      </c>
      <c r="M296" s="42" t="s">
        <v>72</v>
      </c>
      <c r="N296" s="42">
        <v>43494</v>
      </c>
      <c r="O296" s="100" t="s">
        <v>73</v>
      </c>
      <c r="P296" s="42"/>
      <c r="Q296" s="42"/>
      <c r="R296" s="42">
        <v>44140</v>
      </c>
      <c r="S296" s="36" t="s">
        <v>71</v>
      </c>
      <c r="T296" s="89" t="s">
        <v>401</v>
      </c>
      <c r="U296" s="9">
        <v>44146</v>
      </c>
      <c r="V296" s="118" t="s">
        <v>71</v>
      </c>
      <c r="W296" s="118" t="s">
        <v>126</v>
      </c>
      <c r="X296" s="136">
        <v>1</v>
      </c>
      <c r="Y296" s="132" t="s">
        <v>402</v>
      </c>
      <c r="Z296" s="88" t="s">
        <v>403</v>
      </c>
      <c r="AA296" s="34" t="s">
        <v>264</v>
      </c>
      <c r="AB296" s="7"/>
      <c r="AC296" s="7"/>
      <c r="AE296" s="11">
        <f ca="1"/>
        <v>0.71206571383694961</v>
      </c>
      <c r="AF296" s="11">
        <v>0.58370807228565791</v>
      </c>
    </row>
    <row r="297" spans="1:32" s="11" customFormat="1" ht="28.5" customHeight="1">
      <c r="A297" s="96">
        <v>296</v>
      </c>
      <c r="B297" s="5" t="s">
        <v>66</v>
      </c>
      <c r="C297" s="5" t="s">
        <v>67</v>
      </c>
      <c r="D297" s="5" t="s">
        <v>436</v>
      </c>
      <c r="E297" s="5" t="s">
        <v>4</v>
      </c>
      <c r="F297" s="5" t="s">
        <v>125</v>
      </c>
      <c r="G297" s="35" t="s">
        <v>70</v>
      </c>
      <c r="H297" s="46">
        <f>1690653.45/65</f>
        <v>26010.053076923075</v>
      </c>
      <c r="I297" s="46">
        <f>Table1[[#This Row],[Contracted Amount]]*AF297</f>
        <v>16349.070527522603</v>
      </c>
      <c r="J297" s="46">
        <f>1404237.94/65</f>
        <v>21603.660615384615</v>
      </c>
      <c r="K297" s="46">
        <f>Table1[[#This Row],[Actual Expenditure (including admin fees)]]*AF297</f>
        <v>13579.356028571707</v>
      </c>
      <c r="L297" s="35" t="s">
        <v>71</v>
      </c>
      <c r="M297" s="42" t="s">
        <v>72</v>
      </c>
      <c r="N297" s="42">
        <v>43494</v>
      </c>
      <c r="O297" s="100" t="s">
        <v>73</v>
      </c>
      <c r="P297" s="42"/>
      <c r="Q297" s="42"/>
      <c r="R297" s="42">
        <v>44140</v>
      </c>
      <c r="S297" s="36" t="s">
        <v>71</v>
      </c>
      <c r="T297" s="89" t="s">
        <v>401</v>
      </c>
      <c r="U297" s="9">
        <v>44146</v>
      </c>
      <c r="V297" s="118" t="s">
        <v>71</v>
      </c>
      <c r="W297" s="118" t="s">
        <v>126</v>
      </c>
      <c r="X297" s="136">
        <v>1</v>
      </c>
      <c r="Y297" s="132" t="s">
        <v>402</v>
      </c>
      <c r="Z297" s="88" t="s">
        <v>403</v>
      </c>
      <c r="AA297" s="34" t="s">
        <v>264</v>
      </c>
      <c r="AB297" s="7"/>
      <c r="AC297" s="7"/>
      <c r="AE297" s="11">
        <f ca="1"/>
        <v>0.6703277343014612</v>
      </c>
      <c r="AF297" s="11">
        <v>0.62856736505578314</v>
      </c>
    </row>
    <row r="298" spans="1:32" s="11" customFormat="1" ht="28.5" customHeight="1">
      <c r="A298" s="96">
        <v>297</v>
      </c>
      <c r="B298" s="5" t="s">
        <v>66</v>
      </c>
      <c r="C298" s="5" t="s">
        <v>67</v>
      </c>
      <c r="D298" s="5" t="s">
        <v>436</v>
      </c>
      <c r="E298" s="5" t="s">
        <v>4</v>
      </c>
      <c r="F298" s="5" t="s">
        <v>125</v>
      </c>
      <c r="G298" s="35" t="s">
        <v>70</v>
      </c>
      <c r="H298" s="46">
        <f>1690653.45/65</f>
        <v>26010.053076923075</v>
      </c>
      <c r="I298" s="46">
        <f>Table1[[#This Row],[Contracted Amount]]*AF298</f>
        <v>18021.199399836125</v>
      </c>
      <c r="J298" s="46">
        <f>1404237.94/65</f>
        <v>21603.660615384615</v>
      </c>
      <c r="K298" s="46">
        <f>Table1[[#This Row],[Actual Expenditure (including admin fees)]]*AF298</f>
        <v>14968.207660508495</v>
      </c>
      <c r="L298" s="35" t="s">
        <v>71</v>
      </c>
      <c r="M298" s="42" t="s">
        <v>72</v>
      </c>
      <c r="N298" s="42">
        <v>43494</v>
      </c>
      <c r="O298" s="100" t="s">
        <v>73</v>
      </c>
      <c r="P298" s="42"/>
      <c r="Q298" s="42"/>
      <c r="R298" s="42">
        <v>44140</v>
      </c>
      <c r="S298" s="36" t="s">
        <v>71</v>
      </c>
      <c r="T298" s="89" t="s">
        <v>401</v>
      </c>
      <c r="U298" s="9">
        <v>44146</v>
      </c>
      <c r="V298" s="118" t="s">
        <v>71</v>
      </c>
      <c r="W298" s="118" t="s">
        <v>126</v>
      </c>
      <c r="X298" s="136">
        <v>1</v>
      </c>
      <c r="Y298" s="132" t="s">
        <v>402</v>
      </c>
      <c r="Z298" s="88" t="s">
        <v>403</v>
      </c>
      <c r="AA298" s="34" t="s">
        <v>264</v>
      </c>
      <c r="AB298" s="7"/>
      <c r="AC298" s="7"/>
      <c r="AE298" s="11">
        <f ca="1"/>
        <v>0.74453044900995624</v>
      </c>
      <c r="AF298" s="11">
        <v>0.69285515667882625</v>
      </c>
    </row>
    <row r="299" spans="1:32" s="11" customFormat="1" ht="28.5" customHeight="1">
      <c r="A299" s="96">
        <v>298</v>
      </c>
      <c r="B299" s="5" t="s">
        <v>66</v>
      </c>
      <c r="C299" s="5" t="s">
        <v>67</v>
      </c>
      <c r="D299" s="5" t="s">
        <v>436</v>
      </c>
      <c r="E299" s="5" t="s">
        <v>4</v>
      </c>
      <c r="F299" s="5" t="s">
        <v>125</v>
      </c>
      <c r="G299" s="35" t="s">
        <v>70</v>
      </c>
      <c r="H299" s="46">
        <f>1690653.45/65</f>
        <v>26010.053076923075</v>
      </c>
      <c r="I299" s="46">
        <f>Table1[[#This Row],[Contracted Amount]]*AF299</f>
        <v>16967.758964726414</v>
      </c>
      <c r="J299" s="46">
        <f>1404237.94/65</f>
        <v>21603.660615384615</v>
      </c>
      <c r="K299" s="46">
        <f>Table1[[#This Row],[Actual Expenditure (including admin fees)]]*AF299</f>
        <v>14093.231759024269</v>
      </c>
      <c r="L299" s="35" t="s">
        <v>71</v>
      </c>
      <c r="M299" s="42" t="s">
        <v>72</v>
      </c>
      <c r="N299" s="42">
        <v>43494</v>
      </c>
      <c r="O299" s="100" t="s">
        <v>73</v>
      </c>
      <c r="P299" s="42"/>
      <c r="Q299" s="42"/>
      <c r="R299" s="42">
        <v>44140</v>
      </c>
      <c r="S299" s="36" t="s">
        <v>71</v>
      </c>
      <c r="T299" s="89" t="s">
        <v>401</v>
      </c>
      <c r="U299" s="9">
        <v>44146</v>
      </c>
      <c r="V299" s="118" t="s">
        <v>71</v>
      </c>
      <c r="W299" s="118" t="s">
        <v>126</v>
      </c>
      <c r="X299" s="136">
        <v>1</v>
      </c>
      <c r="Y299" s="132" t="s">
        <v>402</v>
      </c>
      <c r="Z299" s="88" t="s">
        <v>403</v>
      </c>
      <c r="AA299" s="34" t="s">
        <v>264</v>
      </c>
      <c r="AB299" s="7"/>
      <c r="AC299" s="7"/>
      <c r="AE299" s="11">
        <f ca="1"/>
        <v>0.51146609959615852</v>
      </c>
      <c r="AF299" s="11">
        <v>0.65235387696231706</v>
      </c>
    </row>
    <row r="300" spans="1:32" s="11" customFormat="1" ht="28.5" customHeight="1">
      <c r="A300" s="96">
        <v>299</v>
      </c>
      <c r="B300" s="5" t="s">
        <v>66</v>
      </c>
      <c r="C300" s="5" t="s">
        <v>67</v>
      </c>
      <c r="D300" s="5" t="s">
        <v>436</v>
      </c>
      <c r="E300" s="5" t="s">
        <v>4</v>
      </c>
      <c r="F300" s="5" t="s">
        <v>107</v>
      </c>
      <c r="G300" s="35" t="s">
        <v>70</v>
      </c>
      <c r="H300" s="46">
        <f>(294661.4/0.956)*(1/6)</f>
        <v>51370.536959553698</v>
      </c>
      <c r="I300" s="46">
        <f>Table1[[#This Row],[Contracted Amount]]*AF300</f>
        <v>29789.127421951114</v>
      </c>
      <c r="J300" s="46">
        <f>(294661.4/0.879)*(1/6)</f>
        <v>55870.572620401974</v>
      </c>
      <c r="K300" s="46">
        <f>Table1[[#This Row],[Actual Expenditure (including admin fees)]]*AF300</f>
        <v>32398.641428197116</v>
      </c>
      <c r="L300" s="35" t="s">
        <v>71</v>
      </c>
      <c r="M300" s="42" t="s">
        <v>72</v>
      </c>
      <c r="N300" s="42">
        <f>Table1[[#This Row],[Actual completion date]]-270</f>
        <v>43376</v>
      </c>
      <c r="O300" s="100" t="s">
        <v>73</v>
      </c>
      <c r="P300" s="42"/>
      <c r="Q300" s="42"/>
      <c r="R300" s="42">
        <v>43646</v>
      </c>
      <c r="S300" s="35" t="s">
        <v>71</v>
      </c>
      <c r="T300" s="89" t="s">
        <v>438</v>
      </c>
      <c r="U300" s="9">
        <v>43649</v>
      </c>
      <c r="V300" s="118" t="s">
        <v>71</v>
      </c>
      <c r="W300" s="118" t="s">
        <v>108</v>
      </c>
      <c r="X300" s="136">
        <v>1</v>
      </c>
      <c r="Y300" s="23">
        <v>10283</v>
      </c>
      <c r="Z300" s="34" t="str">
        <f>IF(ISERROR(VLOOKUP(Y300,'Data inputs '!$N$4:$O$23,2,0)),"",(VLOOKUP(Y300,'Data inputs '!$N$4:$O$23,2,0)))</f>
        <v>Germay(KfW)</v>
      </c>
      <c r="AA300" s="34">
        <v>98720</v>
      </c>
      <c r="AB300" s="7"/>
      <c r="AC300" s="7"/>
      <c r="AE300" s="11">
        <f ca="1"/>
        <v>0.68331651424786677</v>
      </c>
      <c r="AF300" s="11">
        <v>0.57988740599315547</v>
      </c>
    </row>
    <row r="301" spans="1:32" s="11" customFormat="1" ht="28.5" customHeight="1">
      <c r="A301" s="96">
        <v>300</v>
      </c>
      <c r="B301" s="5" t="s">
        <v>84</v>
      </c>
      <c r="C301" s="5" t="s">
        <v>67</v>
      </c>
      <c r="D301" s="5" t="s">
        <v>439</v>
      </c>
      <c r="E301" s="5" t="s">
        <v>96</v>
      </c>
      <c r="F301" s="5" t="s">
        <v>97</v>
      </c>
      <c r="G301" s="35" t="s">
        <v>70</v>
      </c>
      <c r="H301" s="44">
        <v>28750</v>
      </c>
      <c r="I301" s="44">
        <f>Table1[[#This Row],[Contracted Amount]]*AF301</f>
        <v>16541.273499659161</v>
      </c>
      <c r="J301" s="44">
        <v>87635.92</v>
      </c>
      <c r="K301" s="44">
        <f>Table1[[#This Row],[Actual Expenditure (including admin fees)]]*AF301</f>
        <v>50421.207690930438</v>
      </c>
      <c r="L301" s="35" t="s">
        <v>71</v>
      </c>
      <c r="M301" s="42" t="s">
        <v>72</v>
      </c>
      <c r="N301" s="42">
        <v>43300</v>
      </c>
      <c r="O301" s="100" t="s">
        <v>73</v>
      </c>
      <c r="P301" s="42">
        <v>43330</v>
      </c>
      <c r="Q301" s="42">
        <f>Table1[[#This Row],[Site handover date]]+7</f>
        <v>43337</v>
      </c>
      <c r="R301" s="42">
        <v>43439</v>
      </c>
      <c r="S301" s="36" t="s">
        <v>71</v>
      </c>
      <c r="T301" s="89" t="s">
        <v>440</v>
      </c>
      <c r="U301" s="9">
        <v>43580</v>
      </c>
      <c r="V301" s="118" t="s">
        <v>71</v>
      </c>
      <c r="W301" s="118" t="s">
        <v>98</v>
      </c>
      <c r="X301" s="136">
        <v>1</v>
      </c>
      <c r="Y301" s="22">
        <v>717</v>
      </c>
      <c r="Z301" s="34" t="str">
        <f>IF(ISERROR(VLOOKUP(Y301,'Data inputs '!$N$4:$O$23,2,0)),"",(VLOOKUP(Y301,'Data inputs '!$N$4:$O$23,2,0)))</f>
        <v>C/S ROK</v>
      </c>
      <c r="AA301" s="34">
        <v>98720</v>
      </c>
      <c r="AB301" s="7">
        <v>32.77055</v>
      </c>
      <c r="AC301" s="7">
        <v>13.4718</v>
      </c>
      <c r="AE301" s="11">
        <f ca="1"/>
        <v>0.59221300458741599</v>
      </c>
      <c r="AF301" s="11">
        <v>0.57534864346640557</v>
      </c>
    </row>
    <row r="302" spans="1:32" s="11" customFormat="1" ht="28.5" customHeight="1">
      <c r="A302" s="96">
        <v>301</v>
      </c>
      <c r="B302" s="5" t="s">
        <v>84</v>
      </c>
      <c r="C302" s="5" t="s">
        <v>67</v>
      </c>
      <c r="D302" s="5" t="s">
        <v>439</v>
      </c>
      <c r="E302" s="5" t="s">
        <v>96</v>
      </c>
      <c r="F302" s="5" t="s">
        <v>97</v>
      </c>
      <c r="G302" s="35" t="s">
        <v>70</v>
      </c>
      <c r="H302" s="44">
        <v>29005</v>
      </c>
      <c r="I302" s="44">
        <f>Table1[[#This Row],[Contracted Amount]]*AF302</f>
        <v>15342.087746843959</v>
      </c>
      <c r="J302" s="44"/>
      <c r="K302" s="44">
        <f>Table1[[#This Row],[Actual Expenditure (including admin fees)]]*AF302</f>
        <v>0</v>
      </c>
      <c r="L302" s="35" t="s">
        <v>71</v>
      </c>
      <c r="M302" s="42" t="s">
        <v>72</v>
      </c>
      <c r="N302" s="42">
        <v>43300</v>
      </c>
      <c r="O302" s="100" t="s">
        <v>73</v>
      </c>
      <c r="P302" s="42">
        <v>43330</v>
      </c>
      <c r="Q302" s="42">
        <f>Table1[[#This Row],[Site handover date]]+7</f>
        <v>43337</v>
      </c>
      <c r="R302" s="42">
        <v>43439</v>
      </c>
      <c r="S302" s="36" t="s">
        <v>71</v>
      </c>
      <c r="T302" s="89" t="s">
        <v>440</v>
      </c>
      <c r="U302" s="9">
        <v>43580</v>
      </c>
      <c r="V302" s="118" t="s">
        <v>71</v>
      </c>
      <c r="W302" s="118" t="s">
        <v>98</v>
      </c>
      <c r="X302" s="136">
        <v>1</v>
      </c>
      <c r="Y302" s="22">
        <v>717</v>
      </c>
      <c r="Z302" s="34" t="str">
        <f>IF(ISERROR(VLOOKUP(Y302,'Data inputs '!$N$4:$O$23,2,0)),"",(VLOOKUP(Y302,'Data inputs '!$N$4:$O$23,2,0)))</f>
        <v>C/S ROK</v>
      </c>
      <c r="AA302" s="34">
        <v>98720</v>
      </c>
      <c r="AB302" s="7">
        <v>32.757449999999999</v>
      </c>
      <c r="AC302" s="7">
        <v>13.310219999999999</v>
      </c>
      <c r="AE302" s="11">
        <f ca="1"/>
        <v>0.67535708665185779</v>
      </c>
      <c r="AF302" s="11">
        <v>0.52894631087205513</v>
      </c>
    </row>
    <row r="303" spans="1:32" s="11" customFormat="1" ht="28.5" customHeight="1">
      <c r="A303" s="96">
        <v>302</v>
      </c>
      <c r="B303" s="5" t="s">
        <v>84</v>
      </c>
      <c r="C303" s="5" t="s">
        <v>67</v>
      </c>
      <c r="D303" s="5" t="s">
        <v>439</v>
      </c>
      <c r="E303" s="5" t="s">
        <v>96</v>
      </c>
      <c r="F303" s="5" t="s">
        <v>97</v>
      </c>
      <c r="G303" s="35" t="s">
        <v>70</v>
      </c>
      <c r="H303" s="44">
        <v>29940</v>
      </c>
      <c r="I303" s="44">
        <f>Table1[[#This Row],[Contracted Amount]]*AF303</f>
        <v>18574.321015618974</v>
      </c>
      <c r="J303" s="44"/>
      <c r="K303" s="44">
        <f>Table1[[#This Row],[Actual Expenditure (including admin fees)]]*AF303</f>
        <v>0</v>
      </c>
      <c r="L303" s="35" t="s">
        <v>71</v>
      </c>
      <c r="M303" s="42" t="s">
        <v>72</v>
      </c>
      <c r="N303" s="42">
        <v>43300</v>
      </c>
      <c r="O303" s="100" t="s">
        <v>73</v>
      </c>
      <c r="P303" s="42">
        <v>43330</v>
      </c>
      <c r="Q303" s="42">
        <f>Table1[[#This Row],[Site handover date]]+7</f>
        <v>43337</v>
      </c>
      <c r="R303" s="42">
        <v>43439</v>
      </c>
      <c r="S303" s="36" t="s">
        <v>71</v>
      </c>
      <c r="T303" s="89" t="s">
        <v>440</v>
      </c>
      <c r="U303" s="9">
        <v>43580</v>
      </c>
      <c r="V303" s="118" t="s">
        <v>71</v>
      </c>
      <c r="W303" s="118" t="s">
        <v>98</v>
      </c>
      <c r="X303" s="136">
        <v>1</v>
      </c>
      <c r="Y303" s="22">
        <v>717</v>
      </c>
      <c r="Z303" s="34" t="str">
        <f>IF(ISERROR(VLOOKUP(Y303,'Data inputs '!$N$4:$O$23,2,0)),"",(VLOOKUP(Y303,'Data inputs '!$N$4:$O$23,2,0)))</f>
        <v>C/S ROK</v>
      </c>
      <c r="AA303" s="34">
        <v>98720</v>
      </c>
      <c r="AB303" s="7">
        <v>32.880279999999999</v>
      </c>
      <c r="AC303" s="7">
        <v>13.307700000000001</v>
      </c>
      <c r="AE303" s="11">
        <f ca="1"/>
        <v>0.53965574250284321</v>
      </c>
      <c r="AF303" s="11">
        <v>0.62038480346088754</v>
      </c>
    </row>
    <row r="304" spans="1:32" s="11" customFormat="1" ht="28.5" customHeight="1">
      <c r="A304" s="96">
        <v>303</v>
      </c>
      <c r="B304" s="5" t="s">
        <v>84</v>
      </c>
      <c r="C304" s="5" t="s">
        <v>67</v>
      </c>
      <c r="D304" s="5" t="s">
        <v>439</v>
      </c>
      <c r="E304" s="5" t="s">
        <v>96</v>
      </c>
      <c r="F304" s="5" t="s">
        <v>97</v>
      </c>
      <c r="G304" s="35" t="s">
        <v>70</v>
      </c>
      <c r="H304" s="44">
        <v>22890</v>
      </c>
      <c r="I304" s="44">
        <f>Table1[[#This Row],[Contracted Amount]]*AF304</f>
        <v>15692.353050496728</v>
      </c>
      <c r="J304" s="44">
        <v>89757.09</v>
      </c>
      <c r="K304" s="44">
        <f>Table1[[#This Row],[Actual Expenditure (including admin fees)]]*AF304</f>
        <v>61533.418307785469</v>
      </c>
      <c r="L304" s="35" t="s">
        <v>71</v>
      </c>
      <c r="M304" s="42" t="s">
        <v>72</v>
      </c>
      <c r="N304" s="42">
        <v>43300</v>
      </c>
      <c r="O304" s="100" t="s">
        <v>73</v>
      </c>
      <c r="P304" s="42">
        <v>43330</v>
      </c>
      <c r="Q304" s="42">
        <f>Table1[[#This Row],[Site handover date]]+7</f>
        <v>43337</v>
      </c>
      <c r="R304" s="42">
        <v>43439</v>
      </c>
      <c r="S304" s="36" t="s">
        <v>71</v>
      </c>
      <c r="T304" s="89" t="s">
        <v>441</v>
      </c>
      <c r="U304" s="9">
        <v>43580</v>
      </c>
      <c r="V304" s="118" t="s">
        <v>71</v>
      </c>
      <c r="W304" s="118" t="s">
        <v>98</v>
      </c>
      <c r="X304" s="136">
        <v>1</v>
      </c>
      <c r="Y304" s="22">
        <v>717</v>
      </c>
      <c r="Z304" s="34" t="str">
        <f>IF(ISERROR(VLOOKUP(Y304,'Data inputs '!$N$4:$O$23,2,0)),"",(VLOOKUP(Y304,'Data inputs '!$N$4:$O$23,2,0)))</f>
        <v>C/S ROK</v>
      </c>
      <c r="AA304" s="34">
        <v>98720</v>
      </c>
      <c r="AB304" s="7">
        <v>32.868490000000001</v>
      </c>
      <c r="AC304" s="7">
        <v>13.3605</v>
      </c>
      <c r="AE304" s="11">
        <f ca="1"/>
        <v>0.60622551782989775</v>
      </c>
      <c r="AF304" s="11">
        <v>0.68555496070322097</v>
      </c>
    </row>
    <row r="305" spans="1:32" s="11" customFormat="1" ht="28.5" customHeight="1">
      <c r="A305" s="96">
        <v>304</v>
      </c>
      <c r="B305" s="5" t="s">
        <v>84</v>
      </c>
      <c r="C305" s="5" t="s">
        <v>67</v>
      </c>
      <c r="D305" s="5" t="s">
        <v>439</v>
      </c>
      <c r="E305" s="5" t="s">
        <v>96</v>
      </c>
      <c r="F305" s="5" t="s">
        <v>97</v>
      </c>
      <c r="G305" s="35" t="s">
        <v>70</v>
      </c>
      <c r="H305" s="44">
        <v>35475</v>
      </c>
      <c r="I305" s="44">
        <f>Table1[[#This Row],[Contracted Amount]]*AF305</f>
        <v>22142.355885528417</v>
      </c>
      <c r="J305" s="44"/>
      <c r="K305" s="44">
        <f>Table1[[#This Row],[Actual Expenditure (including admin fees)]]*AF305</f>
        <v>0</v>
      </c>
      <c r="L305" s="35" t="s">
        <v>71</v>
      </c>
      <c r="M305" s="42" t="s">
        <v>72</v>
      </c>
      <c r="N305" s="42">
        <v>43300</v>
      </c>
      <c r="O305" s="100" t="s">
        <v>73</v>
      </c>
      <c r="P305" s="42">
        <v>43330</v>
      </c>
      <c r="Q305" s="42">
        <f>Table1[[#This Row],[Site handover date]]+7</f>
        <v>43337</v>
      </c>
      <c r="R305" s="42">
        <v>43439</v>
      </c>
      <c r="S305" s="36" t="s">
        <v>71</v>
      </c>
      <c r="T305" s="89" t="s">
        <v>441</v>
      </c>
      <c r="U305" s="9">
        <v>43580</v>
      </c>
      <c r="V305" s="118" t="s">
        <v>71</v>
      </c>
      <c r="W305" s="118" t="s">
        <v>98</v>
      </c>
      <c r="X305" s="136">
        <v>1</v>
      </c>
      <c r="Y305" s="22">
        <v>717</v>
      </c>
      <c r="Z305" s="34" t="str">
        <f>IF(ISERROR(VLOOKUP(Y305,'Data inputs '!$N$4:$O$23,2,0)),"",(VLOOKUP(Y305,'Data inputs '!$N$4:$O$23,2,0)))</f>
        <v>C/S ROK</v>
      </c>
      <c r="AA305" s="34">
        <v>98720</v>
      </c>
      <c r="AB305" s="7">
        <v>32.890599999999999</v>
      </c>
      <c r="AC305" s="7">
        <v>13.334250000000001</v>
      </c>
      <c r="AE305" s="11">
        <f ca="1"/>
        <v>0.53172537067733616</v>
      </c>
      <c r="AF305" s="11">
        <v>0.62416788965548742</v>
      </c>
    </row>
    <row r="306" spans="1:32" s="11" customFormat="1" ht="28.5" customHeight="1">
      <c r="A306" s="96">
        <v>305</v>
      </c>
      <c r="B306" s="5" t="s">
        <v>84</v>
      </c>
      <c r="C306" s="5" t="s">
        <v>67</v>
      </c>
      <c r="D306" s="5" t="s">
        <v>439</v>
      </c>
      <c r="E306" s="5" t="s">
        <v>96</v>
      </c>
      <c r="F306" s="5" t="s">
        <v>97</v>
      </c>
      <c r="G306" s="35" t="s">
        <v>70</v>
      </c>
      <c r="H306" s="44">
        <v>31450</v>
      </c>
      <c r="I306" s="44">
        <f>Table1[[#This Row],[Contracted Amount]]*AF306</f>
        <v>19728.066289608767</v>
      </c>
      <c r="J306" s="44"/>
      <c r="K306" s="44">
        <f>Table1[[#This Row],[Actual Expenditure (including admin fees)]]*AF306</f>
        <v>0</v>
      </c>
      <c r="L306" s="35" t="s">
        <v>71</v>
      </c>
      <c r="M306" s="42" t="s">
        <v>72</v>
      </c>
      <c r="N306" s="42">
        <v>43300</v>
      </c>
      <c r="O306" s="100" t="s">
        <v>73</v>
      </c>
      <c r="P306" s="42">
        <v>43330</v>
      </c>
      <c r="Q306" s="42">
        <f>Table1[[#This Row],[Site handover date]]+7</f>
        <v>43337</v>
      </c>
      <c r="R306" s="42">
        <v>43439</v>
      </c>
      <c r="S306" s="36" t="s">
        <v>71</v>
      </c>
      <c r="T306" s="89" t="s">
        <v>441</v>
      </c>
      <c r="U306" s="9">
        <v>43580</v>
      </c>
      <c r="V306" s="118" t="s">
        <v>71</v>
      </c>
      <c r="W306" s="118" t="s">
        <v>98</v>
      </c>
      <c r="X306" s="136">
        <v>1</v>
      </c>
      <c r="Y306" s="22">
        <v>717</v>
      </c>
      <c r="Z306" s="34" t="str">
        <f>IF(ISERROR(VLOOKUP(Y306,'Data inputs '!$N$4:$O$23,2,0)),"",(VLOOKUP(Y306,'Data inputs '!$N$4:$O$23,2,0)))</f>
        <v>C/S ROK</v>
      </c>
      <c r="AA306" s="34">
        <v>98720</v>
      </c>
      <c r="AB306" s="7">
        <v>32.79374</v>
      </c>
      <c r="AC306" s="7">
        <v>13.4407</v>
      </c>
      <c r="AE306" s="11">
        <f ca="1"/>
        <v>0.51761155766221734</v>
      </c>
      <c r="AF306" s="11">
        <v>0.62728350682380818</v>
      </c>
    </row>
    <row r="307" spans="1:32" s="10" customFormat="1" ht="28.5" customHeight="1">
      <c r="A307" s="96">
        <v>306</v>
      </c>
      <c r="B307" s="5" t="s">
        <v>66</v>
      </c>
      <c r="C307" s="5" t="s">
        <v>67</v>
      </c>
      <c r="D307" s="5" t="s">
        <v>439</v>
      </c>
      <c r="E307" s="5" t="s">
        <v>4</v>
      </c>
      <c r="F307" s="5" t="s">
        <v>125</v>
      </c>
      <c r="G307" s="35" t="s">
        <v>70</v>
      </c>
      <c r="H307" s="46">
        <f>1690653.45/65</f>
        <v>26010.053076923075</v>
      </c>
      <c r="I307" s="46">
        <f>Table1[[#This Row],[Contracted Amount]]*AF307</f>
        <v>17457.661391367837</v>
      </c>
      <c r="J307" s="46">
        <f>1404237.94/65</f>
        <v>21603.660615384615</v>
      </c>
      <c r="K307" s="46">
        <f>Table1[[#This Row],[Actual Expenditure (including admin fees)]]*AF307</f>
        <v>14500.13926238515</v>
      </c>
      <c r="L307" s="35" t="s">
        <v>71</v>
      </c>
      <c r="M307" s="42" t="s">
        <v>72</v>
      </c>
      <c r="N307" s="42">
        <v>43494</v>
      </c>
      <c r="O307" s="100" t="s">
        <v>73</v>
      </c>
      <c r="P307" s="42"/>
      <c r="Q307" s="42"/>
      <c r="R307" s="42">
        <v>44140</v>
      </c>
      <c r="S307" s="36" t="s">
        <v>71</v>
      </c>
      <c r="T307" s="89" t="s">
        <v>401</v>
      </c>
      <c r="U307" s="9">
        <v>44146</v>
      </c>
      <c r="V307" s="118" t="s">
        <v>71</v>
      </c>
      <c r="W307" s="118" t="s">
        <v>126</v>
      </c>
      <c r="X307" s="136">
        <v>1</v>
      </c>
      <c r="Y307" s="132" t="s">
        <v>402</v>
      </c>
      <c r="Z307" s="88" t="s">
        <v>403</v>
      </c>
      <c r="AA307" s="34" t="s">
        <v>264</v>
      </c>
      <c r="AB307" s="5"/>
      <c r="AC307" s="5"/>
      <c r="AE307" s="10">
        <f ca="1"/>
        <v>0.60728327254356196</v>
      </c>
      <c r="AF307" s="10">
        <v>0.67118899526032938</v>
      </c>
    </row>
    <row r="308" spans="1:32" s="10" customFormat="1" ht="28.5" customHeight="1">
      <c r="A308" s="96">
        <v>307</v>
      </c>
      <c r="B308" s="5" t="s">
        <v>66</v>
      </c>
      <c r="C308" s="5" t="s">
        <v>67</v>
      </c>
      <c r="D308" s="5" t="s">
        <v>439</v>
      </c>
      <c r="E308" s="5" t="s">
        <v>4</v>
      </c>
      <c r="F308" s="5" t="s">
        <v>125</v>
      </c>
      <c r="G308" s="35" t="s">
        <v>70</v>
      </c>
      <c r="H308" s="46">
        <f>1690653.45/65</f>
        <v>26010.053076923075</v>
      </c>
      <c r="I308" s="46">
        <f>Table1[[#This Row],[Contracted Amount]]*AF308</f>
        <v>15787.867259942863</v>
      </c>
      <c r="J308" s="46">
        <f>1404237.94/65</f>
        <v>21603.660615384615</v>
      </c>
      <c r="K308" s="46">
        <f>Table1[[#This Row],[Actual Expenditure (including admin fees)]]*AF308</f>
        <v>13113.226840246658</v>
      </c>
      <c r="L308" s="35" t="s">
        <v>71</v>
      </c>
      <c r="M308" s="42" t="s">
        <v>72</v>
      </c>
      <c r="N308" s="42">
        <v>43494</v>
      </c>
      <c r="O308" s="100" t="s">
        <v>73</v>
      </c>
      <c r="P308" s="42"/>
      <c r="Q308" s="42"/>
      <c r="R308" s="42">
        <v>44140</v>
      </c>
      <c r="S308" s="36" t="s">
        <v>71</v>
      </c>
      <c r="T308" s="89" t="s">
        <v>401</v>
      </c>
      <c r="U308" s="9">
        <v>44146</v>
      </c>
      <c r="V308" s="118" t="s">
        <v>71</v>
      </c>
      <c r="W308" s="118" t="s">
        <v>126</v>
      </c>
      <c r="X308" s="136">
        <v>1</v>
      </c>
      <c r="Y308" s="132" t="s">
        <v>402</v>
      </c>
      <c r="Z308" s="88" t="s">
        <v>403</v>
      </c>
      <c r="AA308" s="34" t="s">
        <v>264</v>
      </c>
      <c r="AB308" s="5"/>
      <c r="AC308" s="5"/>
      <c r="AE308" s="10">
        <f ca="1"/>
        <v>0.67115777768885043</v>
      </c>
      <c r="AF308" s="10">
        <v>0.60699096665628671</v>
      </c>
    </row>
    <row r="309" spans="1:32" s="10" customFormat="1" ht="28.5" customHeight="1">
      <c r="A309" s="96">
        <v>308</v>
      </c>
      <c r="B309" s="5" t="s">
        <v>66</v>
      </c>
      <c r="C309" s="5" t="s">
        <v>67</v>
      </c>
      <c r="D309" s="5" t="s">
        <v>439</v>
      </c>
      <c r="E309" s="5" t="s">
        <v>4</v>
      </c>
      <c r="F309" s="5" t="s">
        <v>125</v>
      </c>
      <c r="G309" s="35" t="s">
        <v>70</v>
      </c>
      <c r="H309" s="46">
        <f>1690653.45/65</f>
        <v>26010.053076923075</v>
      </c>
      <c r="I309" s="46">
        <f>Table1[[#This Row],[Contracted Amount]]*AF309</f>
        <v>18753.162651254275</v>
      </c>
      <c r="J309" s="46">
        <f>1404237.94/65</f>
        <v>21603.660615384615</v>
      </c>
      <c r="K309" s="46">
        <f>Table1[[#This Row],[Actual Expenditure (including admin fees)]]*AF309</f>
        <v>15576.168190992805</v>
      </c>
      <c r="L309" s="35" t="s">
        <v>71</v>
      </c>
      <c r="M309" s="42" t="s">
        <v>72</v>
      </c>
      <c r="N309" s="42">
        <v>43494</v>
      </c>
      <c r="O309" s="100" t="s">
        <v>73</v>
      </c>
      <c r="P309" s="42"/>
      <c r="Q309" s="42"/>
      <c r="R309" s="42">
        <v>44140</v>
      </c>
      <c r="S309" s="36" t="s">
        <v>71</v>
      </c>
      <c r="T309" s="89" t="s">
        <v>401</v>
      </c>
      <c r="U309" s="9">
        <v>44146</v>
      </c>
      <c r="V309" s="118" t="s">
        <v>71</v>
      </c>
      <c r="W309" s="118" t="s">
        <v>126</v>
      </c>
      <c r="X309" s="136">
        <v>1</v>
      </c>
      <c r="Y309" s="132" t="s">
        <v>402</v>
      </c>
      <c r="Z309" s="88" t="s">
        <v>403</v>
      </c>
      <c r="AA309" s="34" t="s">
        <v>264</v>
      </c>
      <c r="AB309" s="5"/>
      <c r="AC309" s="5"/>
      <c r="AE309" s="10">
        <f ca="1"/>
        <v>0.68490264844472393</v>
      </c>
      <c r="AF309" s="10">
        <v>0.72099670830324691</v>
      </c>
    </row>
    <row r="310" spans="1:32" s="10" customFormat="1" ht="28.5" customHeight="1">
      <c r="A310" s="96">
        <v>309</v>
      </c>
      <c r="B310" s="5" t="s">
        <v>66</v>
      </c>
      <c r="C310" s="5" t="s">
        <v>67</v>
      </c>
      <c r="D310" s="5" t="s">
        <v>439</v>
      </c>
      <c r="E310" s="5" t="s">
        <v>4</v>
      </c>
      <c r="F310" s="5" t="s">
        <v>125</v>
      </c>
      <c r="G310" s="35" t="s">
        <v>70</v>
      </c>
      <c r="H310" s="46">
        <f>1690653.45/65</f>
        <v>26010.053076923075</v>
      </c>
      <c r="I310" s="46">
        <f>Table1[[#This Row],[Contracted Amount]]*AF310</f>
        <v>15739.414448270329</v>
      </c>
      <c r="J310" s="46">
        <f>1404237.94/65</f>
        <v>21603.660615384615</v>
      </c>
      <c r="K310" s="46">
        <f>Table1[[#This Row],[Actual Expenditure (including admin fees)]]*AF310</f>
        <v>13072.982474111039</v>
      </c>
      <c r="L310" s="35" t="s">
        <v>71</v>
      </c>
      <c r="M310" s="42" t="s">
        <v>72</v>
      </c>
      <c r="N310" s="42">
        <v>43494</v>
      </c>
      <c r="O310" s="100" t="s">
        <v>73</v>
      </c>
      <c r="P310" s="42"/>
      <c r="Q310" s="42"/>
      <c r="R310" s="42">
        <v>44140</v>
      </c>
      <c r="S310" s="36" t="s">
        <v>71</v>
      </c>
      <c r="T310" s="89" t="s">
        <v>401</v>
      </c>
      <c r="U310" s="9">
        <v>44146</v>
      </c>
      <c r="V310" s="118" t="s">
        <v>71</v>
      </c>
      <c r="W310" s="118" t="s">
        <v>126</v>
      </c>
      <c r="X310" s="136">
        <v>1</v>
      </c>
      <c r="Y310" s="132" t="s">
        <v>402</v>
      </c>
      <c r="Z310" s="88" t="s">
        <v>403</v>
      </c>
      <c r="AA310" s="34" t="s">
        <v>264</v>
      </c>
      <c r="AB310" s="5"/>
      <c r="AC310" s="5"/>
      <c r="AE310" s="10">
        <f ca="1"/>
        <v>0.60124270888592402</v>
      </c>
      <c r="AF310" s="10">
        <v>0.60512811725996918</v>
      </c>
    </row>
    <row r="311" spans="1:32" s="10" customFormat="1" ht="28.5" customHeight="1">
      <c r="A311" s="96">
        <v>310</v>
      </c>
      <c r="B311" s="5" t="s">
        <v>66</v>
      </c>
      <c r="C311" s="5" t="s">
        <v>67</v>
      </c>
      <c r="D311" s="5" t="s">
        <v>439</v>
      </c>
      <c r="E311" s="5" t="s">
        <v>4</v>
      </c>
      <c r="F311" s="5" t="s">
        <v>125</v>
      </c>
      <c r="G311" s="35" t="s">
        <v>70</v>
      </c>
      <c r="H311" s="46">
        <f>1690653.45/65</f>
        <v>26010.053076923075</v>
      </c>
      <c r="I311" s="46">
        <f>Table1[[#This Row],[Contracted Amount]]*AF311</f>
        <v>13084.894489883032</v>
      </c>
      <c r="J311" s="46">
        <f>1404237.94/65</f>
        <v>21603.660615384615</v>
      </c>
      <c r="K311" s="46">
        <f>Table1[[#This Row],[Actual Expenditure (including admin fees)]]*AF311</f>
        <v>10868.167739278975</v>
      </c>
      <c r="L311" s="35" t="s">
        <v>71</v>
      </c>
      <c r="M311" s="42" t="s">
        <v>72</v>
      </c>
      <c r="N311" s="42">
        <v>43494</v>
      </c>
      <c r="O311" s="100" t="s">
        <v>73</v>
      </c>
      <c r="P311" s="42"/>
      <c r="Q311" s="42"/>
      <c r="R311" s="42">
        <v>44140</v>
      </c>
      <c r="S311" s="36" t="s">
        <v>71</v>
      </c>
      <c r="T311" s="89" t="s">
        <v>401</v>
      </c>
      <c r="U311" s="9">
        <v>44146</v>
      </c>
      <c r="V311" s="118" t="s">
        <v>71</v>
      </c>
      <c r="W311" s="118" t="s">
        <v>126</v>
      </c>
      <c r="X311" s="136">
        <v>1</v>
      </c>
      <c r="Y311" s="132" t="s">
        <v>402</v>
      </c>
      <c r="Z311" s="88" t="s">
        <v>403</v>
      </c>
      <c r="AA311" s="34" t="s">
        <v>264</v>
      </c>
      <c r="AB311" s="5"/>
      <c r="AC311" s="5"/>
      <c r="AE311" s="10">
        <f ca="1"/>
        <v>0.54687039862143572</v>
      </c>
      <c r="AF311" s="10">
        <v>0.50307065699501996</v>
      </c>
    </row>
    <row r="312" spans="1:32" s="10" customFormat="1" ht="28.5" customHeight="1">
      <c r="A312" s="96">
        <v>311</v>
      </c>
      <c r="B312" s="17"/>
      <c r="C312" s="17"/>
      <c r="D312" s="17" t="s">
        <v>12</v>
      </c>
      <c r="E312" s="17" t="s">
        <v>442</v>
      </c>
      <c r="F312" s="18"/>
      <c r="G312" s="35" t="s">
        <v>162</v>
      </c>
      <c r="H312" s="46"/>
      <c r="I312" s="46">
        <f>Table1[[#This Row],[Contracted Amount]]*AF312</f>
        <v>0</v>
      </c>
      <c r="J312" s="46"/>
      <c r="K312" s="46">
        <f>Table1[[#This Row],[Actual Expenditure (including admin fees)]]*AF312</f>
        <v>0</v>
      </c>
      <c r="L312" s="35" t="s">
        <v>75</v>
      </c>
      <c r="M312" s="42"/>
      <c r="N312" s="42"/>
      <c r="O312" s="100"/>
      <c r="P312" s="42"/>
      <c r="Q312" s="42"/>
      <c r="R312" s="93"/>
      <c r="S312" s="17"/>
      <c r="T312" s="89"/>
      <c r="U312" s="9"/>
      <c r="V312" s="117"/>
      <c r="W312" s="117"/>
      <c r="X312" s="139"/>
      <c r="Y312" s="23"/>
      <c r="Z312" s="34" t="str">
        <f>IF(ISERROR(VLOOKUP(Y312,'Data inputs '!$N$4:$O$23,2,0)),"",(VLOOKUP(Y312,'Data inputs '!$N$4:$O$23,2,0)))</f>
        <v/>
      </c>
      <c r="AA312" s="34"/>
      <c r="AB312" s="5"/>
      <c r="AC312" s="5"/>
      <c r="AE312" s="10">
        <f ca="1"/>
        <v>0.51390664693559995</v>
      </c>
      <c r="AF312" s="10">
        <v>0.67362217604463659</v>
      </c>
    </row>
    <row r="313" spans="1:32" s="10" customFormat="1" ht="28.5" customHeight="1">
      <c r="A313" s="96"/>
      <c r="B313" s="5" t="s">
        <v>66</v>
      </c>
      <c r="C313" s="5" t="s">
        <v>118</v>
      </c>
      <c r="D313" s="5" t="s">
        <v>12</v>
      </c>
      <c r="E313" s="5" t="s">
        <v>112</v>
      </c>
      <c r="F313" s="6" t="s">
        <v>136</v>
      </c>
      <c r="G313" s="35" t="s">
        <v>162</v>
      </c>
      <c r="H313" s="46">
        <f>(844872+52753.94)/2</f>
        <v>448812.97</v>
      </c>
      <c r="I313" s="46">
        <f>Table1[[#This Row],[Contracted Amount]]*AF313</f>
        <v>317229.62161347189</v>
      </c>
      <c r="J313" s="44">
        <f>678696.51/2+41681.85/2</f>
        <v>360189.18</v>
      </c>
      <c r="K313" s="44">
        <f>Table1[[#This Row],[Actual Expenditure (including admin fees)]]*AF313</f>
        <v>254588.62581593113</v>
      </c>
      <c r="L313" s="35" t="s">
        <v>71</v>
      </c>
      <c r="M313" s="42" t="s">
        <v>72</v>
      </c>
      <c r="N313" s="42">
        <v>44007</v>
      </c>
      <c r="O313" s="100" t="s">
        <v>73</v>
      </c>
      <c r="P313" s="42"/>
      <c r="Q313" s="42"/>
      <c r="R313" s="42">
        <v>44323</v>
      </c>
      <c r="S313" s="36" t="s">
        <v>71</v>
      </c>
      <c r="T313" s="89" t="s">
        <v>443</v>
      </c>
      <c r="U313" s="9">
        <v>44335</v>
      </c>
      <c r="V313" s="118" t="s">
        <v>71</v>
      </c>
      <c r="W313" s="118" t="s">
        <v>137</v>
      </c>
      <c r="X313" s="136">
        <v>2</v>
      </c>
      <c r="Y313" s="23" t="s">
        <v>260</v>
      </c>
      <c r="Z313" s="34" t="s">
        <v>444</v>
      </c>
      <c r="AA313" s="34">
        <v>112158</v>
      </c>
      <c r="AB313" s="5"/>
      <c r="AC313" s="5"/>
      <c r="AE313" s="10">
        <f ca="1"/>
        <v>0.59340415923832035</v>
      </c>
      <c r="AF313" s="10">
        <v>0.70681919378014391</v>
      </c>
    </row>
    <row r="314" spans="1:32" s="10" customFormat="1" ht="28.5" customHeight="1">
      <c r="A314" s="96"/>
      <c r="B314" s="5" t="s">
        <v>66</v>
      </c>
      <c r="C314" s="5" t="s">
        <v>118</v>
      </c>
      <c r="D314" s="5" t="s">
        <v>12</v>
      </c>
      <c r="E314" s="5" t="s">
        <v>68</v>
      </c>
      <c r="F314" s="5" t="s">
        <v>69</v>
      </c>
      <c r="G314" s="35" t="s">
        <v>162</v>
      </c>
      <c r="H314" s="46">
        <f>(352779+50557.5)*(1/4)</f>
        <v>100834.125</v>
      </c>
      <c r="I314" s="46">
        <f>Table1[[#This Row],[Contracted Amount]]*AF314</f>
        <v>73765.735504356388</v>
      </c>
      <c r="J314" s="44">
        <f>(262637.75+41435.75)*1/4</f>
        <v>76018.375</v>
      </c>
      <c r="K314" s="44">
        <f>Table1[[#This Row],[Actual Expenditure (including admin fees)]]*AF314</f>
        <v>55611.642821524743</v>
      </c>
      <c r="L314" s="35" t="s">
        <v>71</v>
      </c>
      <c r="M314" s="42" t="s">
        <v>72</v>
      </c>
      <c r="N314" s="42">
        <v>43984</v>
      </c>
      <c r="O314" s="100" t="s">
        <v>73</v>
      </c>
      <c r="P314" s="42"/>
      <c r="Q314" s="42"/>
      <c r="R314" s="42">
        <v>44358</v>
      </c>
      <c r="S314" s="36" t="s">
        <v>71</v>
      </c>
      <c r="T314" s="89" t="s">
        <v>445</v>
      </c>
      <c r="U314" s="9">
        <v>44405</v>
      </c>
      <c r="V314" s="118" t="s">
        <v>71</v>
      </c>
      <c r="W314" s="118" t="s">
        <v>74</v>
      </c>
      <c r="X314" s="136">
        <v>1</v>
      </c>
      <c r="Y314" s="23">
        <v>717</v>
      </c>
      <c r="Z314" s="34" t="str">
        <f>IF(ISERROR(VLOOKUP(Y314,'Data inputs '!$N$4:$O$23,2,0)),"",(VLOOKUP(Y314,'Data inputs '!$N$4:$O$23,2,0)))</f>
        <v>C/S ROK</v>
      </c>
      <c r="AA314" s="34">
        <v>112158</v>
      </c>
      <c r="AB314" s="5"/>
      <c r="AC314" s="5"/>
      <c r="AE314" s="10">
        <f ca="1"/>
        <v>0.50935324910262481</v>
      </c>
      <c r="AF314" s="10">
        <v>0.73155526965059092</v>
      </c>
    </row>
    <row r="315" spans="1:32" s="10" customFormat="1" ht="28.5" customHeight="1">
      <c r="A315" s="96">
        <v>312</v>
      </c>
      <c r="B315" s="17"/>
      <c r="C315" s="17"/>
      <c r="D315" s="17" t="s">
        <v>13</v>
      </c>
      <c r="E315" s="17"/>
      <c r="F315" s="18"/>
      <c r="G315" s="35" t="s">
        <v>163</v>
      </c>
      <c r="H315" s="46"/>
      <c r="I315" s="46">
        <f>Table1[[#This Row],[Contracted Amount]]*AF315</f>
        <v>0</v>
      </c>
      <c r="J315" s="46"/>
      <c r="K315" s="46">
        <f>Table1[[#This Row],[Actual Expenditure (including admin fees)]]*AF315</f>
        <v>0</v>
      </c>
      <c r="L315" s="35"/>
      <c r="M315" s="42"/>
      <c r="N315" s="42"/>
      <c r="O315" s="100"/>
      <c r="P315" s="42"/>
      <c r="Q315" s="42"/>
      <c r="R315" s="42"/>
      <c r="S315" s="17"/>
      <c r="T315" s="89"/>
      <c r="U315" s="9"/>
      <c r="V315" s="117"/>
      <c r="W315" s="117"/>
      <c r="X315" s="139"/>
      <c r="Y315" s="23"/>
      <c r="Z315" s="34" t="str">
        <f>IF(ISERROR(VLOOKUP(Y315,'Data inputs '!$N$4:$O$23,2,0)),"",(VLOOKUP(Y315,'Data inputs '!$N$4:$O$23,2,0)))</f>
        <v/>
      </c>
      <c r="AA315" s="34"/>
      <c r="AB315" s="5"/>
      <c r="AC315" s="5"/>
      <c r="AE315" s="10">
        <f ca="1"/>
        <v>0.74812986672441051</v>
      </c>
      <c r="AF315" s="10">
        <v>0.52900776462669008</v>
      </c>
    </row>
    <row r="316" spans="1:32" s="10" customFormat="1" ht="28.5" customHeight="1">
      <c r="A316" s="96">
        <v>313</v>
      </c>
      <c r="B316" s="5" t="s">
        <v>84</v>
      </c>
      <c r="C316" s="5" t="s">
        <v>67</v>
      </c>
      <c r="D316" s="5" t="s">
        <v>13</v>
      </c>
      <c r="E316" s="5" t="s">
        <v>96</v>
      </c>
      <c r="F316" s="6" t="s">
        <v>146</v>
      </c>
      <c r="G316" s="35" t="s">
        <v>163</v>
      </c>
      <c r="H316" s="62">
        <v>212142</v>
      </c>
      <c r="I316" s="62">
        <f>Table1[[#This Row],[Contracted Amount]]*AF316</f>
        <v>114678.12236563282</v>
      </c>
      <c r="J316" s="46"/>
      <c r="K316" s="46">
        <f>Table1[[#This Row],[Actual Expenditure (including admin fees)]]*AF316</f>
        <v>0</v>
      </c>
      <c r="L316" s="35" t="s">
        <v>71</v>
      </c>
      <c r="M316" s="42"/>
      <c r="N316" s="42"/>
      <c r="O316" s="100"/>
      <c r="P316" s="42"/>
      <c r="Q316" s="42"/>
      <c r="R316" s="42"/>
      <c r="S316" s="36" t="s">
        <v>76</v>
      </c>
      <c r="T316" s="89" t="s">
        <v>446</v>
      </c>
      <c r="U316" s="9">
        <v>44384</v>
      </c>
      <c r="V316" s="118" t="s">
        <v>245</v>
      </c>
      <c r="W316" s="118" t="s">
        <v>147</v>
      </c>
      <c r="X316" s="136">
        <v>1</v>
      </c>
      <c r="Y316" s="23"/>
      <c r="Z316" s="34"/>
      <c r="AA316" s="34"/>
      <c r="AB316" s="5"/>
      <c r="AC316" s="5"/>
      <c r="AE316" s="10">
        <f ca="1"/>
        <v>0.50041536874815995</v>
      </c>
      <c r="AF316" s="10">
        <v>0.54057245790853681</v>
      </c>
    </row>
    <row r="317" spans="1:32" s="10" customFormat="1" ht="28.5" customHeight="1">
      <c r="A317" s="96"/>
      <c r="B317" s="5" t="s">
        <v>84</v>
      </c>
      <c r="C317" s="5" t="s">
        <v>67</v>
      </c>
      <c r="D317" s="5" t="s">
        <v>13</v>
      </c>
      <c r="E317" s="5" t="s">
        <v>96</v>
      </c>
      <c r="F317" s="6" t="s">
        <v>146</v>
      </c>
      <c r="G317" s="35" t="s">
        <v>163</v>
      </c>
      <c r="H317" s="62">
        <v>208845</v>
      </c>
      <c r="I317" s="62">
        <f>Table1[[#This Row],[Contracted Amount]]*AF317</f>
        <v>153942.0277644009</v>
      </c>
      <c r="J317" s="46"/>
      <c r="K317" s="46">
        <f>Table1[[#This Row],[Actual Expenditure (including admin fees)]]*AF317</f>
        <v>0</v>
      </c>
      <c r="L317" s="35" t="s">
        <v>71</v>
      </c>
      <c r="M317" s="42"/>
      <c r="N317" s="42"/>
      <c r="O317" s="100"/>
      <c r="P317" s="42"/>
      <c r="Q317" s="42"/>
      <c r="R317" s="42"/>
      <c r="S317" s="36" t="s">
        <v>76</v>
      </c>
      <c r="T317" s="89" t="s">
        <v>446</v>
      </c>
      <c r="U317" s="9">
        <v>44384</v>
      </c>
      <c r="V317" s="118" t="s">
        <v>245</v>
      </c>
      <c r="W317" s="118" t="s">
        <v>147</v>
      </c>
      <c r="X317" s="136">
        <v>1</v>
      </c>
      <c r="Y317" s="23"/>
      <c r="Z317" s="34"/>
      <c r="AA317" s="34"/>
      <c r="AB317" s="5"/>
      <c r="AC317" s="5"/>
      <c r="AE317" s="10">
        <f ca="1"/>
        <v>0.54417736366270941</v>
      </c>
      <c r="AF317" s="10">
        <v>0.73711138770093088</v>
      </c>
    </row>
    <row r="318" spans="1:32" s="10" customFormat="1" ht="28.5" customHeight="1">
      <c r="A318" s="96"/>
      <c r="B318" s="5" t="s">
        <v>84</v>
      </c>
      <c r="C318" s="5" t="s">
        <v>67</v>
      </c>
      <c r="D318" s="5" t="s">
        <v>13</v>
      </c>
      <c r="E318" s="5" t="s">
        <v>96</v>
      </c>
      <c r="F318" s="6" t="s">
        <v>146</v>
      </c>
      <c r="G318" s="35" t="s">
        <v>163</v>
      </c>
      <c r="H318" s="62">
        <v>367691</v>
      </c>
      <c r="I318" s="62">
        <f>Table1[[#This Row],[Contracted Amount]]*AF318</f>
        <v>209612.58582792885</v>
      </c>
      <c r="J318" s="46"/>
      <c r="K318" s="46">
        <f>Table1[[#This Row],[Actual Expenditure (including admin fees)]]*AF318</f>
        <v>0</v>
      </c>
      <c r="L318" s="35" t="s">
        <v>71</v>
      </c>
      <c r="M318" s="42"/>
      <c r="N318" s="42"/>
      <c r="O318" s="100"/>
      <c r="P318" s="42"/>
      <c r="Q318" s="42"/>
      <c r="R318" s="42"/>
      <c r="S318" s="36" t="s">
        <v>76</v>
      </c>
      <c r="T318" s="89" t="s">
        <v>446</v>
      </c>
      <c r="U318" s="9">
        <v>44384</v>
      </c>
      <c r="V318" s="118" t="s">
        <v>245</v>
      </c>
      <c r="W318" s="118" t="s">
        <v>147</v>
      </c>
      <c r="X318" s="136">
        <v>1</v>
      </c>
      <c r="Y318" s="23"/>
      <c r="Z318" s="34"/>
      <c r="AA318" s="34"/>
      <c r="AB318" s="5">
        <v>31.744145</v>
      </c>
      <c r="AC318" s="5">
        <v>14.009214999999999</v>
      </c>
      <c r="AE318" s="10">
        <f ca="1"/>
        <v>0.66720919358073139</v>
      </c>
      <c r="AF318" s="10">
        <v>0.57007809771772722</v>
      </c>
    </row>
    <row r="319" spans="1:32" s="10" customFormat="1" ht="28.5" customHeight="1">
      <c r="A319" s="96"/>
      <c r="B319" s="5" t="s">
        <v>84</v>
      </c>
      <c r="C319" s="5" t="s">
        <v>67</v>
      </c>
      <c r="D319" s="5" t="s">
        <v>13</v>
      </c>
      <c r="E319" s="5" t="s">
        <v>96</v>
      </c>
      <c r="F319" s="6" t="s">
        <v>146</v>
      </c>
      <c r="G319" s="35" t="s">
        <v>163</v>
      </c>
      <c r="H319" s="44">
        <v>107074.5</v>
      </c>
      <c r="I319" s="44">
        <f>Table1[[#This Row],[Contracted Amount]]*AF319</f>
        <v>69950.879837153625</v>
      </c>
      <c r="J319" s="63">
        <f>96367.05+10707.45</f>
        <v>107074.5</v>
      </c>
      <c r="K319" s="63">
        <f>Table1[[#This Row],[Actual Expenditure (including admin fees)]]*AF319</f>
        <v>69950.879837153625</v>
      </c>
      <c r="L319" s="35" t="s">
        <v>71</v>
      </c>
      <c r="M319" s="42" t="s">
        <v>72</v>
      </c>
      <c r="N319" s="92">
        <v>44280</v>
      </c>
      <c r="O319" s="100" t="s">
        <v>73</v>
      </c>
      <c r="P319" s="42">
        <v>44357</v>
      </c>
      <c r="Q319" s="42">
        <v>44367</v>
      </c>
      <c r="R319" s="42">
        <v>44473</v>
      </c>
      <c r="S319" s="36" t="s">
        <v>71</v>
      </c>
      <c r="T319" s="89" t="s">
        <v>447</v>
      </c>
      <c r="U319" s="9">
        <v>44540</v>
      </c>
      <c r="V319" s="118" t="s">
        <v>71</v>
      </c>
      <c r="W319" s="118" t="s">
        <v>147</v>
      </c>
      <c r="X319" s="136">
        <v>1</v>
      </c>
      <c r="Y319" s="23">
        <v>10159</v>
      </c>
      <c r="Z319" s="34" t="s">
        <v>228</v>
      </c>
      <c r="AA319" s="34">
        <v>122619</v>
      </c>
      <c r="AB319" s="5">
        <v>31.757287000000002</v>
      </c>
      <c r="AC319" s="5">
        <v>14.0259</v>
      </c>
      <c r="AE319" s="10">
        <f ca="1"/>
        <v>0.57947011423283046</v>
      </c>
      <c r="AF319" s="10">
        <v>0.65329167857102888</v>
      </c>
    </row>
    <row r="320" spans="1:32" s="10" customFormat="1" ht="28.5" customHeight="1">
      <c r="A320" s="96"/>
      <c r="B320" s="5" t="s">
        <v>66</v>
      </c>
      <c r="C320" s="5" t="s">
        <v>67</v>
      </c>
      <c r="D320" s="5" t="s">
        <v>13</v>
      </c>
      <c r="E320" s="5" t="s">
        <v>122</v>
      </c>
      <c r="F320" s="5" t="s">
        <v>144</v>
      </c>
      <c r="G320" s="35" t="s">
        <v>163</v>
      </c>
      <c r="H320" s="44">
        <f>(452877.5/8)*2+5142.23+76.59</f>
        <v>118438.19499999999</v>
      </c>
      <c r="I320" s="44">
        <f>Table1[[#This Row],[Contracted Amount]]*AF320</f>
        <v>78551.551509131605</v>
      </c>
      <c r="J320" s="44">
        <f>(452877.5/8)*2+5142.23+76.59</f>
        <v>118438.19499999999</v>
      </c>
      <c r="K320" s="44">
        <f>Table1[[#This Row],[Actual Expenditure (including admin fees)]]*AF320</f>
        <v>78551.551509131605</v>
      </c>
      <c r="L320" s="35" t="s">
        <v>71</v>
      </c>
      <c r="M320" s="42" t="s">
        <v>72</v>
      </c>
      <c r="N320" s="92">
        <v>43754</v>
      </c>
      <c r="O320" s="100" t="s">
        <v>73</v>
      </c>
      <c r="P320" s="42"/>
      <c r="Q320" s="42"/>
      <c r="R320" s="42">
        <v>43764</v>
      </c>
      <c r="S320" s="36" t="s">
        <v>71</v>
      </c>
      <c r="T320" s="89" t="s">
        <v>448</v>
      </c>
      <c r="U320" s="9">
        <v>43784</v>
      </c>
      <c r="V320" s="118" t="s">
        <v>71</v>
      </c>
      <c r="W320" s="118" t="s">
        <v>164</v>
      </c>
      <c r="X320" s="136">
        <v>2</v>
      </c>
      <c r="Y320" s="23" t="s">
        <v>449</v>
      </c>
      <c r="Z320" s="34" t="s">
        <v>450</v>
      </c>
      <c r="AA320" s="34">
        <v>112158</v>
      </c>
      <c r="AB320" s="5"/>
      <c r="AC320" s="5"/>
      <c r="AE320" s="10">
        <f ca="1"/>
        <v>0.63383352569469698</v>
      </c>
      <c r="AF320" s="10">
        <v>0.66322820530261883</v>
      </c>
    </row>
    <row r="321" spans="1:32" s="10" customFormat="1" ht="28.5" customHeight="1">
      <c r="A321" s="96"/>
      <c r="B321" s="5" t="s">
        <v>66</v>
      </c>
      <c r="C321" s="5" t="s">
        <v>67</v>
      </c>
      <c r="D321" s="5" t="s">
        <v>13</v>
      </c>
      <c r="E321" s="5" t="s">
        <v>81</v>
      </c>
      <c r="F321" s="5" t="s">
        <v>134</v>
      </c>
      <c r="G321" s="35" t="s">
        <v>163</v>
      </c>
      <c r="H321" s="44">
        <v>24900</v>
      </c>
      <c r="I321" s="44">
        <f>Table1[[#This Row],[Contracted Amount]]*AF321</f>
        <v>16823.436569994345</v>
      </c>
      <c r="J321" s="44">
        <v>24900</v>
      </c>
      <c r="K321" s="44">
        <f>Table1[[#This Row],[Actual Expenditure (including admin fees)]]*AF321</f>
        <v>16823.436569994345</v>
      </c>
      <c r="L321" s="35" t="s">
        <v>71</v>
      </c>
      <c r="M321" s="42" t="s">
        <v>72</v>
      </c>
      <c r="N321" s="92">
        <v>44311</v>
      </c>
      <c r="O321" s="100" t="s">
        <v>73</v>
      </c>
      <c r="P321" s="42"/>
      <c r="Q321" s="42"/>
      <c r="R321" s="42">
        <v>44343</v>
      </c>
      <c r="S321" s="35" t="s">
        <v>71</v>
      </c>
      <c r="T321" s="91" t="s">
        <v>451</v>
      </c>
      <c r="U321" s="9">
        <v>44379</v>
      </c>
      <c r="V321" s="118" t="s">
        <v>71</v>
      </c>
      <c r="W321" s="119" t="s">
        <v>111</v>
      </c>
      <c r="X321" s="136">
        <v>5</v>
      </c>
      <c r="Y321" s="23">
        <v>11410</v>
      </c>
      <c r="Z321" s="34" t="str">
        <f>IF(ISERROR(VLOOKUP(Y321,'Data inputs '!$N$4:$O$23,2,0)),"",(VLOOKUP(Y321,'Data inputs '!$N$4:$O$23,2,0)))</f>
        <v>UK (FCO)</v>
      </c>
      <c r="AA321" s="114">
        <v>112158</v>
      </c>
      <c r="AB321" s="5"/>
      <c r="AC321" s="5"/>
      <c r="AE321" s="10">
        <f ca="1"/>
        <v>0.56089788116975403</v>
      </c>
      <c r="AF321" s="10">
        <v>0.67564002289133918</v>
      </c>
    </row>
    <row r="322" spans="1:32" s="10" customFormat="1" ht="28.5" customHeight="1">
      <c r="A322" s="96">
        <v>314</v>
      </c>
      <c r="B322" s="17"/>
      <c r="C322" s="17"/>
      <c r="D322" s="17" t="s">
        <v>14</v>
      </c>
      <c r="E322" s="17" t="s">
        <v>442</v>
      </c>
      <c r="F322" s="18"/>
      <c r="G322" s="35" t="s">
        <v>163</v>
      </c>
      <c r="H322" s="46"/>
      <c r="I322" s="46">
        <f>Table1[[#This Row],[Contracted Amount]]*AF322</f>
        <v>0</v>
      </c>
      <c r="J322" s="46"/>
      <c r="K322" s="46">
        <f>Table1[[#This Row],[Actual Expenditure (including admin fees)]]*AF322</f>
        <v>0</v>
      </c>
      <c r="L322" s="35" t="s">
        <v>75</v>
      </c>
      <c r="M322" s="42"/>
      <c r="N322" s="42"/>
      <c r="O322" s="100"/>
      <c r="P322" s="42"/>
      <c r="Q322" s="42"/>
      <c r="R322" s="93"/>
      <c r="S322" s="18"/>
      <c r="T322" s="89"/>
      <c r="U322" s="9"/>
      <c r="V322" s="117"/>
      <c r="W322" s="117"/>
      <c r="X322" s="139"/>
      <c r="Y322" s="23"/>
      <c r="Z322" s="34" t="str">
        <f>IF(ISERROR(VLOOKUP(Y322,'Data inputs '!$N$4:$O$23,2,0)),"",(VLOOKUP(Y322,'Data inputs '!$N$4:$O$23,2,0)))</f>
        <v/>
      </c>
      <c r="AA322" s="34"/>
      <c r="AB322" s="5"/>
      <c r="AC322" s="5"/>
      <c r="AE322" s="10">
        <f ca="1"/>
        <v>0.65554228802190262</v>
      </c>
      <c r="AF322" s="10">
        <v>0.6827005948760182</v>
      </c>
    </row>
    <row r="323" spans="1:32" s="10" customFormat="1" ht="28.5" customHeight="1">
      <c r="A323" s="96">
        <v>315</v>
      </c>
      <c r="B323" s="5" t="s">
        <v>66</v>
      </c>
      <c r="C323" s="5" t="s">
        <v>118</v>
      </c>
      <c r="D323" s="5" t="s">
        <v>14</v>
      </c>
      <c r="E323" s="5" t="s">
        <v>81</v>
      </c>
      <c r="F323" s="89" t="s">
        <v>134</v>
      </c>
      <c r="G323" s="35" t="s">
        <v>163</v>
      </c>
      <c r="H323" s="44">
        <f>350819.6+500</f>
        <v>351319.6</v>
      </c>
      <c r="I323" s="44">
        <f>Table1[[#This Row],[Contracted Amount]]*AF323</f>
        <v>223663.75126164814</v>
      </c>
      <c r="J323" s="44">
        <f>285344.73+16424.5+500</f>
        <v>302269.23</v>
      </c>
      <c r="K323" s="44">
        <f>Table1[[#This Row],[Actual Expenditure (including admin fees)]]*AF323</f>
        <v>192436.37381111077</v>
      </c>
      <c r="L323" s="35" t="s">
        <v>71</v>
      </c>
      <c r="M323" s="42" t="s">
        <v>72</v>
      </c>
      <c r="N323" s="92">
        <v>43723</v>
      </c>
      <c r="O323" s="100" t="s">
        <v>73</v>
      </c>
      <c r="P323" s="42"/>
      <c r="Q323" s="42"/>
      <c r="R323" s="42">
        <v>44004</v>
      </c>
      <c r="S323" s="36" t="s">
        <v>71</v>
      </c>
      <c r="T323" s="89" t="s">
        <v>452</v>
      </c>
      <c r="U323" s="9">
        <v>44011</v>
      </c>
      <c r="V323" s="118" t="s">
        <v>71</v>
      </c>
      <c r="W323" s="118" t="s">
        <v>135</v>
      </c>
      <c r="X323" s="136">
        <v>36</v>
      </c>
      <c r="Y323" s="132" t="s">
        <v>313</v>
      </c>
      <c r="Z323" s="88" t="s">
        <v>314</v>
      </c>
      <c r="AA323" s="88">
        <v>112158</v>
      </c>
      <c r="AB323" s="5"/>
      <c r="AC323" s="5"/>
      <c r="AE323" s="10">
        <f ca="1"/>
        <v>0.55075571711623983</v>
      </c>
      <c r="AF323" s="10">
        <v>0.63663897847329942</v>
      </c>
    </row>
    <row r="324" spans="1:32" s="10" customFormat="1" ht="28.5" customHeight="1">
      <c r="A324" s="96">
        <v>316</v>
      </c>
      <c r="B324" s="5" t="s">
        <v>84</v>
      </c>
      <c r="C324" s="5" t="s">
        <v>118</v>
      </c>
      <c r="D324" s="5" t="s">
        <v>14</v>
      </c>
      <c r="E324" s="5" t="s">
        <v>4</v>
      </c>
      <c r="F324" s="5" t="s">
        <v>109</v>
      </c>
      <c r="G324" s="35" t="s">
        <v>163</v>
      </c>
      <c r="H324" s="44">
        <v>335065</v>
      </c>
      <c r="I324" s="44">
        <f>Table1[[#This Row],[Contracted Amount]]*AF324</f>
        <v>178772.96337166178</v>
      </c>
      <c r="J324" s="44">
        <f>113671.74+95753.844+92086.38+33501.33</f>
        <v>335013.29400000005</v>
      </c>
      <c r="K324" s="44">
        <f>Table1[[#This Row],[Actual Expenditure (including admin fees)]]*AF324</f>
        <v>178745.37578464407</v>
      </c>
      <c r="L324" s="35" t="s">
        <v>71</v>
      </c>
      <c r="M324" s="42" t="s">
        <v>72</v>
      </c>
      <c r="N324" s="92">
        <v>43957</v>
      </c>
      <c r="O324" s="100" t="s">
        <v>73</v>
      </c>
      <c r="P324" s="92">
        <v>43996</v>
      </c>
      <c r="Q324" s="92">
        <v>44042</v>
      </c>
      <c r="R324" s="42">
        <v>44294</v>
      </c>
      <c r="S324" s="36" t="s">
        <v>71</v>
      </c>
      <c r="T324" s="89" t="s">
        <v>453</v>
      </c>
      <c r="U324" s="9">
        <v>44295</v>
      </c>
      <c r="V324" s="118" t="s">
        <v>71</v>
      </c>
      <c r="W324" s="118" t="s">
        <v>110</v>
      </c>
      <c r="X324" s="136">
        <v>1</v>
      </c>
      <c r="Y324" s="23" t="s">
        <v>318</v>
      </c>
      <c r="Z324" s="34" t="s">
        <v>454</v>
      </c>
      <c r="AA324" s="34">
        <v>112158</v>
      </c>
      <c r="AB324" s="5">
        <v>32.076917000000002</v>
      </c>
      <c r="AC324" s="5">
        <v>20.092889</v>
      </c>
      <c r="AE324" s="10">
        <f ca="1"/>
        <v>0.51803091876109442</v>
      </c>
      <c r="AF324" s="10">
        <v>0.53354711286365863</v>
      </c>
    </row>
    <row r="325" spans="1:32" s="10" customFormat="1" ht="28.5" customHeight="1">
      <c r="A325" s="96">
        <v>318</v>
      </c>
      <c r="B325" s="5" t="s">
        <v>84</v>
      </c>
      <c r="C325" s="5" t="s">
        <v>118</v>
      </c>
      <c r="D325" s="5" t="s">
        <v>14</v>
      </c>
      <c r="E325" s="5" t="s">
        <v>112</v>
      </c>
      <c r="F325" s="5" t="s">
        <v>119</v>
      </c>
      <c r="G325" s="35" t="s">
        <v>163</v>
      </c>
      <c r="H325" s="44">
        <v>138962</v>
      </c>
      <c r="I325" s="44">
        <f>Table1[[#This Row],[Contracted Amount]]*AF325</f>
        <v>71681.31254200956</v>
      </c>
      <c r="J325" s="44">
        <f>125065.8+13896.2</f>
        <v>138962</v>
      </c>
      <c r="K325" s="44">
        <f>Table1[[#This Row],[Actual Expenditure (including admin fees)]]*AF325</f>
        <v>71681.31254200956</v>
      </c>
      <c r="L325" s="35" t="s">
        <v>71</v>
      </c>
      <c r="M325" s="42" t="s">
        <v>72</v>
      </c>
      <c r="N325" s="92">
        <v>44021</v>
      </c>
      <c r="O325" s="100" t="s">
        <v>73</v>
      </c>
      <c r="P325" s="92">
        <v>44032</v>
      </c>
      <c r="Q325" s="42"/>
      <c r="R325" s="42">
        <v>44183</v>
      </c>
      <c r="S325" s="36" t="s">
        <v>71</v>
      </c>
      <c r="T325" s="89" t="s">
        <v>455</v>
      </c>
      <c r="U325" s="9">
        <v>44243</v>
      </c>
      <c r="V325" s="118" t="s">
        <v>71</v>
      </c>
      <c r="W325" s="118" t="s">
        <v>120</v>
      </c>
      <c r="X325" s="136">
        <v>1</v>
      </c>
      <c r="Y325" s="23">
        <v>10283</v>
      </c>
      <c r="Z325" s="34" t="str">
        <f>IF(ISERROR(VLOOKUP(Y325,'Data inputs '!$N$4:$O$23,2,0)),"",(VLOOKUP(Y325,'Data inputs '!$N$4:$O$23,2,0)))</f>
        <v>Germay(KfW)</v>
      </c>
      <c r="AA325" s="34">
        <v>112158</v>
      </c>
      <c r="AB325" s="5">
        <v>32.119151000000002</v>
      </c>
      <c r="AC325" s="5">
        <v>20.059695000000001</v>
      </c>
      <c r="AE325" s="10">
        <f ca="1"/>
        <v>0.62492090542598466</v>
      </c>
      <c r="AF325" s="10">
        <v>0.51583391532943945</v>
      </c>
    </row>
    <row r="326" spans="1:32" s="10" customFormat="1" ht="28.5" customHeight="1">
      <c r="A326" s="96">
        <v>319</v>
      </c>
      <c r="B326" s="5" t="s">
        <v>84</v>
      </c>
      <c r="C326" s="5" t="s">
        <v>118</v>
      </c>
      <c r="D326" s="5" t="s">
        <v>14</v>
      </c>
      <c r="E326" s="5" t="s">
        <v>96</v>
      </c>
      <c r="F326" s="5" t="s">
        <v>97</v>
      </c>
      <c r="G326" s="35" t="s">
        <v>163</v>
      </c>
      <c r="H326" s="44">
        <v>187486</v>
      </c>
      <c r="I326" s="44">
        <f>Table1[[#This Row],[Contracted Amount]]*AF326</f>
        <v>96613.862659595019</v>
      </c>
      <c r="J326" s="44">
        <f>(95252.06+92204.22)*0.9+18745.628</f>
        <v>187456.28</v>
      </c>
      <c r="K326" s="44">
        <f>Table1[[#This Row],[Actual Expenditure (including admin fees)]]*AF326</f>
        <v>96598.54757474472</v>
      </c>
      <c r="L326" s="35" t="s">
        <v>71</v>
      </c>
      <c r="M326" s="42" t="s">
        <v>72</v>
      </c>
      <c r="N326" s="92">
        <v>43817</v>
      </c>
      <c r="O326" s="100" t="s">
        <v>73</v>
      </c>
      <c r="P326" s="42">
        <v>43822</v>
      </c>
      <c r="Q326" s="42"/>
      <c r="R326" s="42">
        <v>44032</v>
      </c>
      <c r="S326" s="36" t="s">
        <v>71</v>
      </c>
      <c r="T326" s="89" t="s">
        <v>456</v>
      </c>
      <c r="U326" s="9">
        <v>44061</v>
      </c>
      <c r="V326" s="118" t="s">
        <v>71</v>
      </c>
      <c r="W326" s="118" t="s">
        <v>98</v>
      </c>
      <c r="X326" s="136">
        <v>1</v>
      </c>
      <c r="Y326" s="34">
        <v>10283</v>
      </c>
      <c r="Z326" s="34" t="str">
        <f>IF(ISERROR(VLOOKUP(Y326,'Data inputs '!$N$4:$O$23,2,0)),"",(VLOOKUP(Y326,'Data inputs '!$N$4:$O$23,2,0)))</f>
        <v>Germay(KfW)</v>
      </c>
      <c r="AA326" s="34">
        <v>112158</v>
      </c>
      <c r="AB326" s="5">
        <v>32.115417000000001</v>
      </c>
      <c r="AC326" s="5">
        <v>20.064722</v>
      </c>
      <c r="AE326" s="10">
        <f ca="1"/>
        <v>0.6950043615609317</v>
      </c>
      <c r="AF326" s="10">
        <v>0.51531241084451651</v>
      </c>
    </row>
    <row r="327" spans="1:32" s="10" customFormat="1" ht="28.5" customHeight="1">
      <c r="A327" s="96">
        <v>320</v>
      </c>
      <c r="B327" s="5" t="s">
        <v>84</v>
      </c>
      <c r="C327" s="5" t="s">
        <v>118</v>
      </c>
      <c r="D327" s="5" t="s">
        <v>14</v>
      </c>
      <c r="E327" s="5" t="s">
        <v>96</v>
      </c>
      <c r="F327" s="5" t="s">
        <v>97</v>
      </c>
      <c r="G327" s="35" t="s">
        <v>163</v>
      </c>
      <c r="H327" s="44">
        <v>149110</v>
      </c>
      <c r="I327" s="44">
        <f>Table1[[#This Row],[Contracted Amount]]*AF327</f>
        <v>103199.24866404686</v>
      </c>
      <c r="J327" s="44">
        <f>117569.7+15975.207+14838.323</f>
        <v>148383.23000000001</v>
      </c>
      <c r="K327" s="44">
        <f>Table1[[#This Row],[Actual Expenditure (including admin fees)]]*AF327</f>
        <v>102696.25008614082</v>
      </c>
      <c r="L327" s="35" t="s">
        <v>71</v>
      </c>
      <c r="M327" s="42" t="s">
        <v>72</v>
      </c>
      <c r="N327" s="92">
        <v>44000</v>
      </c>
      <c r="O327" s="100" t="s">
        <v>73</v>
      </c>
      <c r="P327" s="42">
        <v>44039</v>
      </c>
      <c r="Q327" s="42"/>
      <c r="R327" s="42">
        <v>44118</v>
      </c>
      <c r="S327" s="36" t="s">
        <v>71</v>
      </c>
      <c r="T327" s="89" t="s">
        <v>457</v>
      </c>
      <c r="U327" s="9">
        <v>44123</v>
      </c>
      <c r="V327" s="118" t="s">
        <v>71</v>
      </c>
      <c r="W327" s="118" t="s">
        <v>98</v>
      </c>
      <c r="X327" s="136">
        <v>1</v>
      </c>
      <c r="Y327" s="23">
        <v>141</v>
      </c>
      <c r="Z327" s="34" t="str">
        <f>IF(ISERROR(VLOOKUP(Y327,'Data inputs '!$N$4:$O$23,2,0)),"",(VLOOKUP(Y327,'Data inputs '!$N$4:$O$23,2,0)))</f>
        <v>Japan</v>
      </c>
      <c r="AA327" s="34">
        <v>112158</v>
      </c>
      <c r="AB327" s="5">
        <v>32.143917000000002</v>
      </c>
      <c r="AC327" s="5">
        <v>20.086722000000002</v>
      </c>
      <c r="AE327" s="10">
        <f ca="1"/>
        <v>0.71386821763904462</v>
      </c>
      <c r="AF327" s="10">
        <v>0.69210145975485782</v>
      </c>
    </row>
    <row r="328" spans="1:32" s="10" customFormat="1" ht="28.5" customHeight="1">
      <c r="A328" s="96">
        <v>321</v>
      </c>
      <c r="B328" s="5" t="s">
        <v>84</v>
      </c>
      <c r="C328" s="5" t="s">
        <v>118</v>
      </c>
      <c r="D328" s="5" t="s">
        <v>14</v>
      </c>
      <c r="E328" s="5" t="s">
        <v>122</v>
      </c>
      <c r="F328" s="5" t="s">
        <v>132</v>
      </c>
      <c r="G328" s="35" t="s">
        <v>163</v>
      </c>
      <c r="H328" s="44">
        <f>1195794.27+55202.7+750</f>
        <v>1251746.97</v>
      </c>
      <c r="I328" s="44">
        <f>Table1[[#This Row],[Contracted Amount]]*AF328</f>
        <v>818666.92989975319</v>
      </c>
      <c r="J328" s="46">
        <f>239158.85+478317.7+119048.16+113733.51+245536.05+750+55202.7</f>
        <v>1251746.97</v>
      </c>
      <c r="K328" s="46">
        <f>Table1[[#This Row],[Actual Expenditure (including admin fees)]]*AF328</f>
        <v>818666.92989975319</v>
      </c>
      <c r="L328" s="35" t="s">
        <v>71</v>
      </c>
      <c r="M328" s="42" t="s">
        <v>72</v>
      </c>
      <c r="N328" s="92">
        <v>43839</v>
      </c>
      <c r="O328" s="100" t="s">
        <v>73</v>
      </c>
      <c r="P328" s="42">
        <v>44011</v>
      </c>
      <c r="Q328" s="42">
        <v>44059</v>
      </c>
      <c r="R328" s="42">
        <v>44357</v>
      </c>
      <c r="S328" s="35" t="s">
        <v>71</v>
      </c>
      <c r="T328" s="89" t="s">
        <v>458</v>
      </c>
      <c r="U328" s="9">
        <v>44552</v>
      </c>
      <c r="V328" s="118" t="s">
        <v>71</v>
      </c>
      <c r="W328" s="118" t="s">
        <v>133</v>
      </c>
      <c r="X328" s="136">
        <v>24</v>
      </c>
      <c r="Y328" s="23" t="s">
        <v>459</v>
      </c>
      <c r="Z328" s="34" t="s">
        <v>460</v>
      </c>
      <c r="AA328" s="34">
        <v>112158</v>
      </c>
      <c r="AB328" s="5"/>
      <c r="AC328" s="5"/>
      <c r="AE328" s="10">
        <f ca="1"/>
        <v>0.56504212079950189</v>
      </c>
      <c r="AF328" s="10">
        <v>0.65401950196033087</v>
      </c>
    </row>
    <row r="329" spans="1:32" s="10" customFormat="1" ht="28.5" customHeight="1">
      <c r="A329" s="96">
        <v>322</v>
      </c>
      <c r="B329" s="5" t="s">
        <v>84</v>
      </c>
      <c r="C329" s="5" t="s">
        <v>118</v>
      </c>
      <c r="D329" s="5" t="s">
        <v>14</v>
      </c>
      <c r="E329" s="5" t="s">
        <v>112</v>
      </c>
      <c r="F329" s="5" t="s">
        <v>119</v>
      </c>
      <c r="G329" s="35" t="s">
        <v>163</v>
      </c>
      <c r="H329" s="44">
        <v>370134</v>
      </c>
      <c r="I329" s="44">
        <f>Table1[[#This Row],[Contracted Amount]]*AF329</f>
        <v>264169.78245034296</v>
      </c>
      <c r="J329" s="63">
        <f>72669.258+228842.703+31567.6+37008.84</f>
        <v>370088.40099999995</v>
      </c>
      <c r="K329" s="63">
        <f>Table1[[#This Row],[Actual Expenditure (including admin fees)]]*AF329</f>
        <v>264137.23780999659</v>
      </c>
      <c r="L329" s="35" t="s">
        <v>71</v>
      </c>
      <c r="M329" s="42" t="s">
        <v>72</v>
      </c>
      <c r="N329" s="92">
        <v>44065</v>
      </c>
      <c r="O329" s="100" t="s">
        <v>73</v>
      </c>
      <c r="P329" s="42"/>
      <c r="Q329" s="42">
        <v>44153</v>
      </c>
      <c r="R329" s="42">
        <v>44296</v>
      </c>
      <c r="S329" s="35" t="s">
        <v>71</v>
      </c>
      <c r="T329" s="89" t="s">
        <v>461</v>
      </c>
      <c r="U329" s="9">
        <v>44300</v>
      </c>
      <c r="V329" s="118" t="s">
        <v>71</v>
      </c>
      <c r="W329" s="118" t="s">
        <v>120</v>
      </c>
      <c r="X329" s="136">
        <v>1</v>
      </c>
      <c r="Y329" s="23" t="s">
        <v>318</v>
      </c>
      <c r="Z329" s="34" t="s">
        <v>319</v>
      </c>
      <c r="AA329" s="34">
        <v>112158</v>
      </c>
      <c r="AB329" s="5">
        <v>32.118155000000002</v>
      </c>
      <c r="AC329" s="5">
        <v>20.057811000000001</v>
      </c>
      <c r="AE329" s="10">
        <f ca="1"/>
        <v>0.74341057076544015</v>
      </c>
      <c r="AF329" s="10">
        <v>0.71371390482998842</v>
      </c>
    </row>
    <row r="330" spans="1:32" s="10" customFormat="1" ht="28.5" customHeight="1">
      <c r="A330" s="96">
        <v>323</v>
      </c>
      <c r="B330" s="5" t="s">
        <v>66</v>
      </c>
      <c r="C330" s="5" t="s">
        <v>118</v>
      </c>
      <c r="D330" s="5" t="s">
        <v>14</v>
      </c>
      <c r="E330" s="5" t="s">
        <v>81</v>
      </c>
      <c r="F330" s="5" t="s">
        <v>462</v>
      </c>
      <c r="G330" s="35" t="s">
        <v>163</v>
      </c>
      <c r="H330" s="63">
        <v>1000000</v>
      </c>
      <c r="I330" s="63">
        <f>Table1[[#This Row],[Contracted Amount]]*AF330</f>
        <v>569133.89347534475</v>
      </c>
      <c r="J330" s="46"/>
      <c r="K330" s="46">
        <f>Table1[[#This Row],[Actual Expenditure (including admin fees)]]*AF330</f>
        <v>0</v>
      </c>
      <c r="L330" s="35" t="s">
        <v>93</v>
      </c>
      <c r="M330" s="42"/>
      <c r="N330" s="42"/>
      <c r="O330" s="100"/>
      <c r="P330" s="42"/>
      <c r="Q330" s="42"/>
      <c r="R330" s="42"/>
      <c r="S330" s="35" t="s">
        <v>266</v>
      </c>
      <c r="T330" s="89" t="s">
        <v>463</v>
      </c>
      <c r="U330" s="9">
        <v>44252</v>
      </c>
      <c r="V330" s="118" t="s">
        <v>266</v>
      </c>
      <c r="W330" s="118" t="s">
        <v>464</v>
      </c>
      <c r="X330" s="136">
        <v>1</v>
      </c>
      <c r="Y330" s="23"/>
      <c r="Z330" s="34" t="str">
        <f>IF(ISERROR(VLOOKUP(Y330,'Data inputs '!$N$4:$O$23,2,0)),"",(VLOOKUP(Y330,'Data inputs '!$N$4:$O$23,2,0)))</f>
        <v/>
      </c>
      <c r="AA330" s="34"/>
      <c r="AB330" s="5">
        <v>32.10566</v>
      </c>
      <c r="AC330" s="5">
        <v>20.074195</v>
      </c>
      <c r="AE330" s="10">
        <f ca="1"/>
        <v>0.51196618140401373</v>
      </c>
      <c r="AF330" s="10">
        <v>0.56913389347534471</v>
      </c>
    </row>
    <row r="331" spans="1:32" s="10" customFormat="1" ht="28.5" customHeight="1">
      <c r="A331" s="96"/>
      <c r="B331" s="5" t="s">
        <v>84</v>
      </c>
      <c r="C331" s="5" t="s">
        <v>118</v>
      </c>
      <c r="D331" s="5" t="s">
        <v>14</v>
      </c>
      <c r="E331" s="5" t="s">
        <v>4</v>
      </c>
      <c r="F331" s="5" t="s">
        <v>85</v>
      </c>
      <c r="G331" s="35" t="s">
        <v>163</v>
      </c>
      <c r="H331" s="44">
        <v>58101</v>
      </c>
      <c r="I331" s="44">
        <f>Table1[[#This Row],[Contracted Amount]]*AF331</f>
        <v>30429.825663468087</v>
      </c>
      <c r="J331" s="44">
        <f>52290.9+5810.1</f>
        <v>58101</v>
      </c>
      <c r="K331" s="44">
        <f>Table1[[#This Row],[Actual Expenditure (including admin fees)]]*AF331</f>
        <v>30429.825663468087</v>
      </c>
      <c r="L331" s="35" t="s">
        <v>71</v>
      </c>
      <c r="M331" s="42" t="s">
        <v>72</v>
      </c>
      <c r="N331" s="42">
        <v>44170</v>
      </c>
      <c r="O331" s="100" t="s">
        <v>73</v>
      </c>
      <c r="P331" s="42">
        <v>44175</v>
      </c>
      <c r="Q331" s="42"/>
      <c r="R331" s="42">
        <v>44238</v>
      </c>
      <c r="S331" s="35" t="s">
        <v>71</v>
      </c>
      <c r="T331" s="89" t="s">
        <v>465</v>
      </c>
      <c r="U331" s="9">
        <v>44253</v>
      </c>
      <c r="V331" s="118" t="s">
        <v>71</v>
      </c>
      <c r="W331" s="118" t="s">
        <v>86</v>
      </c>
      <c r="X331" s="136">
        <v>1</v>
      </c>
      <c r="Y331" s="23">
        <v>112</v>
      </c>
      <c r="Z331" s="34" t="str">
        <f>IF(ISERROR(VLOOKUP(Y331,'Data inputs '!$N$4:$O$23,2,0)),"",(VLOOKUP(Y331,'Data inputs '!$N$4:$O$23,2,0)))</f>
        <v>France</v>
      </c>
      <c r="AA331" s="34">
        <v>98720</v>
      </c>
      <c r="AB331" s="5"/>
      <c r="AC331" s="5"/>
      <c r="AE331" s="10">
        <f ca="1"/>
        <v>0.63887097903596612</v>
      </c>
      <c r="AF331" s="10">
        <v>0.52374013637403982</v>
      </c>
    </row>
    <row r="332" spans="1:32" s="10" customFormat="1" ht="28.5" customHeight="1">
      <c r="A332" s="96"/>
      <c r="B332" s="5" t="s">
        <v>84</v>
      </c>
      <c r="C332" s="5" t="s">
        <v>118</v>
      </c>
      <c r="D332" s="5" t="s">
        <v>14</v>
      </c>
      <c r="E332" s="5" t="s">
        <v>122</v>
      </c>
      <c r="F332" s="5" t="s">
        <v>123</v>
      </c>
      <c r="G332" s="35" t="s">
        <v>163</v>
      </c>
      <c r="H332" s="44">
        <v>93784</v>
      </c>
      <c r="I332" s="44">
        <f>Table1[[#This Row],[Contracted Amount]]*AF332</f>
        <v>64118.036389245215</v>
      </c>
      <c r="J332" s="44">
        <f>84405.6+9378.4</f>
        <v>93784</v>
      </c>
      <c r="K332" s="44">
        <f>Table1[[#This Row],[Actual Expenditure (including admin fees)]]*AF332</f>
        <v>64118.036389245215</v>
      </c>
      <c r="L332" s="35" t="s">
        <v>71</v>
      </c>
      <c r="M332" s="42" t="s">
        <v>72</v>
      </c>
      <c r="N332" s="92">
        <v>44373</v>
      </c>
      <c r="O332" s="100" t="s">
        <v>73</v>
      </c>
      <c r="P332" s="42"/>
      <c r="Q332" s="42">
        <v>44405</v>
      </c>
      <c r="R332" s="42">
        <v>44528</v>
      </c>
      <c r="S332" s="35" t="s">
        <v>71</v>
      </c>
      <c r="T332" s="91" t="s">
        <v>466</v>
      </c>
      <c r="U332" s="9">
        <v>44552</v>
      </c>
      <c r="V332" s="118" t="s">
        <v>71</v>
      </c>
      <c r="W332" s="119" t="s">
        <v>124</v>
      </c>
      <c r="X332" s="136">
        <v>1</v>
      </c>
      <c r="Y332" s="23">
        <v>151</v>
      </c>
      <c r="Z332" s="34" t="str">
        <f>IF(ISERROR(VLOOKUP(Y332,'Data inputs '!$N$4:$O$23,2,0)),"",(VLOOKUP(Y332,'Data inputs '!$N$4:$O$23,2,0)))</f>
        <v>Gov't of Libya</v>
      </c>
      <c r="AA332" s="114">
        <v>112158</v>
      </c>
      <c r="AB332" s="107">
        <v>32.036241480000001</v>
      </c>
      <c r="AC332" s="107">
        <v>20.044029139999999</v>
      </c>
      <c r="AE332" s="10">
        <f ca="1"/>
        <v>0.74124879183233883</v>
      </c>
      <c r="AF332" s="10">
        <v>0.68367777434578625</v>
      </c>
    </row>
    <row r="333" spans="1:32" s="10" customFormat="1" ht="28.5" customHeight="1">
      <c r="A333" s="96">
        <v>324</v>
      </c>
      <c r="B333" s="17"/>
      <c r="C333" s="17"/>
      <c r="D333" s="17" t="s">
        <v>15</v>
      </c>
      <c r="E333" s="17" t="s">
        <v>442</v>
      </c>
      <c r="F333" s="18"/>
      <c r="G333" s="35" t="s">
        <v>162</v>
      </c>
      <c r="H333" s="63"/>
      <c r="I333" s="63">
        <f>Table1[[#This Row],[Contracted Amount]]*AF333</f>
        <v>0</v>
      </c>
      <c r="J333" s="46"/>
      <c r="K333" s="46">
        <f>Table1[[#This Row],[Actual Expenditure (including admin fees)]]*AF333</f>
        <v>0</v>
      </c>
      <c r="L333" s="35" t="s">
        <v>75</v>
      </c>
      <c r="M333" s="42"/>
      <c r="N333" s="42"/>
      <c r="O333" s="100"/>
      <c r="P333" s="42"/>
      <c r="Q333" s="42"/>
      <c r="R333" s="93"/>
      <c r="S333" s="35"/>
      <c r="T333" s="89"/>
      <c r="U333" s="9"/>
      <c r="V333" s="117"/>
      <c r="W333" s="117"/>
      <c r="X333" s="136"/>
      <c r="Y333" s="23"/>
      <c r="Z333" s="34" t="str">
        <f>IF(ISERROR(VLOOKUP(Y333,'Data inputs '!$N$4:$O$23,2,0)),"",(VLOOKUP(Y333,'Data inputs '!$N$4:$O$23,2,0)))</f>
        <v/>
      </c>
      <c r="AA333" s="34"/>
      <c r="AB333" s="5"/>
      <c r="AC333" s="5"/>
      <c r="AE333" s="10">
        <f ca="1"/>
        <v>0.65406390799641334</v>
      </c>
      <c r="AF333" s="10">
        <v>0.63368256475449414</v>
      </c>
    </row>
    <row r="334" spans="1:32" s="10" customFormat="1" ht="28.5" customHeight="1">
      <c r="A334" s="96"/>
      <c r="B334" s="5" t="s">
        <v>66</v>
      </c>
      <c r="C334" s="5" t="s">
        <v>118</v>
      </c>
      <c r="D334" s="5" t="s">
        <v>15</v>
      </c>
      <c r="E334" s="5" t="s">
        <v>4</v>
      </c>
      <c r="F334" s="5" t="s">
        <v>90</v>
      </c>
      <c r="G334" s="35" t="s">
        <v>162</v>
      </c>
      <c r="H334" s="44">
        <f>138190.5+16633.42+3583.24+250</f>
        <v>158657.15999999997</v>
      </c>
      <c r="I334" s="44">
        <f>Table1[[#This Row],[Contracted Amount]]*AF334</f>
        <v>106921.78891122296</v>
      </c>
      <c r="J334" s="44">
        <f>120879.39+3587.2+250+200+15568.93</f>
        <v>140485.51999999999</v>
      </c>
      <c r="K334" s="44">
        <f>Table1[[#This Row],[Actual Expenditure (including admin fees)]]*AF334</f>
        <v>94675.608176292793</v>
      </c>
      <c r="L334" s="35" t="s">
        <v>71</v>
      </c>
      <c r="M334" s="42" t="s">
        <v>72</v>
      </c>
      <c r="N334" s="92">
        <v>43851</v>
      </c>
      <c r="O334" s="100" t="s">
        <v>73</v>
      </c>
      <c r="P334" s="42"/>
      <c r="Q334" s="42"/>
      <c r="R334" s="42">
        <v>44110</v>
      </c>
      <c r="S334" s="35" t="s">
        <v>71</v>
      </c>
      <c r="T334" s="89" t="s">
        <v>467</v>
      </c>
      <c r="U334" s="9">
        <v>44116</v>
      </c>
      <c r="V334" s="118" t="s">
        <v>71</v>
      </c>
      <c r="W334" s="118" t="s">
        <v>91</v>
      </c>
      <c r="X334" s="136">
        <v>4</v>
      </c>
      <c r="Y334" s="23">
        <v>10283</v>
      </c>
      <c r="Z334" s="34" t="str">
        <f>IF(ISERROR(VLOOKUP(Y334,'Data inputs '!$N$4:$O$23,2,0)),"",(VLOOKUP(Y334,'Data inputs '!$N$4:$O$23,2,0)))</f>
        <v>Germay(KfW)</v>
      </c>
      <c r="AA334" s="34">
        <v>112158</v>
      </c>
      <c r="AB334" s="5"/>
      <c r="AC334" s="5"/>
      <c r="AE334" s="10">
        <f ca="1"/>
        <v>0.70776146022868669</v>
      </c>
      <c r="AF334" s="10">
        <v>0.67391719926931115</v>
      </c>
    </row>
    <row r="335" spans="1:32" s="10" customFormat="1" ht="28.5" customHeight="1">
      <c r="A335" s="96"/>
      <c r="B335" s="5" t="s">
        <v>66</v>
      </c>
      <c r="C335" s="5" t="s">
        <v>118</v>
      </c>
      <c r="D335" s="5" t="s">
        <v>15</v>
      </c>
      <c r="E335" s="5" t="s">
        <v>68</v>
      </c>
      <c r="F335" s="5" t="s">
        <v>69</v>
      </c>
      <c r="G335" s="35" t="s">
        <v>162</v>
      </c>
      <c r="H335" s="44">
        <f>(352779+50557.5)*(3/4)</f>
        <v>302502.375</v>
      </c>
      <c r="I335" s="44">
        <f>Table1[[#This Row],[Contracted Amount]]*AF335</f>
        <v>196928.78571960318</v>
      </c>
      <c r="J335" s="44">
        <f>(262637.75+41435.75)*3/4</f>
        <v>228055.125</v>
      </c>
      <c r="K335" s="44">
        <f>Table1[[#This Row],[Actual Expenditure (including admin fees)]]*AF335</f>
        <v>148463.69005658987</v>
      </c>
      <c r="L335" s="35" t="s">
        <v>71</v>
      </c>
      <c r="M335" s="42" t="s">
        <v>72</v>
      </c>
      <c r="N335" s="42">
        <v>43984</v>
      </c>
      <c r="O335" s="100" t="s">
        <v>73</v>
      </c>
      <c r="P335" s="42"/>
      <c r="Q335" s="42"/>
      <c r="R335" s="42">
        <v>44358</v>
      </c>
      <c r="S335" s="35" t="s">
        <v>71</v>
      </c>
      <c r="T335" s="89" t="s">
        <v>468</v>
      </c>
      <c r="U335" s="9">
        <v>44389</v>
      </c>
      <c r="V335" s="118" t="s">
        <v>71</v>
      </c>
      <c r="W335" s="118" t="s">
        <v>74</v>
      </c>
      <c r="X335" s="136">
        <v>3</v>
      </c>
      <c r="Y335" s="23">
        <v>717</v>
      </c>
      <c r="Z335" s="34" t="str">
        <f>IF(ISERROR(VLOOKUP(Y335,'Data inputs '!$N$4:$O$23,2,0)),"",(VLOOKUP(Y335,'Data inputs '!$N$4:$O$23,2,0)))</f>
        <v>C/S ROK</v>
      </c>
      <c r="AA335" s="34">
        <v>112158</v>
      </c>
      <c r="AB335" s="5"/>
      <c r="AC335" s="5"/>
      <c r="AE335" s="10">
        <f ca="1"/>
        <v>0.72977742979980742</v>
      </c>
      <c r="AF335" s="10">
        <v>0.65099913916247165</v>
      </c>
    </row>
    <row r="336" spans="1:32" s="10" customFormat="1" ht="28.5" customHeight="1">
      <c r="A336" s="96"/>
      <c r="B336" s="5" t="s">
        <v>66</v>
      </c>
      <c r="C336" s="5" t="s">
        <v>118</v>
      </c>
      <c r="D336" s="5" t="s">
        <v>15</v>
      </c>
      <c r="E336" s="5" t="s">
        <v>112</v>
      </c>
      <c r="F336" s="6" t="s">
        <v>136</v>
      </c>
      <c r="G336" s="35" t="s">
        <v>162</v>
      </c>
      <c r="H336" s="44">
        <f>(844872+52753.94)/2</f>
        <v>448812.97</v>
      </c>
      <c r="I336" s="44">
        <f>Table1[[#This Row],[Contracted Amount]]*AF336</f>
        <v>293705.4519690579</v>
      </c>
      <c r="J336" s="44">
        <f>678696.51/2+41681.85/2</f>
        <v>360189.18</v>
      </c>
      <c r="K336" s="44">
        <f>Table1[[#This Row],[Actual Expenditure (including admin fees)]]*AF336</f>
        <v>235709.60060771939</v>
      </c>
      <c r="L336" s="35" t="s">
        <v>71</v>
      </c>
      <c r="M336" s="42" t="s">
        <v>72</v>
      </c>
      <c r="N336" s="92">
        <v>44007</v>
      </c>
      <c r="O336" s="100" t="s">
        <v>73</v>
      </c>
      <c r="P336" s="42"/>
      <c r="Q336" s="42"/>
      <c r="R336" s="42">
        <v>44323</v>
      </c>
      <c r="S336" s="35" t="s">
        <v>71</v>
      </c>
      <c r="T336" s="89" t="s">
        <v>443</v>
      </c>
      <c r="U336" s="9">
        <v>44335</v>
      </c>
      <c r="V336" s="118" t="s">
        <v>71</v>
      </c>
      <c r="W336" s="118" t="s">
        <v>137</v>
      </c>
      <c r="X336" s="136">
        <v>2</v>
      </c>
      <c r="Y336" s="23" t="s">
        <v>260</v>
      </c>
      <c r="Z336" s="34" t="s">
        <v>444</v>
      </c>
      <c r="AA336" s="34">
        <v>112158</v>
      </c>
      <c r="AB336" s="5"/>
      <c r="AC336" s="5"/>
      <c r="AE336" s="10">
        <f ca="1"/>
        <v>0.54775253592011042</v>
      </c>
      <c r="AF336" s="10">
        <v>0.65440500074910468</v>
      </c>
    </row>
    <row r="337" spans="1:32" s="10" customFormat="1" ht="28.5" customHeight="1">
      <c r="A337" s="96"/>
      <c r="B337" s="5" t="s">
        <v>66</v>
      </c>
      <c r="C337" s="5" t="s">
        <v>118</v>
      </c>
      <c r="D337" s="5" t="s">
        <v>15</v>
      </c>
      <c r="E337" s="5" t="s">
        <v>81</v>
      </c>
      <c r="F337" s="5" t="s">
        <v>113</v>
      </c>
      <c r="G337" s="35" t="s">
        <v>162</v>
      </c>
      <c r="H337" s="44">
        <f>100440.9+11538.35</f>
        <v>111979.25</v>
      </c>
      <c r="I337" s="44">
        <f>Table1[[#This Row],[Contracted Amount]]*AF337</f>
        <v>71783.943384292215</v>
      </c>
      <c r="J337" s="44">
        <f>83460+9918.9</f>
        <v>93378.9</v>
      </c>
      <c r="K337" s="44">
        <f>Table1[[#This Row],[Actual Expenditure (including admin fees)]]*AF337</f>
        <v>59860.247955647887</v>
      </c>
      <c r="L337" s="35" t="s">
        <v>71</v>
      </c>
      <c r="M337" s="42" t="s">
        <v>72</v>
      </c>
      <c r="N337" s="92">
        <v>44007</v>
      </c>
      <c r="O337" s="100" t="s">
        <v>73</v>
      </c>
      <c r="P337" s="42"/>
      <c r="Q337" s="42"/>
      <c r="R337" s="42">
        <v>44181</v>
      </c>
      <c r="S337" s="35" t="s">
        <v>71</v>
      </c>
      <c r="T337" s="89" t="s">
        <v>469</v>
      </c>
      <c r="U337" s="9">
        <v>44189</v>
      </c>
      <c r="V337" s="118" t="s">
        <v>71</v>
      </c>
      <c r="W337" s="118" t="s">
        <v>114</v>
      </c>
      <c r="X337" s="136">
        <v>3</v>
      </c>
      <c r="Y337" s="23" t="s">
        <v>470</v>
      </c>
      <c r="Z337" s="34" t="s">
        <v>471</v>
      </c>
      <c r="AA337" s="34" t="s">
        <v>264</v>
      </c>
      <c r="AB337" s="5"/>
      <c r="AC337" s="5"/>
      <c r="AE337" s="10">
        <f ca="1"/>
        <v>0.57685406606655854</v>
      </c>
      <c r="AF337" s="10">
        <v>0.64104683130394435</v>
      </c>
    </row>
    <row r="338" spans="1:32" s="10" customFormat="1" ht="28.5" customHeight="1">
      <c r="A338" s="96"/>
      <c r="B338" s="5" t="s">
        <v>66</v>
      </c>
      <c r="C338" s="5" t="s">
        <v>118</v>
      </c>
      <c r="D338" s="5" t="s">
        <v>15</v>
      </c>
      <c r="E338" s="5" t="s">
        <v>4</v>
      </c>
      <c r="F338" s="5" t="s">
        <v>107</v>
      </c>
      <c r="G338" s="35" t="s">
        <v>162</v>
      </c>
      <c r="H338" s="44">
        <f>155717.1+6853.35</f>
        <v>162570.45000000001</v>
      </c>
      <c r="I338" s="44">
        <f>Table1[[#This Row],[Contracted Amount]]*AF338</f>
        <v>102649.1586881384</v>
      </c>
      <c r="J338" s="44">
        <f>54716.06+5558.65</f>
        <v>60274.71</v>
      </c>
      <c r="K338" s="44">
        <f>Table1[[#This Row],[Actual Expenditure (including admin fees)]]*AF338</f>
        <v>38058.258875899781</v>
      </c>
      <c r="L338" s="35" t="s">
        <v>71</v>
      </c>
      <c r="M338" s="42" t="s">
        <v>72</v>
      </c>
      <c r="N338" s="92">
        <v>44007</v>
      </c>
      <c r="O338" s="100" t="s">
        <v>73</v>
      </c>
      <c r="P338" s="42"/>
      <c r="Q338" s="42"/>
      <c r="R338" s="42">
        <v>44224</v>
      </c>
      <c r="S338" s="35" t="s">
        <v>71</v>
      </c>
      <c r="T338" s="89" t="s">
        <v>472</v>
      </c>
      <c r="U338" s="9">
        <v>44239</v>
      </c>
      <c r="V338" s="118" t="s">
        <v>71</v>
      </c>
      <c r="W338" s="118" t="s">
        <v>105</v>
      </c>
      <c r="X338" s="136">
        <v>1</v>
      </c>
      <c r="Y338" s="23" t="s">
        <v>331</v>
      </c>
      <c r="Z338" s="34" t="s">
        <v>473</v>
      </c>
      <c r="AA338" s="34" t="s">
        <v>474</v>
      </c>
      <c r="AB338" s="5"/>
      <c r="AC338" s="5"/>
      <c r="AE338" s="10">
        <f ca="1"/>
        <v>0.56001120522511127</v>
      </c>
      <c r="AF338" s="10">
        <v>0.63141338839954242</v>
      </c>
    </row>
    <row r="339" spans="1:32" s="10" customFormat="1" ht="28.5" customHeight="1">
      <c r="A339" s="96"/>
      <c r="B339" s="5" t="s">
        <v>66</v>
      </c>
      <c r="C339" s="5" t="s">
        <v>118</v>
      </c>
      <c r="D339" s="5" t="s">
        <v>15</v>
      </c>
      <c r="E339" s="5" t="s">
        <v>81</v>
      </c>
      <c r="F339" s="5" t="s">
        <v>115</v>
      </c>
      <c r="G339" s="35" t="s">
        <v>162</v>
      </c>
      <c r="H339" s="44">
        <f>73510.61+11459.7</f>
        <v>84970.31</v>
      </c>
      <c r="I339" s="44">
        <f>Table1[[#This Row],[Contracted Amount]]*AF339</f>
        <v>46922.936759543067</v>
      </c>
      <c r="J339" s="44">
        <f>8827.5+66019.86</f>
        <v>74847.360000000001</v>
      </c>
      <c r="K339" s="44">
        <f>Table1[[#This Row],[Actual Expenditure (including admin fees)]]*AF339</f>
        <v>41332.765996719951</v>
      </c>
      <c r="L339" s="35" t="s">
        <v>71</v>
      </c>
      <c r="M339" s="42" t="s">
        <v>72</v>
      </c>
      <c r="N339" s="92">
        <v>44299</v>
      </c>
      <c r="O339" s="100" t="s">
        <v>73</v>
      </c>
      <c r="P339" s="42"/>
      <c r="Q339" s="42"/>
      <c r="R339" s="42">
        <v>44508</v>
      </c>
      <c r="S339" s="35" t="s">
        <v>71</v>
      </c>
      <c r="T339" s="91" t="s">
        <v>475</v>
      </c>
      <c r="U339" s="9">
        <v>44538</v>
      </c>
      <c r="V339" s="118" t="s">
        <v>71</v>
      </c>
      <c r="W339" s="118" t="s">
        <v>111</v>
      </c>
      <c r="X339" s="136">
        <v>10</v>
      </c>
      <c r="Y339" s="23" t="s">
        <v>476</v>
      </c>
      <c r="Z339" s="34" t="s">
        <v>477</v>
      </c>
      <c r="AA339" s="34">
        <v>112158</v>
      </c>
      <c r="AB339" s="5">
        <v>32.751951300000002</v>
      </c>
      <c r="AC339" s="5">
        <v>22.640651999999999</v>
      </c>
      <c r="AE339" s="10">
        <f ca="1"/>
        <v>0.69326386143746532</v>
      </c>
      <c r="AF339" s="10">
        <v>0.55222743990863477</v>
      </c>
    </row>
    <row r="340" spans="1:32" s="10" customFormat="1" ht="28.5" customHeight="1">
      <c r="A340" s="96"/>
      <c r="B340" s="5" t="s">
        <v>84</v>
      </c>
      <c r="C340" s="5" t="s">
        <v>118</v>
      </c>
      <c r="D340" s="5" t="s">
        <v>15</v>
      </c>
      <c r="E340" s="5" t="s">
        <v>112</v>
      </c>
      <c r="F340" s="5" t="s">
        <v>160</v>
      </c>
      <c r="G340" s="35" t="s">
        <v>162</v>
      </c>
      <c r="H340" s="44">
        <v>205030</v>
      </c>
      <c r="I340" s="44">
        <f>Table1[[#This Row],[Contracted Amount]]*AF340</f>
        <v>134233.8130461463</v>
      </c>
      <c r="J340" s="46"/>
      <c r="K340" s="46">
        <f>Table1[[#This Row],[Actual Expenditure (including admin fees)]]*AF340</f>
        <v>0</v>
      </c>
      <c r="L340" s="35" t="s">
        <v>71</v>
      </c>
      <c r="M340" s="42" t="s">
        <v>72</v>
      </c>
      <c r="N340" s="42">
        <v>44734</v>
      </c>
      <c r="O340" s="100"/>
      <c r="P340" s="42"/>
      <c r="Q340" s="42"/>
      <c r="R340" s="42"/>
      <c r="S340" s="35" t="s">
        <v>478</v>
      </c>
      <c r="T340" s="91" t="s">
        <v>479</v>
      </c>
      <c r="U340" s="9">
        <v>44776</v>
      </c>
      <c r="V340" s="118" t="s">
        <v>478</v>
      </c>
      <c r="W340" s="118" t="s">
        <v>120</v>
      </c>
      <c r="X340" s="136">
        <v>1</v>
      </c>
      <c r="Y340" s="23">
        <v>141</v>
      </c>
      <c r="Z340" s="34" t="str">
        <f>IF(ISERROR(VLOOKUP(Y340,'Data inputs '!$N$4:$O$23,2,0)),"",(VLOOKUP(Y340,'Data inputs '!$N$4:$O$23,2,0)))</f>
        <v>Japan</v>
      </c>
      <c r="AA340" s="34">
        <v>127766</v>
      </c>
      <c r="AB340" s="5"/>
      <c r="AC340" s="5"/>
      <c r="AE340" s="10">
        <f ca="1"/>
        <v>0.63871325448924432</v>
      </c>
      <c r="AF340" s="10">
        <v>0.65470327779420723</v>
      </c>
    </row>
    <row r="341" spans="1:32" s="10" customFormat="1" ht="28.5" customHeight="1">
      <c r="A341" s="96"/>
      <c r="B341" s="5" t="s">
        <v>84</v>
      </c>
      <c r="C341" s="5" t="s">
        <v>118</v>
      </c>
      <c r="D341" s="5" t="s">
        <v>15</v>
      </c>
      <c r="E341" s="5" t="s">
        <v>96</v>
      </c>
      <c r="F341" s="5" t="s">
        <v>97</v>
      </c>
      <c r="G341" s="35" t="s">
        <v>162</v>
      </c>
      <c r="H341" s="44">
        <v>122795</v>
      </c>
      <c r="I341" s="44">
        <f>Table1[[#This Row],[Contracted Amount]]*AF341</f>
        <v>87330.12851727067</v>
      </c>
      <c r="J341" s="44">
        <v>110501.19</v>
      </c>
      <c r="K341" s="44">
        <f>Table1[[#This Row],[Actual Expenditure (including admin fees)]]*AF341</f>
        <v>78586.938588797144</v>
      </c>
      <c r="L341" s="35" t="s">
        <v>71</v>
      </c>
      <c r="M341" s="42" t="s">
        <v>72</v>
      </c>
      <c r="N341" s="92">
        <v>44192</v>
      </c>
      <c r="O341" s="100" t="s">
        <v>73</v>
      </c>
      <c r="P341" s="42">
        <v>44221</v>
      </c>
      <c r="Q341" s="42">
        <v>44247</v>
      </c>
      <c r="R341" s="42">
        <v>44391</v>
      </c>
      <c r="S341" s="35" t="s">
        <v>71</v>
      </c>
      <c r="T341" s="91" t="s">
        <v>480</v>
      </c>
      <c r="U341" s="9">
        <v>44440</v>
      </c>
      <c r="V341" s="118" t="s">
        <v>71</v>
      </c>
      <c r="W341" s="118" t="s">
        <v>98</v>
      </c>
      <c r="X341" s="136">
        <v>1</v>
      </c>
      <c r="Y341" s="23" t="s">
        <v>481</v>
      </c>
      <c r="Z341" s="34" t="s">
        <v>482</v>
      </c>
      <c r="AA341" s="34" t="s">
        <v>483</v>
      </c>
      <c r="AB341" s="5"/>
      <c r="AC341" s="5"/>
      <c r="AE341" s="10">
        <f ca="1"/>
        <v>0.6268669456365028</v>
      </c>
      <c r="AF341" s="10">
        <v>0.71118635544827291</v>
      </c>
    </row>
    <row r="342" spans="1:32" s="10" customFormat="1" ht="28.5" customHeight="1">
      <c r="A342" s="96">
        <v>325</v>
      </c>
      <c r="B342" s="17"/>
      <c r="C342" s="17" t="s">
        <v>148</v>
      </c>
      <c r="D342" s="17" t="s">
        <v>16</v>
      </c>
      <c r="E342" s="17"/>
      <c r="F342" s="18"/>
      <c r="G342" s="35" t="s">
        <v>162</v>
      </c>
      <c r="H342" s="44"/>
      <c r="I342" s="44">
        <f>Table1[[#This Row],[Contracted Amount]]*AF342</f>
        <v>0</v>
      </c>
      <c r="J342" s="46"/>
      <c r="K342" s="46">
        <f>Table1[[#This Row],[Actual Expenditure (including admin fees)]]*AF342</f>
        <v>0</v>
      </c>
      <c r="L342" s="35"/>
      <c r="M342" s="42"/>
      <c r="N342" s="42"/>
      <c r="O342" s="100"/>
      <c r="P342" s="42"/>
      <c r="Q342" s="42"/>
      <c r="R342" s="93"/>
      <c r="S342" s="17"/>
      <c r="T342" s="89"/>
      <c r="U342" s="9"/>
      <c r="V342" s="117"/>
      <c r="W342" s="117"/>
      <c r="X342" s="139"/>
      <c r="Y342" s="23"/>
      <c r="Z342" s="34" t="str">
        <f>IF(ISERROR(VLOOKUP(Y342,'Data inputs '!$N$4:$O$23,2,0)),"",(VLOOKUP(Y342,'Data inputs '!$N$4:$O$23,2,0)))</f>
        <v/>
      </c>
      <c r="AA342" s="34"/>
      <c r="AB342" s="5"/>
      <c r="AC342" s="5"/>
      <c r="AE342" s="10">
        <f ca="1"/>
        <v>0.73060876930370522</v>
      </c>
      <c r="AF342" s="10">
        <v>0.59751468132475349</v>
      </c>
    </row>
    <row r="343" spans="1:32" s="10" customFormat="1" ht="28.5" customHeight="1">
      <c r="A343" s="96">
        <v>326</v>
      </c>
      <c r="B343" s="5" t="s">
        <v>66</v>
      </c>
      <c r="C343" s="5" t="s">
        <v>148</v>
      </c>
      <c r="D343" s="5" t="s">
        <v>16</v>
      </c>
      <c r="E343" s="5" t="s">
        <v>81</v>
      </c>
      <c r="F343" s="5" t="s">
        <v>82</v>
      </c>
      <c r="G343" s="35" t="s">
        <v>162</v>
      </c>
      <c r="H343" s="44">
        <f>637136.85+67376.3</f>
        <v>704513.15</v>
      </c>
      <c r="I343" s="44">
        <f>Table1[[#This Row],[Contracted Amount]]*AF343</f>
        <v>363592.61379553337</v>
      </c>
      <c r="J343" s="44">
        <f>427154.7+142384.9+62027.9</f>
        <v>631567.5</v>
      </c>
      <c r="K343" s="44">
        <f>Table1[[#This Row],[Actual Expenditure (including admin fees)]]*AF343</f>
        <v>325946.04957098461</v>
      </c>
      <c r="L343" s="35" t="s">
        <v>71</v>
      </c>
      <c r="M343" s="42" t="s">
        <v>72</v>
      </c>
      <c r="N343" s="92">
        <v>43669</v>
      </c>
      <c r="O343" s="100" t="s">
        <v>73</v>
      </c>
      <c r="P343" s="42"/>
      <c r="Q343" s="42"/>
      <c r="R343" s="42">
        <v>44147</v>
      </c>
      <c r="S343" s="36" t="s">
        <v>71</v>
      </c>
      <c r="T343" s="89" t="s">
        <v>484</v>
      </c>
      <c r="U343" s="9">
        <v>44155</v>
      </c>
      <c r="V343" s="118" t="s">
        <v>71</v>
      </c>
      <c r="W343" s="118" t="s">
        <v>83</v>
      </c>
      <c r="X343" s="136">
        <v>4</v>
      </c>
      <c r="Y343" s="23">
        <v>141</v>
      </c>
      <c r="Z343" s="34" t="str">
        <f>IF(ISERROR(VLOOKUP(Y343,'Data inputs '!$N$4:$O$23,2,0)),"",(VLOOKUP(Y343,'Data inputs '!$N$4:$O$23,2,0)))</f>
        <v>Japan</v>
      </c>
      <c r="AA343" s="34">
        <v>112158</v>
      </c>
      <c r="AB343" s="5">
        <v>24.958311111111112</v>
      </c>
      <c r="AC343" s="5">
        <v>10.175558333333333</v>
      </c>
      <c r="AE343" s="10">
        <f ca="1"/>
        <v>0.6358280673731509</v>
      </c>
      <c r="AF343" s="10">
        <v>0.51609059929617118</v>
      </c>
    </row>
    <row r="344" spans="1:32" s="10" customFormat="1" ht="28.5" customHeight="1">
      <c r="A344" s="96">
        <v>327</v>
      </c>
      <c r="B344" s="5" t="s">
        <v>66</v>
      </c>
      <c r="C344" s="5" t="s">
        <v>148</v>
      </c>
      <c r="D344" s="5" t="s">
        <v>16</v>
      </c>
      <c r="E344" s="5" t="s">
        <v>81</v>
      </c>
      <c r="F344" s="5" t="s">
        <v>82</v>
      </c>
      <c r="G344" s="35" t="s">
        <v>162</v>
      </c>
      <c r="H344" s="44">
        <f>438165+400+81224.1</f>
        <v>519789.1</v>
      </c>
      <c r="I344" s="44">
        <f>Table1[[#This Row],[Contracted Amount]]*AF344</f>
        <v>374792.9015277173</v>
      </c>
      <c r="J344" s="44">
        <f>417300+400+81224.1</f>
        <v>498924.1</v>
      </c>
      <c r="K344" s="44">
        <f>Table1[[#This Row],[Actual Expenditure (including admin fees)]]*AF344</f>
        <v>359748.23458418995</v>
      </c>
      <c r="L344" s="35" t="s">
        <v>71</v>
      </c>
      <c r="M344" s="42" t="s">
        <v>72</v>
      </c>
      <c r="N344" s="92">
        <v>43664</v>
      </c>
      <c r="O344" s="100" t="s">
        <v>73</v>
      </c>
      <c r="P344" s="42"/>
      <c r="Q344" s="42"/>
      <c r="R344" s="42">
        <v>44026</v>
      </c>
      <c r="S344" s="36" t="s">
        <v>71</v>
      </c>
      <c r="T344" s="89" t="s">
        <v>485</v>
      </c>
      <c r="U344" s="9">
        <v>44035</v>
      </c>
      <c r="V344" s="118" t="s">
        <v>71</v>
      </c>
      <c r="W344" s="118" t="s">
        <v>166</v>
      </c>
      <c r="X344" s="136">
        <v>4</v>
      </c>
      <c r="Y344" s="23" t="s">
        <v>486</v>
      </c>
      <c r="Z344" s="88" t="s">
        <v>487</v>
      </c>
      <c r="AA344" s="34" t="s">
        <v>340</v>
      </c>
      <c r="AB344" s="5">
        <v>24.958311111111112</v>
      </c>
      <c r="AC344" s="5">
        <v>10.175558333333333</v>
      </c>
      <c r="AE344" s="10">
        <f ca="1"/>
        <v>0.70730214750523757</v>
      </c>
      <c r="AF344" s="10">
        <v>0.72104802029845816</v>
      </c>
    </row>
    <row r="345" spans="1:32" s="10" customFormat="1" ht="28.5" customHeight="1">
      <c r="A345" s="96">
        <v>328</v>
      </c>
      <c r="B345" s="5" t="s">
        <v>66</v>
      </c>
      <c r="C345" s="5" t="s">
        <v>148</v>
      </c>
      <c r="D345" s="5" t="s">
        <v>16</v>
      </c>
      <c r="E345" s="5" t="s">
        <v>81</v>
      </c>
      <c r="F345" s="5" t="s">
        <v>129</v>
      </c>
      <c r="G345" s="35" t="s">
        <v>162</v>
      </c>
      <c r="H345" s="44">
        <f>254025.25+43457.33</f>
        <v>297482.58</v>
      </c>
      <c r="I345" s="44">
        <f>Table1[[#This Row],[Contracted Amount]]*AF345</f>
        <v>201029.20987053539</v>
      </c>
      <c r="J345" s="44">
        <f>248380.24+43457.33</f>
        <v>291837.57</v>
      </c>
      <c r="K345" s="44">
        <f>Table1[[#This Row],[Actual Expenditure (including admin fees)]]*AF345</f>
        <v>197214.49271966465</v>
      </c>
      <c r="L345" s="35" t="s">
        <v>71</v>
      </c>
      <c r="M345" s="42" t="s">
        <v>72</v>
      </c>
      <c r="N345" s="42">
        <v>43671</v>
      </c>
      <c r="O345" s="100" t="s">
        <v>73</v>
      </c>
      <c r="P345" s="42"/>
      <c r="Q345" s="42"/>
      <c r="R345" s="42">
        <v>43817</v>
      </c>
      <c r="S345" s="36" t="s">
        <v>71</v>
      </c>
      <c r="T345" s="89" t="s">
        <v>488</v>
      </c>
      <c r="U345" s="9">
        <v>43820</v>
      </c>
      <c r="V345" s="118" t="s">
        <v>71</v>
      </c>
      <c r="W345" s="118" t="s">
        <v>130</v>
      </c>
      <c r="X345" s="136">
        <v>4</v>
      </c>
      <c r="Y345" s="23">
        <v>10480</v>
      </c>
      <c r="Z345" s="34" t="s">
        <v>230</v>
      </c>
      <c r="AA345" s="34">
        <v>112158</v>
      </c>
      <c r="AB345" s="5">
        <v>24.958311111111112</v>
      </c>
      <c r="AC345" s="5">
        <v>10.175558333333333</v>
      </c>
      <c r="AE345" s="10">
        <f ca="1"/>
        <v>0.68421537000186339</v>
      </c>
      <c r="AF345" s="10">
        <v>0.67576800587965646</v>
      </c>
    </row>
    <row r="346" spans="1:32" s="10" customFormat="1" ht="28.5" customHeight="1">
      <c r="A346" s="96">
        <v>330</v>
      </c>
      <c r="B346" s="5" t="s">
        <v>66</v>
      </c>
      <c r="C346" s="5" t="s">
        <v>148</v>
      </c>
      <c r="D346" s="5" t="s">
        <v>16</v>
      </c>
      <c r="E346" s="5" t="s">
        <v>81</v>
      </c>
      <c r="F346" s="5" t="s">
        <v>113</v>
      </c>
      <c r="G346" s="35" t="s">
        <v>162</v>
      </c>
      <c r="H346" s="44">
        <f>119091+19474+411+500</f>
        <v>139476</v>
      </c>
      <c r="I346" s="44">
        <f>Table1[[#This Row],[Contracted Amount]]*AF346</f>
        <v>97158.619482239461</v>
      </c>
      <c r="J346" s="44">
        <f>110638+14078.33+411+500</f>
        <v>125627.33</v>
      </c>
      <c r="K346" s="44">
        <f>Table1[[#This Row],[Actual Expenditure (including admin fees)]]*AF346</f>
        <v>87511.67191516624</v>
      </c>
      <c r="L346" s="35" t="s">
        <v>71</v>
      </c>
      <c r="M346" s="42" t="s">
        <v>72</v>
      </c>
      <c r="N346" s="42">
        <v>43669</v>
      </c>
      <c r="O346" s="100" t="s">
        <v>73</v>
      </c>
      <c r="P346" s="42"/>
      <c r="Q346" s="42"/>
      <c r="R346" s="42">
        <v>43908</v>
      </c>
      <c r="S346" s="36" t="s">
        <v>71</v>
      </c>
      <c r="T346" s="89" t="s">
        <v>489</v>
      </c>
      <c r="U346" s="9">
        <v>43914</v>
      </c>
      <c r="V346" s="118" t="s">
        <v>71</v>
      </c>
      <c r="W346" s="118" t="s">
        <v>114</v>
      </c>
      <c r="X346" s="136">
        <v>4</v>
      </c>
      <c r="Y346" s="23">
        <v>10159</v>
      </c>
      <c r="Z346" s="34" t="str">
        <f>IF(ISERROR(VLOOKUP(Y346,'Data inputs '!$N$4:$O$23,2,0)),"",(VLOOKUP(Y346,'Data inputs '!$N$4:$O$23,2,0)))</f>
        <v>EU</v>
      </c>
      <c r="AA346" s="34">
        <v>112158</v>
      </c>
      <c r="AB346" s="5">
        <v>24.975233333333332</v>
      </c>
      <c r="AC346" s="5">
        <v>10.184888888888889</v>
      </c>
      <c r="AE346" s="10">
        <f ca="1"/>
        <v>0.73889080491391967</v>
      </c>
      <c r="AF346" s="10">
        <v>0.696597403727089</v>
      </c>
    </row>
    <row r="347" spans="1:32" s="10" customFormat="1" ht="28.5" customHeight="1">
      <c r="A347" s="96">
        <v>332</v>
      </c>
      <c r="B347" s="5" t="s">
        <v>66</v>
      </c>
      <c r="C347" s="5" t="s">
        <v>148</v>
      </c>
      <c r="D347" s="5" t="s">
        <v>16</v>
      </c>
      <c r="E347" s="5" t="s">
        <v>81</v>
      </c>
      <c r="F347" s="5" t="s">
        <v>107</v>
      </c>
      <c r="G347" s="35" t="s">
        <v>162</v>
      </c>
      <c r="H347" s="44">
        <f>272663.86+18916.67</f>
        <v>291580.52999999997</v>
      </c>
      <c r="I347" s="44">
        <f>Table1[[#This Row],[Contracted Amount]]*AF347</f>
        <v>172731.44414143253</v>
      </c>
      <c r="J347" s="46">
        <f>272663.86+19259.05</f>
        <v>291922.90999999997</v>
      </c>
      <c r="K347" s="46">
        <f>Table1[[#This Row],[Actual Expenditure (including admin fees)]]*AF347</f>
        <v>172934.26904145291</v>
      </c>
      <c r="L347" s="35" t="s">
        <v>71</v>
      </c>
      <c r="M347" s="42" t="s">
        <v>72</v>
      </c>
      <c r="N347" s="42">
        <v>43656</v>
      </c>
      <c r="O347" s="100" t="s">
        <v>73</v>
      </c>
      <c r="P347" s="42"/>
      <c r="Q347" s="42"/>
      <c r="R347" s="42">
        <v>43906</v>
      </c>
      <c r="S347" s="36" t="s">
        <v>71</v>
      </c>
      <c r="T347" s="89" t="s">
        <v>490</v>
      </c>
      <c r="U347" s="9">
        <v>43914</v>
      </c>
      <c r="V347" s="118" t="s">
        <v>71</v>
      </c>
      <c r="W347" s="118" t="s">
        <v>108</v>
      </c>
      <c r="X347" s="136">
        <v>21</v>
      </c>
      <c r="Y347" s="23">
        <v>10283</v>
      </c>
      <c r="Z347" s="34" t="str">
        <f>IF(ISERROR(VLOOKUP(Y347,'Data inputs '!$N$4:$O$23,2,0)),"",(VLOOKUP(Y347,'Data inputs '!$N$4:$O$23,2,0)))</f>
        <v>Germay(KfW)</v>
      </c>
      <c r="AA347" s="34">
        <v>112158</v>
      </c>
      <c r="AB347" s="102" t="s">
        <v>167</v>
      </c>
      <c r="AC347" s="102" t="s">
        <v>168</v>
      </c>
      <c r="AE347" s="10">
        <f ca="1"/>
        <v>0.55097084500991966</v>
      </c>
      <c r="AF347" s="10">
        <v>0.59239704427943984</v>
      </c>
    </row>
    <row r="348" spans="1:32" s="10" customFormat="1" ht="28.5" customHeight="1">
      <c r="A348" s="96">
        <v>333</v>
      </c>
      <c r="B348" s="5" t="s">
        <v>66</v>
      </c>
      <c r="C348" s="5" t="s">
        <v>148</v>
      </c>
      <c r="D348" s="5" t="s">
        <v>16</v>
      </c>
      <c r="E348" s="5" t="s">
        <v>81</v>
      </c>
      <c r="F348" s="5" t="s">
        <v>134</v>
      </c>
      <c r="G348" s="35" t="s">
        <v>162</v>
      </c>
      <c r="H348" s="44">
        <f>86309.6+380.72</f>
        <v>86690.32</v>
      </c>
      <c r="I348" s="44">
        <f>Table1[[#This Row],[Contracted Amount]]*AF348</f>
        <v>55961.61058574175</v>
      </c>
      <c r="J348" s="44">
        <f>380.72+62057.86</f>
        <v>62438.58</v>
      </c>
      <c r="K348" s="44">
        <f>Table1[[#This Row],[Actual Expenditure (including admin fees)]]*AF348</f>
        <v>40306.270636521855</v>
      </c>
      <c r="L348" s="35" t="s">
        <v>71</v>
      </c>
      <c r="M348" s="42" t="s">
        <v>72</v>
      </c>
      <c r="N348" s="92">
        <v>43755</v>
      </c>
      <c r="O348" s="100" t="s">
        <v>73</v>
      </c>
      <c r="P348" s="42"/>
      <c r="Q348" s="42"/>
      <c r="R348" s="42">
        <v>43996</v>
      </c>
      <c r="S348" s="36" t="s">
        <v>71</v>
      </c>
      <c r="T348" s="89" t="s">
        <v>491</v>
      </c>
      <c r="U348" s="9">
        <v>44011</v>
      </c>
      <c r="V348" s="118" t="s">
        <v>71</v>
      </c>
      <c r="W348" s="118" t="s">
        <v>135</v>
      </c>
      <c r="X348" s="136">
        <v>8</v>
      </c>
      <c r="Y348" s="23">
        <v>10159</v>
      </c>
      <c r="Z348" s="34" t="str">
        <f>IF(ISERROR(VLOOKUP(Y348,'Data inputs '!$N$4:$O$23,2,0)),"",(VLOOKUP(Y348,'Data inputs '!$N$4:$O$23,2,0)))</f>
        <v>EU</v>
      </c>
      <c r="AA348" s="34">
        <v>112158</v>
      </c>
      <c r="AB348" s="102" t="s">
        <v>169</v>
      </c>
      <c r="AC348" s="102" t="s">
        <v>170</v>
      </c>
      <c r="AE348" s="10">
        <f ca="1"/>
        <v>0.72165411496400034</v>
      </c>
      <c r="AF348" s="10">
        <v>0.64553471005461449</v>
      </c>
    </row>
    <row r="349" spans="1:32" s="10" customFormat="1" ht="28.5" customHeight="1">
      <c r="A349" s="96">
        <v>334</v>
      </c>
      <c r="B349" s="5" t="s">
        <v>66</v>
      </c>
      <c r="C349" s="5" t="s">
        <v>148</v>
      </c>
      <c r="D349" s="5" t="s">
        <v>16</v>
      </c>
      <c r="E349" s="5" t="s">
        <v>81</v>
      </c>
      <c r="F349" s="5" t="s">
        <v>115</v>
      </c>
      <c r="G349" s="35" t="s">
        <v>162</v>
      </c>
      <c r="H349" s="44">
        <f>46962.3+542.8</f>
        <v>47505.100000000006</v>
      </c>
      <c r="I349" s="44">
        <f>Table1[[#This Row],[Contracted Amount]]*AF349</f>
        <v>27783.914004752005</v>
      </c>
      <c r="J349" s="44">
        <f>26511.6+542.8</f>
        <v>27054.399999999998</v>
      </c>
      <c r="K349" s="44">
        <f>Table1[[#This Row],[Actual Expenditure (including admin fees)]]*AF349</f>
        <v>15823.082638499078</v>
      </c>
      <c r="L349" s="35" t="s">
        <v>71</v>
      </c>
      <c r="M349" s="42" t="s">
        <v>72</v>
      </c>
      <c r="N349" s="92">
        <v>43754</v>
      </c>
      <c r="O349" s="100" t="s">
        <v>73</v>
      </c>
      <c r="P349" s="42"/>
      <c r="Q349" s="42"/>
      <c r="R349" s="42">
        <v>43996</v>
      </c>
      <c r="S349" s="36" t="s">
        <v>71</v>
      </c>
      <c r="T349" s="89" t="s">
        <v>492</v>
      </c>
      <c r="U349" s="9">
        <v>44012</v>
      </c>
      <c r="V349" s="118" t="s">
        <v>71</v>
      </c>
      <c r="W349" s="118" t="s">
        <v>111</v>
      </c>
      <c r="X349" s="136">
        <v>4</v>
      </c>
      <c r="Y349" s="23">
        <v>10283</v>
      </c>
      <c r="Z349" s="34" t="str">
        <f>IF(ISERROR(VLOOKUP(Y349,'Data inputs '!$N$4:$O$23,2,0)),"",(VLOOKUP(Y349,'Data inputs '!$N$4:$O$23,2,0)))</f>
        <v>Germay(KfW)</v>
      </c>
      <c r="AA349" s="34">
        <v>112158</v>
      </c>
      <c r="AB349" s="5">
        <v>24.973083333333332</v>
      </c>
      <c r="AC349" s="5">
        <v>10.184699999999999</v>
      </c>
      <c r="AE349" s="10">
        <f ca="1"/>
        <v>0.63781578729062238</v>
      </c>
      <c r="AF349" s="10">
        <v>0.58486170968489704</v>
      </c>
    </row>
    <row r="350" spans="1:32" s="10" customFormat="1" ht="28.5" customHeight="1">
      <c r="A350" s="96">
        <v>336</v>
      </c>
      <c r="B350" s="5" t="s">
        <v>66</v>
      </c>
      <c r="C350" s="5" t="s">
        <v>148</v>
      </c>
      <c r="D350" s="5" t="s">
        <v>16</v>
      </c>
      <c r="E350" s="5" t="s">
        <v>81</v>
      </c>
      <c r="F350" s="5" t="s">
        <v>134</v>
      </c>
      <c r="G350" s="35" t="s">
        <v>162</v>
      </c>
      <c r="H350" s="44">
        <f>170503.25+150+18048.23</f>
        <v>188701.48</v>
      </c>
      <c r="I350" s="44">
        <f>Table1[[#This Row],[Contracted Amount]]*AF350</f>
        <v>128763.83339218603</v>
      </c>
      <c r="J350" s="44">
        <f>161098.15+150+18048.23</f>
        <v>179296.38</v>
      </c>
      <c r="K350" s="44">
        <f>Table1[[#This Row],[Actual Expenditure (including admin fees)]]*AF350</f>
        <v>122346.09501813167</v>
      </c>
      <c r="L350" s="35" t="s">
        <v>71</v>
      </c>
      <c r="M350" s="42" t="s">
        <v>72</v>
      </c>
      <c r="N350" s="92">
        <v>43886</v>
      </c>
      <c r="O350" s="100" t="s">
        <v>73</v>
      </c>
      <c r="P350" s="42"/>
      <c r="Q350" s="42"/>
      <c r="R350" s="42">
        <v>44111</v>
      </c>
      <c r="S350" s="36" t="s">
        <v>71</v>
      </c>
      <c r="T350" s="89" t="s">
        <v>493</v>
      </c>
      <c r="U350" s="9">
        <v>44120</v>
      </c>
      <c r="V350" s="118" t="s">
        <v>71</v>
      </c>
      <c r="W350" s="118" t="s">
        <v>111</v>
      </c>
      <c r="X350" s="136">
        <v>17</v>
      </c>
      <c r="Y350" s="132" t="s">
        <v>494</v>
      </c>
      <c r="Z350" s="88" t="s">
        <v>495</v>
      </c>
      <c r="AA350" s="34">
        <v>112158</v>
      </c>
      <c r="AB350" s="102" t="s">
        <v>171</v>
      </c>
      <c r="AC350" s="102" t="s">
        <v>172</v>
      </c>
      <c r="AE350" s="10">
        <f ca="1"/>
        <v>0.65356827398155282</v>
      </c>
      <c r="AF350" s="10">
        <v>0.68236790401530512</v>
      </c>
    </row>
    <row r="351" spans="1:32" s="10" customFormat="1" ht="28.5" customHeight="1">
      <c r="A351" s="96">
        <v>337</v>
      </c>
      <c r="B351" s="5" t="s">
        <v>66</v>
      </c>
      <c r="C351" s="5" t="s">
        <v>148</v>
      </c>
      <c r="D351" s="5" t="s">
        <v>16</v>
      </c>
      <c r="E351" s="5" t="s">
        <v>112</v>
      </c>
      <c r="F351" s="89" t="s">
        <v>173</v>
      </c>
      <c r="G351" s="35" t="s">
        <v>162</v>
      </c>
      <c r="H351" s="44">
        <f>60894.27+11848.34</f>
        <v>72742.61</v>
      </c>
      <c r="I351" s="44">
        <f>Table1[[#This Row],[Contracted Amount]]*AF351</f>
        <v>41298.726342607966</v>
      </c>
      <c r="J351" s="46">
        <f>60894.27+10639.91</f>
        <v>71534.179999999993</v>
      </c>
      <c r="K351" s="46">
        <f>Table1[[#This Row],[Actual Expenditure (including admin fees)]]*AF351</f>
        <v>40612.655003207328</v>
      </c>
      <c r="L351" s="35" t="s">
        <v>71</v>
      </c>
      <c r="M351" s="42" t="s">
        <v>72</v>
      </c>
      <c r="N351" s="92">
        <v>43984</v>
      </c>
      <c r="O351" s="100" t="s">
        <v>73</v>
      </c>
      <c r="P351" s="42"/>
      <c r="Q351" s="42"/>
      <c r="R351" s="42">
        <v>44297</v>
      </c>
      <c r="S351" s="36" t="s">
        <v>71</v>
      </c>
      <c r="T351" s="89" t="s">
        <v>496</v>
      </c>
      <c r="U351" s="9">
        <v>44300</v>
      </c>
      <c r="V351" s="118" t="s">
        <v>71</v>
      </c>
      <c r="W351" s="118" t="s">
        <v>174</v>
      </c>
      <c r="X351" s="136">
        <v>1</v>
      </c>
      <c r="Y351" s="23" t="s">
        <v>497</v>
      </c>
      <c r="Z351" s="34" t="s">
        <v>498</v>
      </c>
      <c r="AA351" s="34" t="s">
        <v>264</v>
      </c>
      <c r="AB351" s="5">
        <v>24.973083333333332</v>
      </c>
      <c r="AC351" s="5">
        <v>10.184699999999999</v>
      </c>
      <c r="AE351" s="10">
        <f ca="1"/>
        <v>0.59412181632325056</v>
      </c>
      <c r="AF351" s="10">
        <v>0.56773775841433194</v>
      </c>
    </row>
    <row r="352" spans="1:32" s="10" customFormat="1" ht="28.5" customHeight="1">
      <c r="A352" s="96">
        <v>338</v>
      </c>
      <c r="B352" s="5" t="s">
        <v>66</v>
      </c>
      <c r="C352" s="5" t="s">
        <v>148</v>
      </c>
      <c r="D352" s="5" t="s">
        <v>16</v>
      </c>
      <c r="E352" s="5" t="s">
        <v>81</v>
      </c>
      <c r="F352" s="5" t="s">
        <v>107</v>
      </c>
      <c r="G352" s="35" t="s">
        <v>162</v>
      </c>
      <c r="H352" s="44">
        <f>174374.93+10665.57</f>
        <v>185040.5</v>
      </c>
      <c r="I352" s="44">
        <f>Table1[[#This Row],[Contracted Amount]]*AF352</f>
        <v>97709.625897487087</v>
      </c>
      <c r="J352" s="46">
        <f>38458.2+10967.19</f>
        <v>49425.39</v>
      </c>
      <c r="K352" s="46">
        <f>Table1[[#This Row],[Actual Expenditure (including admin fees)]]*AF352</f>
        <v>26098.807378586847</v>
      </c>
      <c r="L352" s="35" t="s">
        <v>71</v>
      </c>
      <c r="M352" s="42" t="s">
        <v>72</v>
      </c>
      <c r="N352" s="92">
        <v>43756</v>
      </c>
      <c r="O352" s="100" t="s">
        <v>73</v>
      </c>
      <c r="P352" s="42"/>
      <c r="Q352" s="42"/>
      <c r="R352" s="42">
        <v>43908</v>
      </c>
      <c r="S352" s="36" t="s">
        <v>71</v>
      </c>
      <c r="T352" s="89" t="s">
        <v>489</v>
      </c>
      <c r="U352" s="9">
        <v>43914</v>
      </c>
      <c r="V352" s="118" t="s">
        <v>71</v>
      </c>
      <c r="W352" s="118" t="s">
        <v>108</v>
      </c>
      <c r="X352" s="136">
        <v>4</v>
      </c>
      <c r="Y352" s="23">
        <v>10159</v>
      </c>
      <c r="Z352" s="34" t="str">
        <f>IF(ISERROR(VLOOKUP(Y352,'Data inputs '!$N$4:$O$23,2,0)),"",(VLOOKUP(Y352,'Data inputs '!$N$4:$O$23,2,0)))</f>
        <v>EU</v>
      </c>
      <c r="AA352" s="34">
        <v>112158</v>
      </c>
      <c r="AB352" s="5">
        <v>24.973083333333332</v>
      </c>
      <c r="AC352" s="5">
        <v>10.184699999999999</v>
      </c>
      <c r="AE352" s="10">
        <f ca="1"/>
        <v>0.61910746281886797</v>
      </c>
      <c r="AF352" s="10">
        <v>0.52804454104634979</v>
      </c>
    </row>
    <row r="353" spans="1:32" s="10" customFormat="1" ht="28.5" customHeight="1">
      <c r="A353" s="96">
        <v>340</v>
      </c>
      <c r="B353" s="5" t="s">
        <v>66</v>
      </c>
      <c r="C353" s="5" t="s">
        <v>148</v>
      </c>
      <c r="D353" s="5" t="s">
        <v>16</v>
      </c>
      <c r="E353" s="5" t="s">
        <v>122</v>
      </c>
      <c r="F353" s="5" t="s">
        <v>144</v>
      </c>
      <c r="G353" s="35" t="s">
        <v>162</v>
      </c>
      <c r="H353" s="44">
        <f>(452877.5/8)*4+7000</f>
        <v>233438.75</v>
      </c>
      <c r="I353" s="44">
        <f>Table1[[#This Row],[Contracted Amount]]*AF353</f>
        <v>117510.29659612413</v>
      </c>
      <c r="J353" s="46">
        <f>(452877.5/8)*4+7000</f>
        <v>233438.75</v>
      </c>
      <c r="K353" s="46">
        <f>Table1[[#This Row],[Actual Expenditure (including admin fees)]]*AF353</f>
        <v>117510.29659612413</v>
      </c>
      <c r="L353" s="35" t="s">
        <v>71</v>
      </c>
      <c r="M353" s="42" t="s">
        <v>72</v>
      </c>
      <c r="N353" s="42">
        <v>43676</v>
      </c>
      <c r="O353" s="100" t="s">
        <v>73</v>
      </c>
      <c r="P353" s="42"/>
      <c r="Q353" s="42"/>
      <c r="R353" s="42">
        <v>43731</v>
      </c>
      <c r="S353" s="36" t="s">
        <v>71</v>
      </c>
      <c r="T353" s="89" t="s">
        <v>499</v>
      </c>
      <c r="U353" s="9">
        <v>43738</v>
      </c>
      <c r="V353" s="118" t="s">
        <v>71</v>
      </c>
      <c r="W353" s="118" t="s">
        <v>164</v>
      </c>
      <c r="X353" s="136">
        <v>4</v>
      </c>
      <c r="Y353" s="23">
        <v>10480</v>
      </c>
      <c r="Z353" s="34" t="s">
        <v>230</v>
      </c>
      <c r="AA353" s="34">
        <v>112158</v>
      </c>
      <c r="AB353" s="5">
        <v>24.964074999999998</v>
      </c>
      <c r="AC353" s="5">
        <v>10.185791666666667</v>
      </c>
      <c r="AE353" s="10">
        <f ca="1"/>
        <v>0.68293352853911116</v>
      </c>
      <c r="AF353" s="10">
        <v>0.50338813327317822</v>
      </c>
    </row>
    <row r="354" spans="1:32" s="10" customFormat="1" ht="28.5" customHeight="1">
      <c r="A354" s="96">
        <v>341</v>
      </c>
      <c r="B354" s="5" t="s">
        <v>66</v>
      </c>
      <c r="C354" s="5" t="s">
        <v>148</v>
      </c>
      <c r="D354" s="5" t="s">
        <v>16</v>
      </c>
      <c r="E354" s="5" t="s">
        <v>81</v>
      </c>
      <c r="F354" s="5" t="s">
        <v>175</v>
      </c>
      <c r="G354" s="35" t="s">
        <v>162</v>
      </c>
      <c r="H354" s="44">
        <f>2982.33+1200</f>
        <v>4182.33</v>
      </c>
      <c r="I354" s="44">
        <f>Table1[[#This Row],[Contracted Amount]]*AF354</f>
        <v>2979.3836553796568</v>
      </c>
      <c r="J354" s="46">
        <f>2982.33+1200</f>
        <v>4182.33</v>
      </c>
      <c r="K354" s="46">
        <f>Table1[[#This Row],[Actual Expenditure (including admin fees)]]*AF354</f>
        <v>2979.3836553796568</v>
      </c>
      <c r="L354" s="35" t="s">
        <v>71</v>
      </c>
      <c r="M354" s="42" t="s">
        <v>72</v>
      </c>
      <c r="N354" s="42">
        <f>Table1[[#This Row],[Actual completion date]]-270</f>
        <v>44057</v>
      </c>
      <c r="O354" s="100" t="s">
        <v>73</v>
      </c>
      <c r="P354" s="42"/>
      <c r="Q354" s="42"/>
      <c r="R354" s="42">
        <v>44327</v>
      </c>
      <c r="S354" s="35" t="s">
        <v>71</v>
      </c>
      <c r="T354" s="89" t="s">
        <v>500</v>
      </c>
      <c r="U354" s="9">
        <v>44327</v>
      </c>
      <c r="V354" s="118" t="s">
        <v>71</v>
      </c>
      <c r="W354" s="118" t="s">
        <v>176</v>
      </c>
      <c r="X354" s="136">
        <v>4</v>
      </c>
      <c r="Y354" s="23" t="s">
        <v>501</v>
      </c>
      <c r="Z354" s="34" t="s">
        <v>502</v>
      </c>
      <c r="AA354" s="34" t="s">
        <v>340</v>
      </c>
      <c r="AB354" s="5">
        <v>24.973083333333332</v>
      </c>
      <c r="AC354" s="5">
        <v>10.184699999999999</v>
      </c>
      <c r="AE354" s="10">
        <f ca="1"/>
        <v>0.6832630928296517</v>
      </c>
      <c r="AF354" s="10">
        <v>0.71237412049734405</v>
      </c>
    </row>
    <row r="355" spans="1:32" s="10" customFormat="1" ht="28.5" customHeight="1">
      <c r="A355" s="96"/>
      <c r="B355" s="5" t="s">
        <v>66</v>
      </c>
      <c r="C355" s="5" t="s">
        <v>148</v>
      </c>
      <c r="D355" s="5" t="s">
        <v>16</v>
      </c>
      <c r="E355" s="5" t="s">
        <v>81</v>
      </c>
      <c r="F355" s="5" t="s">
        <v>134</v>
      </c>
      <c r="G355" s="35" t="s">
        <v>162</v>
      </c>
      <c r="H355" s="63">
        <v>60000</v>
      </c>
      <c r="I355" s="63">
        <f>Table1[[#This Row],[Contracted Amount]]*AF355</f>
        <v>35203.483487221602</v>
      </c>
      <c r="J355" s="46"/>
      <c r="K355" s="46">
        <f>Table1[[#This Row],[Actual Expenditure (including admin fees)]]*AF355</f>
        <v>0</v>
      </c>
      <c r="L355" s="35" t="s">
        <v>93</v>
      </c>
      <c r="M355" s="42"/>
      <c r="N355" s="42"/>
      <c r="O355" s="100"/>
      <c r="P355" s="42"/>
      <c r="Q355" s="42"/>
      <c r="R355" s="42"/>
      <c r="S355" s="35" t="s">
        <v>76</v>
      </c>
      <c r="T355" s="89"/>
      <c r="U355" s="9"/>
      <c r="V355" s="118" t="s">
        <v>245</v>
      </c>
      <c r="W355" s="118" t="s">
        <v>111</v>
      </c>
      <c r="X355" s="136">
        <v>1</v>
      </c>
      <c r="Y355" s="23"/>
      <c r="Z355" s="34"/>
      <c r="AA355" s="34"/>
      <c r="AB355" s="5"/>
      <c r="AC355" s="5"/>
      <c r="AE355" s="10">
        <f ca="1"/>
        <v>0.66316083969767403</v>
      </c>
      <c r="AF355" s="10">
        <v>0.58672472478702664</v>
      </c>
    </row>
    <row r="356" spans="1:32" s="10" customFormat="1" ht="28.5" customHeight="1">
      <c r="A356" s="96"/>
      <c r="B356" s="5" t="s">
        <v>66</v>
      </c>
      <c r="C356" s="5" t="s">
        <v>148</v>
      </c>
      <c r="D356" s="5" t="s">
        <v>16</v>
      </c>
      <c r="E356" s="5" t="s">
        <v>81</v>
      </c>
      <c r="F356" s="5" t="s">
        <v>177</v>
      </c>
      <c r="G356" s="35" t="s">
        <v>162</v>
      </c>
      <c r="H356" s="63">
        <v>10000</v>
      </c>
      <c r="I356" s="63">
        <f>Table1[[#This Row],[Contracted Amount]]*AF356</f>
        <v>6654.4724950659038</v>
      </c>
      <c r="J356" s="46"/>
      <c r="K356" s="46">
        <f>Table1[[#This Row],[Actual Expenditure (including admin fees)]]*AF356</f>
        <v>0</v>
      </c>
      <c r="L356" s="35" t="s">
        <v>93</v>
      </c>
      <c r="M356" s="42"/>
      <c r="N356" s="42"/>
      <c r="O356" s="100"/>
      <c r="P356" s="42"/>
      <c r="Q356" s="42"/>
      <c r="R356" s="42"/>
      <c r="S356" s="35" t="s">
        <v>76</v>
      </c>
      <c r="T356" s="89"/>
      <c r="U356" s="9"/>
      <c r="V356" s="118" t="s">
        <v>245</v>
      </c>
      <c r="W356" s="118" t="s">
        <v>178</v>
      </c>
      <c r="X356" s="136">
        <v>1</v>
      </c>
      <c r="Y356" s="23"/>
      <c r="Z356" s="34"/>
      <c r="AA356" s="34"/>
      <c r="AB356" s="5"/>
      <c r="AC356" s="5"/>
      <c r="AE356" s="10">
        <f ca="1"/>
        <v>0.66477955742037209</v>
      </c>
      <c r="AF356" s="10">
        <v>0.6654472495065904</v>
      </c>
    </row>
    <row r="357" spans="1:32" s="10" customFormat="1" ht="28.5" customHeight="1">
      <c r="A357" s="96"/>
      <c r="B357" s="5" t="s">
        <v>66</v>
      </c>
      <c r="C357" s="5" t="s">
        <v>148</v>
      </c>
      <c r="D357" s="5" t="s">
        <v>16</v>
      </c>
      <c r="E357" s="5" t="s">
        <v>81</v>
      </c>
      <c r="F357" s="5" t="s">
        <v>177</v>
      </c>
      <c r="G357" s="35" t="s">
        <v>162</v>
      </c>
      <c r="H357" s="63">
        <v>10000</v>
      </c>
      <c r="I357" s="63">
        <f>Table1[[#This Row],[Contracted Amount]]*AF357</f>
        <v>5362.0592602671504</v>
      </c>
      <c r="J357" s="46"/>
      <c r="K357" s="46">
        <f>Table1[[#This Row],[Actual Expenditure (including admin fees)]]*AF357</f>
        <v>0</v>
      </c>
      <c r="L357" s="35" t="s">
        <v>93</v>
      </c>
      <c r="M357" s="42"/>
      <c r="N357" s="42"/>
      <c r="O357" s="100"/>
      <c r="P357" s="42"/>
      <c r="Q357" s="42"/>
      <c r="R357" s="42"/>
      <c r="S357" s="35" t="s">
        <v>76</v>
      </c>
      <c r="T357" s="89"/>
      <c r="U357" s="9"/>
      <c r="V357" s="118" t="s">
        <v>245</v>
      </c>
      <c r="W357" s="118" t="s">
        <v>178</v>
      </c>
      <c r="X357" s="136">
        <v>1</v>
      </c>
      <c r="Y357" s="23"/>
      <c r="Z357" s="34"/>
      <c r="AA357" s="34"/>
      <c r="AB357" s="5"/>
      <c r="AC357" s="5"/>
      <c r="AE357" s="10">
        <f ca="1"/>
        <v>0.66550076600969177</v>
      </c>
      <c r="AF357" s="10">
        <v>0.53620592602671502</v>
      </c>
    </row>
    <row r="358" spans="1:32" s="10" customFormat="1" ht="28.5" customHeight="1">
      <c r="A358" s="96">
        <v>343</v>
      </c>
      <c r="B358" s="17"/>
      <c r="C358" s="17"/>
      <c r="D358" s="17" t="s">
        <v>18</v>
      </c>
      <c r="E358" s="17" t="s">
        <v>442</v>
      </c>
      <c r="F358" s="18"/>
      <c r="G358" s="35" t="s">
        <v>162</v>
      </c>
      <c r="H358" s="46"/>
      <c r="I358" s="46">
        <f>Table1[[#This Row],[Contracted Amount]]*AF358</f>
        <v>0</v>
      </c>
      <c r="J358" s="46"/>
      <c r="K358" s="46">
        <f>Table1[[#This Row],[Actual Expenditure (including admin fees)]]*AF358</f>
        <v>0</v>
      </c>
      <c r="L358" s="35"/>
      <c r="M358" s="42"/>
      <c r="N358" s="42"/>
      <c r="O358" s="100"/>
      <c r="P358" s="42"/>
      <c r="Q358" s="42"/>
      <c r="R358" s="42"/>
      <c r="S358" s="17"/>
      <c r="T358" s="89"/>
      <c r="U358" s="9"/>
      <c r="V358" s="118"/>
      <c r="W358" s="118"/>
      <c r="X358" s="136"/>
      <c r="Y358" s="23"/>
      <c r="Z358" s="34" t="str">
        <f>IF(ISERROR(VLOOKUP(Y358,'Data inputs '!$N$4:$O$23,2,0)),"",(VLOOKUP(Y358,'Data inputs '!$N$4:$O$23,2,0)))</f>
        <v/>
      </c>
      <c r="AA358" s="34"/>
      <c r="AB358" s="5"/>
      <c r="AC358" s="5"/>
      <c r="AE358" s="10">
        <f ca="1"/>
        <v>0.62131400281276838</v>
      </c>
      <c r="AF358" s="10">
        <v>0.57894135938216185</v>
      </c>
    </row>
    <row r="359" spans="1:32" s="10" customFormat="1" ht="28.5" customHeight="1">
      <c r="A359" s="96"/>
      <c r="B359" s="5" t="s">
        <v>84</v>
      </c>
      <c r="C359" s="5" t="s">
        <v>148</v>
      </c>
      <c r="D359" s="5" t="s">
        <v>18</v>
      </c>
      <c r="E359" s="5" t="s">
        <v>81</v>
      </c>
      <c r="F359" s="5" t="s">
        <v>179</v>
      </c>
      <c r="G359" s="35" t="s">
        <v>162</v>
      </c>
      <c r="H359" s="62">
        <v>190220</v>
      </c>
      <c r="I359" s="62">
        <f>Table1[[#This Row],[Contracted Amount]]*AF359</f>
        <v>136946.69751129189</v>
      </c>
      <c r="J359" s="46"/>
      <c r="K359" s="46">
        <f>Table1[[#This Row],[Actual Expenditure (including admin fees)]]*AF359</f>
        <v>0</v>
      </c>
      <c r="L359" s="35" t="s">
        <v>71</v>
      </c>
      <c r="M359" s="42" t="s">
        <v>72</v>
      </c>
      <c r="N359" s="42"/>
      <c r="O359" s="100"/>
      <c r="P359" s="42">
        <v>44286</v>
      </c>
      <c r="Q359" s="42"/>
      <c r="R359" s="42"/>
      <c r="S359" s="35" t="s">
        <v>152</v>
      </c>
      <c r="T359" s="89" t="s">
        <v>503</v>
      </c>
      <c r="U359" s="9">
        <v>44749</v>
      </c>
      <c r="V359" s="118" t="s">
        <v>152</v>
      </c>
      <c r="W359" s="118" t="s">
        <v>180</v>
      </c>
      <c r="X359" s="136">
        <v>2</v>
      </c>
      <c r="Y359" s="23">
        <v>10159</v>
      </c>
      <c r="Z359" s="34" t="s">
        <v>228</v>
      </c>
      <c r="AA359" s="34">
        <v>112158</v>
      </c>
      <c r="AB359" s="5" t="s">
        <v>181</v>
      </c>
      <c r="AC359" s="5" t="s">
        <v>182</v>
      </c>
      <c r="AE359" s="10">
        <f ca="1"/>
        <v>0.54942890095582264</v>
      </c>
      <c r="AF359" s="10">
        <v>0.71993847918879139</v>
      </c>
    </row>
    <row r="360" spans="1:32" s="10" customFormat="1" ht="28.5" customHeight="1">
      <c r="A360" s="96"/>
      <c r="B360" s="5" t="s">
        <v>84</v>
      </c>
      <c r="C360" s="5" t="s">
        <v>148</v>
      </c>
      <c r="D360" s="5" t="s">
        <v>18</v>
      </c>
      <c r="E360" s="5" t="s">
        <v>122</v>
      </c>
      <c r="F360" s="5" t="s">
        <v>183</v>
      </c>
      <c r="G360" s="35" t="s">
        <v>162</v>
      </c>
      <c r="H360" s="44">
        <v>120800</v>
      </c>
      <c r="I360" s="44">
        <f>Table1[[#This Row],[Contracted Amount]]*AF360</f>
        <v>78366.39541472905</v>
      </c>
      <c r="J360" s="46"/>
      <c r="K360" s="46">
        <f>Table1[[#This Row],[Actual Expenditure (including admin fees)]]*AF360</f>
        <v>0</v>
      </c>
      <c r="L360" s="35" t="s">
        <v>71</v>
      </c>
      <c r="M360" s="42"/>
      <c r="N360" s="92">
        <v>44225</v>
      </c>
      <c r="O360" s="100"/>
      <c r="P360" s="42">
        <v>44257</v>
      </c>
      <c r="Q360" s="42"/>
      <c r="R360" s="42"/>
      <c r="S360" s="35" t="s">
        <v>76</v>
      </c>
      <c r="T360" s="89" t="s">
        <v>504</v>
      </c>
      <c r="U360" s="9">
        <v>44466</v>
      </c>
      <c r="V360" s="118" t="s">
        <v>245</v>
      </c>
      <c r="W360" s="118" t="s">
        <v>184</v>
      </c>
      <c r="X360" s="136">
        <v>4</v>
      </c>
      <c r="Y360" s="23"/>
      <c r="Z360" s="34"/>
      <c r="AA360" s="34">
        <v>122619</v>
      </c>
      <c r="AB360" s="5"/>
      <c r="AC360" s="5"/>
      <c r="AE360" s="10">
        <f ca="1"/>
        <v>0.60701238937098267</v>
      </c>
      <c r="AF360" s="10">
        <v>0.64872843886365106</v>
      </c>
    </row>
    <row r="361" spans="1:32" s="10" customFormat="1" ht="28.5" customHeight="1">
      <c r="A361" s="96"/>
      <c r="B361" s="5" t="s">
        <v>84</v>
      </c>
      <c r="C361" s="5" t="s">
        <v>148</v>
      </c>
      <c r="D361" s="5" t="s">
        <v>18</v>
      </c>
      <c r="E361" s="5" t="s">
        <v>112</v>
      </c>
      <c r="F361" s="5" t="s">
        <v>121</v>
      </c>
      <c r="G361" s="35" t="s">
        <v>162</v>
      </c>
      <c r="H361" s="62">
        <v>629638</v>
      </c>
      <c r="I361" s="62">
        <f>Table1[[#This Row],[Contracted Amount]]*AF361</f>
        <v>389741.5228644585</v>
      </c>
      <c r="J361" s="46"/>
      <c r="K361" s="46">
        <f>Table1[[#This Row],[Actual Expenditure (including admin fees)]]*AF361</f>
        <v>0</v>
      </c>
      <c r="L361" s="35" t="s">
        <v>71</v>
      </c>
      <c r="M361" s="42"/>
      <c r="N361" s="42"/>
      <c r="O361" s="100"/>
      <c r="P361" s="42"/>
      <c r="Q361" s="42"/>
      <c r="R361" s="42"/>
      <c r="S361" s="35" t="s">
        <v>76</v>
      </c>
      <c r="T361" s="89" t="s">
        <v>505</v>
      </c>
      <c r="U361" s="9">
        <v>43992</v>
      </c>
      <c r="V361" s="118" t="s">
        <v>245</v>
      </c>
      <c r="W361" s="118" t="s">
        <v>120</v>
      </c>
      <c r="X361" s="136">
        <v>1</v>
      </c>
      <c r="Y361" s="23">
        <v>10283</v>
      </c>
      <c r="Z361" s="34" t="str">
        <f>IF(ISERROR(VLOOKUP(Y361,'Data inputs '!$N$4:$O$23,2,0)),"",(VLOOKUP(Y361,'Data inputs '!$N$4:$O$23,2,0)))</f>
        <v>Germay(KfW)</v>
      </c>
      <c r="AA361" s="34"/>
      <c r="AB361" s="5"/>
      <c r="AC361" s="5"/>
      <c r="AE361" s="10">
        <f ca="1"/>
        <v>0.69454369752476319</v>
      </c>
      <c r="AF361" s="10">
        <v>0.61899301323055234</v>
      </c>
    </row>
    <row r="362" spans="1:32" s="10" customFormat="1" ht="28.5" customHeight="1">
      <c r="A362" s="96"/>
      <c r="B362" s="5" t="s">
        <v>84</v>
      </c>
      <c r="C362" s="5" t="s">
        <v>148</v>
      </c>
      <c r="D362" s="5" t="s">
        <v>18</v>
      </c>
      <c r="E362" s="5" t="s">
        <v>122</v>
      </c>
      <c r="F362" s="5" t="s">
        <v>132</v>
      </c>
      <c r="G362" s="35" t="s">
        <v>162</v>
      </c>
      <c r="H362" s="44">
        <f>776300+1335</f>
        <v>777635</v>
      </c>
      <c r="I362" s="44">
        <f>Table1[[#This Row],[Contracted Amount]]*AF362</f>
        <v>491795.63956124231</v>
      </c>
      <c r="J362" s="46">
        <f>310520+465780+1335</f>
        <v>777635</v>
      </c>
      <c r="K362" s="46">
        <f>Table1[[#This Row],[Actual Expenditure (including admin fees)]]*AF362</f>
        <v>491795.63956124231</v>
      </c>
      <c r="L362" s="35" t="s">
        <v>71</v>
      </c>
      <c r="M362" s="42" t="s">
        <v>72</v>
      </c>
      <c r="N362" s="92">
        <v>44025</v>
      </c>
      <c r="O362" s="100" t="s">
        <v>73</v>
      </c>
      <c r="P362" s="42">
        <v>44116</v>
      </c>
      <c r="Q362" s="42"/>
      <c r="R362" s="42">
        <v>44294</v>
      </c>
      <c r="S362" s="36" t="s">
        <v>71</v>
      </c>
      <c r="T362" s="89" t="s">
        <v>506</v>
      </c>
      <c r="U362" s="9">
        <v>44378</v>
      </c>
      <c r="V362" s="118" t="s">
        <v>71</v>
      </c>
      <c r="W362" s="118" t="s">
        <v>133</v>
      </c>
      <c r="X362" s="138">
        <v>9.8000000000000007</v>
      </c>
      <c r="Y362" s="23" t="s">
        <v>507</v>
      </c>
      <c r="Z362" s="34" t="s">
        <v>508</v>
      </c>
      <c r="AA362" s="34">
        <v>112158</v>
      </c>
      <c r="AB362" s="5"/>
      <c r="AC362" s="5"/>
      <c r="AE362" s="10">
        <f ca="1"/>
        <v>0.6208692824464338</v>
      </c>
      <c r="AF362" s="10">
        <v>0.63242477455521207</v>
      </c>
    </row>
    <row r="363" spans="1:32" s="10" customFormat="1" ht="28.5" customHeight="1">
      <c r="A363" s="96"/>
      <c r="B363" s="5" t="s">
        <v>84</v>
      </c>
      <c r="C363" s="5" t="s">
        <v>148</v>
      </c>
      <c r="D363" s="5" t="s">
        <v>18</v>
      </c>
      <c r="E363" s="5" t="s">
        <v>112</v>
      </c>
      <c r="F363" s="5" t="s">
        <v>121</v>
      </c>
      <c r="G363" s="35" t="s">
        <v>162</v>
      </c>
      <c r="H363" s="63">
        <v>100000</v>
      </c>
      <c r="I363" s="63">
        <f>Table1[[#This Row],[Contracted Amount]]*AF363</f>
        <v>53506.22742793514</v>
      </c>
      <c r="J363" s="46"/>
      <c r="K363" s="46">
        <f>Table1[[#This Row],[Actual Expenditure (including admin fees)]]*AF363</f>
        <v>0</v>
      </c>
      <c r="L363" s="35" t="s">
        <v>93</v>
      </c>
      <c r="M363" s="42"/>
      <c r="N363" s="42"/>
      <c r="O363" s="100"/>
      <c r="P363" s="42"/>
      <c r="Q363" s="42"/>
      <c r="R363" s="42"/>
      <c r="S363" s="36" t="s">
        <v>76</v>
      </c>
      <c r="T363" s="89" t="s">
        <v>509</v>
      </c>
      <c r="U363" s="9">
        <v>43937</v>
      </c>
      <c r="V363" s="118" t="s">
        <v>245</v>
      </c>
      <c r="W363" s="118" t="s">
        <v>120</v>
      </c>
      <c r="X363" s="136">
        <v>1</v>
      </c>
      <c r="Y363" s="23"/>
      <c r="Z363" s="34" t="str">
        <f>IF(ISERROR(VLOOKUP(Y363,'Data inputs '!$N$4:$O$23,2,0)),"",(VLOOKUP(Y363,'Data inputs '!$N$4:$O$23,2,0)))</f>
        <v/>
      </c>
      <c r="AA363" s="34"/>
      <c r="AB363" s="5"/>
      <c r="AC363" s="5"/>
      <c r="AE363" s="10">
        <f ca="1"/>
        <v>0.7409079287128606</v>
      </c>
      <c r="AF363" s="10">
        <v>0.53506227427935138</v>
      </c>
    </row>
    <row r="364" spans="1:32" s="10" customFormat="1" ht="28.5" customHeight="1">
      <c r="A364" s="96"/>
      <c r="B364" s="5" t="s">
        <v>66</v>
      </c>
      <c r="C364" s="5" t="s">
        <v>148</v>
      </c>
      <c r="D364" s="5" t="s">
        <v>18</v>
      </c>
      <c r="E364" s="5" t="s">
        <v>112</v>
      </c>
      <c r="F364" s="6" t="s">
        <v>136</v>
      </c>
      <c r="G364" s="35" t="s">
        <v>162</v>
      </c>
      <c r="H364" s="63">
        <v>200000</v>
      </c>
      <c r="I364" s="63">
        <f>Table1[[#This Row],[Contracted Amount]]*AF364</f>
        <v>105813.53549402022</v>
      </c>
      <c r="J364" s="46"/>
      <c r="K364" s="46">
        <f>Table1[[#This Row],[Actual Expenditure (including admin fees)]]*AF364</f>
        <v>0</v>
      </c>
      <c r="L364" s="35" t="s">
        <v>93</v>
      </c>
      <c r="M364" s="42"/>
      <c r="N364" s="42"/>
      <c r="O364" s="100"/>
      <c r="P364" s="42"/>
      <c r="Q364" s="42"/>
      <c r="R364" s="42"/>
      <c r="S364" s="36" t="s">
        <v>76</v>
      </c>
      <c r="T364" s="89"/>
      <c r="U364" s="9"/>
      <c r="V364" s="118" t="s">
        <v>245</v>
      </c>
      <c r="W364" s="118" t="s">
        <v>137</v>
      </c>
      <c r="X364" s="136">
        <v>4</v>
      </c>
      <c r="Y364" s="23"/>
      <c r="Z364" s="34" t="str">
        <f>IF(ISERROR(VLOOKUP(Y364,'Data inputs '!$N$4:$O$23,2,0)),"",(VLOOKUP(Y364,'Data inputs '!$N$4:$O$23,2,0)))</f>
        <v/>
      </c>
      <c r="AA364" s="34"/>
      <c r="AB364" s="5"/>
      <c r="AC364" s="5"/>
      <c r="AE364" s="10">
        <f ca="1"/>
        <v>0.63142249052095645</v>
      </c>
      <c r="AF364" s="10">
        <v>0.52906767747010108</v>
      </c>
    </row>
    <row r="365" spans="1:32" s="10" customFormat="1" ht="28.5" customHeight="1">
      <c r="A365" s="96"/>
      <c r="B365" s="5" t="s">
        <v>66</v>
      </c>
      <c r="C365" s="5" t="s">
        <v>148</v>
      </c>
      <c r="D365" s="5" t="s">
        <v>18</v>
      </c>
      <c r="E365" s="5" t="s">
        <v>112</v>
      </c>
      <c r="F365" s="5" t="s">
        <v>129</v>
      </c>
      <c r="G365" s="35" t="s">
        <v>162</v>
      </c>
      <c r="H365" s="44">
        <f>137067+18363.61+1292.03</f>
        <v>156722.63999999998</v>
      </c>
      <c r="I365" s="44">
        <f>Table1[[#This Row],[Contracted Amount]]*AF365</f>
        <v>109731.3276774133</v>
      </c>
      <c r="J365" s="44">
        <f>103717.05+14933.99+977.73</f>
        <v>119628.77</v>
      </c>
      <c r="K365" s="44">
        <f>Table1[[#This Row],[Actual Expenditure (including admin fees)]]*AF365</f>
        <v>83759.588024524797</v>
      </c>
      <c r="L365" s="35" t="s">
        <v>71</v>
      </c>
      <c r="M365" s="42" t="s">
        <v>72</v>
      </c>
      <c r="N365" s="92">
        <v>43971</v>
      </c>
      <c r="O365" s="100" t="s">
        <v>73</v>
      </c>
      <c r="P365" s="42"/>
      <c r="Q365" s="42"/>
      <c r="R365" s="42">
        <v>44341</v>
      </c>
      <c r="S365" s="36" t="s">
        <v>71</v>
      </c>
      <c r="T365" s="89" t="s">
        <v>510</v>
      </c>
      <c r="U365" s="9">
        <v>44384</v>
      </c>
      <c r="V365" s="118" t="s">
        <v>71</v>
      </c>
      <c r="W365" s="118" t="s">
        <v>176</v>
      </c>
      <c r="X365" s="136">
        <v>1</v>
      </c>
      <c r="Y365" s="132" t="s">
        <v>511</v>
      </c>
      <c r="Z365" s="88" t="s">
        <v>512</v>
      </c>
      <c r="AA365" s="34" t="s">
        <v>483</v>
      </c>
      <c r="AB365" s="5"/>
      <c r="AC365" s="5"/>
      <c r="AE365" s="10">
        <f ca="1"/>
        <v>0.73496973568994539</v>
      </c>
      <c r="AF365" s="10">
        <v>0.70016257815343919</v>
      </c>
    </row>
    <row r="366" spans="1:32" s="10" customFormat="1" ht="28.5" customHeight="1">
      <c r="A366" s="96"/>
      <c r="B366" s="5" t="s">
        <v>84</v>
      </c>
      <c r="C366" s="5" t="s">
        <v>148</v>
      </c>
      <c r="D366" s="5" t="s">
        <v>18</v>
      </c>
      <c r="E366" s="5" t="s">
        <v>96</v>
      </c>
      <c r="F366" s="5" t="s">
        <v>97</v>
      </c>
      <c r="G366" s="35" t="s">
        <v>162</v>
      </c>
      <c r="H366" s="63">
        <v>100000</v>
      </c>
      <c r="I366" s="63">
        <f>Table1[[#This Row],[Contracted Amount]]*AF366</f>
        <v>59891.71107047746</v>
      </c>
      <c r="J366" s="46"/>
      <c r="K366" s="46">
        <f>Table1[[#This Row],[Actual Expenditure (including admin fees)]]*AF366</f>
        <v>0</v>
      </c>
      <c r="L366" s="35" t="s">
        <v>75</v>
      </c>
      <c r="M366" s="42"/>
      <c r="N366" s="42"/>
      <c r="O366" s="100"/>
      <c r="P366" s="42"/>
      <c r="Q366" s="42"/>
      <c r="R366" s="42"/>
      <c r="S366" s="35" t="s">
        <v>76</v>
      </c>
      <c r="T366" s="89"/>
      <c r="U366" s="9"/>
      <c r="V366" s="118" t="s">
        <v>245</v>
      </c>
      <c r="W366" s="118" t="s">
        <v>98</v>
      </c>
      <c r="X366" s="136">
        <v>1</v>
      </c>
      <c r="Y366" s="23"/>
      <c r="Z366" s="34"/>
      <c r="AA366" s="34"/>
      <c r="AB366" s="5"/>
      <c r="AC366" s="5"/>
      <c r="AE366" s="10">
        <f ca="1"/>
        <v>0.62156056365389267</v>
      </c>
      <c r="AF366" s="10">
        <v>0.5989171107047746</v>
      </c>
    </row>
    <row r="367" spans="1:32" s="10" customFormat="1" ht="28.5" customHeight="1">
      <c r="A367" s="96"/>
      <c r="B367" s="5" t="s">
        <v>84</v>
      </c>
      <c r="C367" s="5" t="s">
        <v>148</v>
      </c>
      <c r="D367" s="5" t="s">
        <v>18</v>
      </c>
      <c r="E367" s="5" t="s">
        <v>96</v>
      </c>
      <c r="F367" s="5" t="s">
        <v>97</v>
      </c>
      <c r="G367" s="35" t="s">
        <v>162</v>
      </c>
      <c r="H367" s="63">
        <v>120000</v>
      </c>
      <c r="I367" s="63">
        <f>Table1[[#This Row],[Contracted Amount]]*AF367</f>
        <v>80002.680816186825</v>
      </c>
      <c r="J367" s="46"/>
      <c r="K367" s="46">
        <f>Table1[[#This Row],[Actual Expenditure (including admin fees)]]*AF367</f>
        <v>0</v>
      </c>
      <c r="L367" s="35" t="s">
        <v>75</v>
      </c>
      <c r="M367" s="42"/>
      <c r="N367" s="42"/>
      <c r="O367" s="100"/>
      <c r="P367" s="42"/>
      <c r="Q367" s="42"/>
      <c r="R367" s="42"/>
      <c r="S367" s="35" t="s">
        <v>76</v>
      </c>
      <c r="T367" s="89"/>
      <c r="U367" s="9"/>
      <c r="V367" s="118" t="s">
        <v>245</v>
      </c>
      <c r="W367" s="118" t="s">
        <v>98</v>
      </c>
      <c r="X367" s="136">
        <v>1</v>
      </c>
      <c r="Y367" s="23"/>
      <c r="Z367" s="34"/>
      <c r="AA367" s="34"/>
      <c r="AB367" s="5"/>
      <c r="AC367" s="5"/>
      <c r="AE367" s="10">
        <f ca="1"/>
        <v>0.71503065393422649</v>
      </c>
      <c r="AF367" s="10">
        <v>0.66668900680155685</v>
      </c>
    </row>
    <row r="368" spans="1:32" s="10" customFormat="1" ht="28.5" customHeight="1">
      <c r="A368" s="96"/>
      <c r="B368" s="17"/>
      <c r="C368" s="17"/>
      <c r="D368" s="17" t="s">
        <v>45</v>
      </c>
      <c r="E368" s="17"/>
      <c r="F368" s="18"/>
      <c r="G368" s="35" t="s">
        <v>162</v>
      </c>
      <c r="H368" s="46"/>
      <c r="I368" s="46">
        <f>Table1[[#This Row],[Contracted Amount]]*AF368</f>
        <v>0</v>
      </c>
      <c r="J368" s="46"/>
      <c r="K368" s="46">
        <f>Table1[[#This Row],[Actual Expenditure (including admin fees)]]*AF368</f>
        <v>0</v>
      </c>
      <c r="L368" s="35"/>
      <c r="M368" s="42"/>
      <c r="N368" s="42"/>
      <c r="O368" s="100"/>
      <c r="P368" s="42"/>
      <c r="Q368" s="42"/>
      <c r="R368" s="42"/>
      <c r="S368" s="18"/>
      <c r="T368" s="89"/>
      <c r="U368" s="9"/>
      <c r="V368" s="118"/>
      <c r="W368" s="118"/>
      <c r="X368" s="136"/>
      <c r="Y368" s="23"/>
      <c r="Z368" s="34"/>
      <c r="AA368" s="34"/>
      <c r="AB368" s="5"/>
      <c r="AC368" s="5"/>
      <c r="AE368" s="10">
        <f ca="1"/>
        <v>0.71337615548473998</v>
      </c>
      <c r="AF368" s="10">
        <v>0.53081620353247549</v>
      </c>
    </row>
    <row r="369" spans="1:32" s="10" customFormat="1" ht="28.5" customHeight="1">
      <c r="A369" s="96"/>
      <c r="B369" s="5" t="s">
        <v>66</v>
      </c>
      <c r="C369" s="5" t="s">
        <v>67</v>
      </c>
      <c r="D369" s="5" t="s">
        <v>45</v>
      </c>
      <c r="E369" s="5" t="s">
        <v>81</v>
      </c>
      <c r="F369" s="5" t="s">
        <v>82</v>
      </c>
      <c r="G369" s="35" t="s">
        <v>162</v>
      </c>
      <c r="H369" s="44">
        <f>143850+34251/3+55276.2/2</f>
        <v>182905.1</v>
      </c>
      <c r="I369" s="44">
        <f>Table1[[#This Row],[Contracted Amount]]*AF369</f>
        <v>115528.78587304856</v>
      </c>
      <c r="J369" s="46">
        <f>142300+27144.79/3+49434/2</f>
        <v>176065.26333333334</v>
      </c>
      <c r="K369" s="46">
        <f>Table1[[#This Row],[Actual Expenditure (including admin fees)]]*AF369</f>
        <v>111208.52347648356</v>
      </c>
      <c r="L369" s="35" t="s">
        <v>71</v>
      </c>
      <c r="M369" s="42" t="s">
        <v>72</v>
      </c>
      <c r="N369" s="92">
        <v>44194</v>
      </c>
      <c r="O369" s="100" t="s">
        <v>73</v>
      </c>
      <c r="P369" s="42"/>
      <c r="Q369" s="42"/>
      <c r="R369" s="42">
        <v>44642</v>
      </c>
      <c r="S369" s="35" t="s">
        <v>71</v>
      </c>
      <c r="T369" s="91" t="s">
        <v>513</v>
      </c>
      <c r="U369" s="9">
        <v>44644</v>
      </c>
      <c r="V369" s="118" t="s">
        <v>71</v>
      </c>
      <c r="W369" s="119" t="s">
        <v>83</v>
      </c>
      <c r="X369" s="136">
        <v>1</v>
      </c>
      <c r="Y369" s="23">
        <v>151</v>
      </c>
      <c r="Z369" s="34" t="str">
        <f>IF(ISERROR(VLOOKUP(Y369,'Data inputs '!$N$4:$O$23,2,0)),"",(VLOOKUP(Y369,'Data inputs '!$N$4:$O$23,2,0)))</f>
        <v>Gov't of Libya</v>
      </c>
      <c r="AA369" s="34">
        <v>112158</v>
      </c>
      <c r="AB369" s="5"/>
      <c r="AC369" s="5"/>
      <c r="AE369" s="10">
        <f ca="1"/>
        <v>0.53119123420069425</v>
      </c>
      <c r="AF369" s="10">
        <v>0.63163239227910295</v>
      </c>
    </row>
    <row r="370" spans="1:32" s="10" customFormat="1" ht="28.5" customHeight="1">
      <c r="A370" s="96"/>
      <c r="B370" s="5" t="s">
        <v>66</v>
      </c>
      <c r="C370" s="5" t="s">
        <v>67</v>
      </c>
      <c r="D370" s="5" t="s">
        <v>45</v>
      </c>
      <c r="E370" s="5" t="s">
        <v>81</v>
      </c>
      <c r="F370" s="5" t="s">
        <v>185</v>
      </c>
      <c r="G370" s="35" t="s">
        <v>162</v>
      </c>
      <c r="H370" s="44">
        <f>172200+34251/3+55276.2/2</f>
        <v>211255.1</v>
      </c>
      <c r="I370" s="44">
        <f>Table1[[#This Row],[Contracted Amount]]*AF370</f>
        <v>135664.38582037529</v>
      </c>
      <c r="J370" s="46">
        <f>138200+27144.79/3+49434/2</f>
        <v>171965.26333333334</v>
      </c>
      <c r="K370" s="46">
        <f>Table1[[#This Row],[Actual Expenditure (including admin fees)]]*AF370</f>
        <v>110433.12957914754</v>
      </c>
      <c r="L370" s="35" t="s">
        <v>71</v>
      </c>
      <c r="M370" s="42" t="s">
        <v>72</v>
      </c>
      <c r="N370" s="92">
        <v>44194</v>
      </c>
      <c r="O370" s="100" t="s">
        <v>73</v>
      </c>
      <c r="P370" s="42"/>
      <c r="Q370" s="42"/>
      <c r="R370" s="42">
        <v>44642</v>
      </c>
      <c r="S370" s="35" t="s">
        <v>71</v>
      </c>
      <c r="T370" s="91" t="s">
        <v>513</v>
      </c>
      <c r="U370" s="9">
        <v>44644</v>
      </c>
      <c r="V370" s="118" t="s">
        <v>71</v>
      </c>
      <c r="W370" s="119" t="s">
        <v>166</v>
      </c>
      <c r="X370" s="136">
        <v>2</v>
      </c>
      <c r="Y370" s="23">
        <v>151</v>
      </c>
      <c r="Z370" s="34" t="str">
        <f>IF(ISERROR(VLOOKUP(Y370,'Data inputs '!$N$4:$O$23,2,0)),"",(VLOOKUP(Y370,'Data inputs '!$N$4:$O$23,2,0)))</f>
        <v>Gov't of Libya</v>
      </c>
      <c r="AA370" s="34">
        <v>112158</v>
      </c>
      <c r="AB370" s="5"/>
      <c r="AC370" s="5"/>
      <c r="AE370" s="10">
        <f ca="1"/>
        <v>0.65265232739432699</v>
      </c>
      <c r="AF370" s="10">
        <v>0.64218277248868927</v>
      </c>
    </row>
    <row r="371" spans="1:32" s="10" customFormat="1" ht="28.5" customHeight="1">
      <c r="A371" s="96"/>
      <c r="B371" s="5" t="s">
        <v>66</v>
      </c>
      <c r="C371" s="5" t="s">
        <v>67</v>
      </c>
      <c r="D371" s="5" t="s">
        <v>45</v>
      </c>
      <c r="E371" s="5" t="s">
        <v>81</v>
      </c>
      <c r="F371" s="5" t="s">
        <v>134</v>
      </c>
      <c r="G371" s="35" t="s">
        <v>162</v>
      </c>
      <c r="H371" s="44">
        <f>173250+34251/3+11184.44</f>
        <v>195851.44</v>
      </c>
      <c r="I371" s="44">
        <f>Table1[[#This Row],[Contracted Amount]]*AF371</f>
        <v>144267.97435188174</v>
      </c>
      <c r="J371" s="44">
        <f>107282.74+27144.79/3+9404.23</f>
        <v>125735.23333333334</v>
      </c>
      <c r="K371" s="44">
        <f>Table1[[#This Row],[Actual Expenditure (including admin fees)]]*AF371</f>
        <v>92619.014788255823</v>
      </c>
      <c r="L371" s="35" t="s">
        <v>71</v>
      </c>
      <c r="M371" s="42" t="s">
        <v>72</v>
      </c>
      <c r="N371" s="92">
        <v>44194</v>
      </c>
      <c r="O371" s="100" t="s">
        <v>73</v>
      </c>
      <c r="P371" s="42"/>
      <c r="Q371" s="42"/>
      <c r="R371" s="42">
        <v>44437</v>
      </c>
      <c r="S371" s="35" t="s">
        <v>71</v>
      </c>
      <c r="T371" s="91" t="s">
        <v>514</v>
      </c>
      <c r="U371" s="9">
        <v>44300</v>
      </c>
      <c r="V371" s="118" t="s">
        <v>71</v>
      </c>
      <c r="W371" s="119" t="s">
        <v>83</v>
      </c>
      <c r="X371" s="136">
        <v>1</v>
      </c>
      <c r="Y371" s="23" t="s">
        <v>515</v>
      </c>
      <c r="Z371" s="34" t="s">
        <v>516</v>
      </c>
      <c r="AA371" s="34">
        <v>112158</v>
      </c>
      <c r="AB371" s="5"/>
      <c r="AC371" s="5"/>
      <c r="AE371" s="10">
        <f ca="1"/>
        <v>0.55558888857788802</v>
      </c>
      <c r="AF371" s="10">
        <v>0.73661942108713485</v>
      </c>
    </row>
    <row r="372" spans="1:32" s="10" customFormat="1" ht="28.5" customHeight="1">
      <c r="A372" s="96">
        <v>344</v>
      </c>
      <c r="B372" s="17"/>
      <c r="C372" s="17" t="s">
        <v>148</v>
      </c>
      <c r="D372" s="17" t="s">
        <v>20</v>
      </c>
      <c r="E372" s="17"/>
      <c r="F372" s="18"/>
      <c r="G372" s="35" t="s">
        <v>163</v>
      </c>
      <c r="H372" s="46"/>
      <c r="I372" s="46">
        <f>Table1[[#This Row],[Contracted Amount]]*AF372</f>
        <v>0</v>
      </c>
      <c r="J372" s="46"/>
      <c r="K372" s="46">
        <f>Table1[[#This Row],[Actual Expenditure (including admin fees)]]*AF372</f>
        <v>0</v>
      </c>
      <c r="L372" s="35"/>
      <c r="M372" s="42"/>
      <c r="N372" s="42"/>
      <c r="O372" s="100"/>
      <c r="P372" s="42"/>
      <c r="Q372" s="42"/>
      <c r="R372" s="42"/>
      <c r="S372" s="18"/>
      <c r="T372" s="89"/>
      <c r="U372" s="9"/>
      <c r="V372" s="118"/>
      <c r="W372" s="118"/>
      <c r="X372" s="136"/>
      <c r="Y372" s="23"/>
      <c r="Z372" s="34" t="str">
        <f>IF(ISERROR(VLOOKUP(Y372,'Data inputs '!$N$4:$O$23,2,0)),"",(VLOOKUP(Y372,'Data inputs '!$N$4:$O$23,2,0)))</f>
        <v/>
      </c>
      <c r="AA372" s="34"/>
      <c r="AB372" s="5"/>
      <c r="AC372" s="5"/>
      <c r="AE372" s="10">
        <f ca="1"/>
        <v>0.54319647731353071</v>
      </c>
      <c r="AF372" s="10">
        <v>0.7101903129930297</v>
      </c>
    </row>
    <row r="373" spans="1:32" s="10" customFormat="1" ht="28.5" customHeight="1">
      <c r="A373" s="96">
        <v>345</v>
      </c>
      <c r="B373" s="5" t="s">
        <v>84</v>
      </c>
      <c r="C373" s="5" t="s">
        <v>148</v>
      </c>
      <c r="D373" s="5" t="s">
        <v>20</v>
      </c>
      <c r="E373" s="5" t="s">
        <v>96</v>
      </c>
      <c r="F373" s="5" t="s">
        <v>97</v>
      </c>
      <c r="G373" s="35" t="s">
        <v>163</v>
      </c>
      <c r="H373" s="44">
        <f>243604.98+36197.74</f>
        <v>279802.72000000003</v>
      </c>
      <c r="I373" s="44">
        <f>Table1[[#This Row],[Contracted Amount]]*AF373</f>
        <v>170476.07019042224</v>
      </c>
      <c r="J373" s="44">
        <f>(105268.85+70515.8+103043.93)*0.9+27882.86</f>
        <v>278828.58199999999</v>
      </c>
      <c r="K373" s="44">
        <f>Table1[[#This Row],[Actual Expenditure (including admin fees)]]*AF373</f>
        <v>169882.55480907368</v>
      </c>
      <c r="L373" s="35" t="s">
        <v>71</v>
      </c>
      <c r="M373" s="42" t="s">
        <v>72</v>
      </c>
      <c r="N373" s="92">
        <v>43811</v>
      </c>
      <c r="O373" s="100" t="s">
        <v>73</v>
      </c>
      <c r="P373" s="92">
        <v>43838</v>
      </c>
      <c r="Q373" s="92"/>
      <c r="R373" s="42">
        <v>44070</v>
      </c>
      <c r="S373" s="36" t="s">
        <v>71</v>
      </c>
      <c r="T373" s="89" t="s">
        <v>517</v>
      </c>
      <c r="U373" s="9">
        <v>44088</v>
      </c>
      <c r="V373" s="118" t="s">
        <v>71</v>
      </c>
      <c r="W373" s="118" t="s">
        <v>98</v>
      </c>
      <c r="X373" s="136">
        <v>2</v>
      </c>
      <c r="Y373" s="23" t="s">
        <v>518</v>
      </c>
      <c r="Z373" s="34" t="s">
        <v>519</v>
      </c>
      <c r="AA373" s="34">
        <v>112158</v>
      </c>
      <c r="AB373" s="5" t="s">
        <v>186</v>
      </c>
      <c r="AC373" s="5" t="s">
        <v>187</v>
      </c>
      <c r="AE373" s="10">
        <f ca="1"/>
        <v>0.5375056098168669</v>
      </c>
      <c r="AF373" s="10">
        <v>0.60927238373673498</v>
      </c>
    </row>
    <row r="374" spans="1:32" s="10" customFormat="1" ht="28.5" customHeight="1">
      <c r="A374" s="96">
        <v>346</v>
      </c>
      <c r="B374" s="5" t="s">
        <v>84</v>
      </c>
      <c r="C374" s="5" t="s">
        <v>148</v>
      </c>
      <c r="D374" s="5" t="s">
        <v>20</v>
      </c>
      <c r="E374" s="5" t="s">
        <v>96</v>
      </c>
      <c r="F374" s="5" t="s">
        <v>97</v>
      </c>
      <c r="G374" s="35" t="s">
        <v>163</v>
      </c>
      <c r="H374" s="44">
        <v>240653.87</v>
      </c>
      <c r="I374" s="44">
        <f>Table1[[#This Row],[Contracted Amount]]*AF374</f>
        <v>171275.01554943994</v>
      </c>
      <c r="J374" s="44">
        <f>53127.442+80873.58+(91674.95*0.9)+24056.5</f>
        <v>240564.97700000001</v>
      </c>
      <c r="K374" s="44">
        <f>Table1[[#This Row],[Actual Expenditure (including admin fees)]]*AF374</f>
        <v>171211.74978954491</v>
      </c>
      <c r="L374" s="35" t="s">
        <v>71</v>
      </c>
      <c r="M374" s="42" t="s">
        <v>72</v>
      </c>
      <c r="N374" s="92">
        <v>43755</v>
      </c>
      <c r="O374" s="100" t="s">
        <v>73</v>
      </c>
      <c r="P374" s="42">
        <v>43769</v>
      </c>
      <c r="Q374" s="42"/>
      <c r="R374" s="42">
        <v>43962</v>
      </c>
      <c r="S374" s="36" t="s">
        <v>71</v>
      </c>
      <c r="T374" s="89" t="s">
        <v>520</v>
      </c>
      <c r="U374" s="9">
        <v>44239</v>
      </c>
      <c r="V374" s="118" t="s">
        <v>71</v>
      </c>
      <c r="W374" s="118" t="s">
        <v>98</v>
      </c>
      <c r="X374" s="136">
        <v>2</v>
      </c>
      <c r="Y374" s="23">
        <v>10159</v>
      </c>
      <c r="Z374" s="34" t="str">
        <f>IF(ISERROR(VLOOKUP(Y374,'Data inputs '!$N$4:$O$23,2,0)),"",(VLOOKUP(Y374,'Data inputs '!$N$4:$O$23,2,0)))</f>
        <v>EU</v>
      </c>
      <c r="AA374" s="34">
        <v>112158</v>
      </c>
      <c r="AB374" s="5" t="s">
        <v>188</v>
      </c>
      <c r="AC374" s="5" t="s">
        <v>189</v>
      </c>
      <c r="AE374" s="10">
        <f ca="1"/>
        <v>0.62435264331362883</v>
      </c>
      <c r="AF374" s="10">
        <v>0.71170688237608626</v>
      </c>
    </row>
    <row r="375" spans="1:32" s="10" customFormat="1" ht="28.5" customHeight="1">
      <c r="A375" s="96">
        <v>347</v>
      </c>
      <c r="B375" s="5" t="s">
        <v>84</v>
      </c>
      <c r="C375" s="5" t="s">
        <v>148</v>
      </c>
      <c r="D375" s="5" t="s">
        <v>20</v>
      </c>
      <c r="E375" s="5" t="s">
        <v>112</v>
      </c>
      <c r="F375" s="5" t="s">
        <v>119</v>
      </c>
      <c r="G375" s="35" t="s">
        <v>163</v>
      </c>
      <c r="H375" s="44">
        <v>189221.88</v>
      </c>
      <c r="I375" s="44">
        <f>Table1[[#This Row],[Contracted Amount]]*AF375</f>
        <v>120593.64901211183</v>
      </c>
      <c r="J375" s="63">
        <f>38204.28*0.9+134565.42+18772.14</f>
        <v>187721.41200000001</v>
      </c>
      <c r="K375" s="63">
        <f>Table1[[#This Row],[Actual Expenditure (including admin fees)]]*AF375</f>
        <v>119637.38057557635</v>
      </c>
      <c r="L375" s="35" t="s">
        <v>71</v>
      </c>
      <c r="M375" s="42" t="s">
        <v>72</v>
      </c>
      <c r="N375" s="92">
        <v>43783</v>
      </c>
      <c r="O375" s="100" t="s">
        <v>73</v>
      </c>
      <c r="P375" s="42"/>
      <c r="Q375" s="42">
        <v>43781</v>
      </c>
      <c r="R375" s="42">
        <v>44382</v>
      </c>
      <c r="S375" s="36" t="s">
        <v>71</v>
      </c>
      <c r="T375" s="89" t="s">
        <v>521</v>
      </c>
      <c r="U375" s="9">
        <v>44393</v>
      </c>
      <c r="V375" s="118" t="s">
        <v>71</v>
      </c>
      <c r="W375" s="118" t="s">
        <v>120</v>
      </c>
      <c r="X375" s="136">
        <v>1</v>
      </c>
      <c r="Y375" s="23">
        <v>141</v>
      </c>
      <c r="Z375" s="34" t="str">
        <f>IF(ISERROR(VLOOKUP(Y375,'Data inputs '!$N$4:$O$23,2,0)),"",(VLOOKUP(Y375,'Data inputs '!$N$4:$O$23,2,0)))</f>
        <v>Japan</v>
      </c>
      <c r="AA375" s="34">
        <v>112158</v>
      </c>
      <c r="AB375" s="5">
        <f>27+2/60+46.03/3600</f>
        <v>27.046119444444447</v>
      </c>
      <c r="AC375" s="5">
        <f>14+25/60+13.41/3600</f>
        <v>14.420391666666665</v>
      </c>
      <c r="AE375" s="10">
        <f ca="1"/>
        <v>0.61307943191535841</v>
      </c>
      <c r="AF375" s="10">
        <v>0.63731344922749855</v>
      </c>
    </row>
    <row r="376" spans="1:32" s="10" customFormat="1" ht="28.5" customHeight="1">
      <c r="A376" s="96">
        <v>348</v>
      </c>
      <c r="B376" s="5" t="s">
        <v>84</v>
      </c>
      <c r="C376" s="5" t="s">
        <v>148</v>
      </c>
      <c r="D376" s="5" t="s">
        <v>20</v>
      </c>
      <c r="E376" s="5" t="s">
        <v>96</v>
      </c>
      <c r="F376" s="5" t="s">
        <v>97</v>
      </c>
      <c r="G376" s="35" t="s">
        <v>163</v>
      </c>
      <c r="H376" s="44">
        <v>118905.54</v>
      </c>
      <c r="I376" s="44">
        <f>Table1[[#This Row],[Contracted Amount]]*AF376</f>
        <v>88464.452172734978</v>
      </c>
      <c r="J376" s="46"/>
      <c r="K376" s="46">
        <f>Table1[[#This Row],[Actual Expenditure (including admin fees)]]*AF376</f>
        <v>0</v>
      </c>
      <c r="L376" s="35" t="s">
        <v>71</v>
      </c>
      <c r="M376" s="42" t="s">
        <v>72</v>
      </c>
      <c r="N376" s="42">
        <v>44783</v>
      </c>
      <c r="O376" s="100" t="s">
        <v>190</v>
      </c>
      <c r="P376" s="42">
        <v>44794</v>
      </c>
      <c r="Q376" s="42"/>
      <c r="R376" s="42"/>
      <c r="S376" s="36" t="s">
        <v>478</v>
      </c>
      <c r="T376" s="89" t="s">
        <v>522</v>
      </c>
      <c r="U376" s="9">
        <v>44815</v>
      </c>
      <c r="V376" s="118" t="s">
        <v>478</v>
      </c>
      <c r="W376" s="118" t="s">
        <v>98</v>
      </c>
      <c r="X376" s="136">
        <v>2</v>
      </c>
      <c r="Y376" s="23">
        <v>182</v>
      </c>
      <c r="Z376" s="34" t="str">
        <f>IF(ISERROR(VLOOKUP(Y376,'Data inputs '!$N$4:$O$23,2,0)),"",(VLOOKUP(Y376,'Data inputs '!$N$4:$O$23,2,0)))</f>
        <v>Netherlands</v>
      </c>
      <c r="AA376" s="34">
        <v>112158</v>
      </c>
      <c r="AB376" s="5" t="s">
        <v>191</v>
      </c>
      <c r="AC376" s="5" t="s">
        <v>192</v>
      </c>
      <c r="AE376" s="10">
        <f ca="1"/>
        <v>0.59742372614329842</v>
      </c>
      <c r="AF376" s="10">
        <v>0.7439893227240294</v>
      </c>
    </row>
    <row r="377" spans="1:32" s="10" customFormat="1" ht="28.5" customHeight="1">
      <c r="A377" s="96">
        <v>349</v>
      </c>
      <c r="B377" s="5" t="s">
        <v>84</v>
      </c>
      <c r="C377" s="5" t="s">
        <v>148</v>
      </c>
      <c r="D377" s="5" t="s">
        <v>20</v>
      </c>
      <c r="E377" s="5" t="s">
        <v>96</v>
      </c>
      <c r="F377" s="5" t="s">
        <v>97</v>
      </c>
      <c r="G377" s="35" t="s">
        <v>163</v>
      </c>
      <c r="H377" s="44">
        <f>159531+23775.43</f>
        <v>183306.43</v>
      </c>
      <c r="I377" s="44">
        <f>Table1[[#This Row],[Contracted Amount]]*AF377</f>
        <v>93331.958902569284</v>
      </c>
      <c r="J377" s="44">
        <f>66977.03+97796.36+18308.07</f>
        <v>183081.46000000002</v>
      </c>
      <c r="K377" s="44">
        <f>Table1[[#This Row],[Actual Expenditure (including admin fees)]]*AF377</f>
        <v>93217.413598324871</v>
      </c>
      <c r="L377" s="35" t="s">
        <v>71</v>
      </c>
      <c r="M377" s="42" t="s">
        <v>72</v>
      </c>
      <c r="N377" s="92">
        <v>43875</v>
      </c>
      <c r="O377" s="100" t="s">
        <v>73</v>
      </c>
      <c r="P377" s="42">
        <v>44075</v>
      </c>
      <c r="Q377" s="42">
        <v>44082</v>
      </c>
      <c r="R377" s="42">
        <v>44217</v>
      </c>
      <c r="S377" s="36" t="s">
        <v>71</v>
      </c>
      <c r="T377" s="89" t="s">
        <v>523</v>
      </c>
      <c r="U377" s="9">
        <v>44218</v>
      </c>
      <c r="V377" s="118" t="s">
        <v>71</v>
      </c>
      <c r="W377" s="118" t="s">
        <v>98</v>
      </c>
      <c r="X377" s="136">
        <v>2</v>
      </c>
      <c r="Y377" s="23" t="s">
        <v>524</v>
      </c>
      <c r="Z377" s="34" t="s">
        <v>525</v>
      </c>
      <c r="AA377" s="34">
        <v>112158</v>
      </c>
      <c r="AB377" s="5" t="s">
        <v>193</v>
      </c>
      <c r="AC377" s="5" t="s">
        <v>194</v>
      </c>
      <c r="AE377" s="10">
        <f ca="1"/>
        <v>0.51308955603568696</v>
      </c>
      <c r="AF377" s="10">
        <v>0.50915812883688416</v>
      </c>
    </row>
    <row r="378" spans="1:32" s="10" customFormat="1" ht="28.5" customHeight="1">
      <c r="A378" s="96">
        <v>350</v>
      </c>
      <c r="B378" s="5" t="s">
        <v>84</v>
      </c>
      <c r="C378" s="5" t="s">
        <v>148</v>
      </c>
      <c r="D378" s="5" t="s">
        <v>20</v>
      </c>
      <c r="E378" s="5" t="s">
        <v>96</v>
      </c>
      <c r="F378" s="5" t="s">
        <v>97</v>
      </c>
      <c r="G378" s="35" t="s">
        <v>163</v>
      </c>
      <c r="H378" s="44">
        <v>81731.14</v>
      </c>
      <c r="I378" s="44">
        <f>Table1[[#This Row],[Contracted Amount]]*AF378</f>
        <v>42699.429804191357</v>
      </c>
      <c r="J378" s="46">
        <f>73531.84+8170.2</f>
        <v>81702.039999999994</v>
      </c>
      <c r="K378" s="46">
        <f>Table1[[#This Row],[Actual Expenditure (including admin fees)]]*AF378</f>
        <v>42684.226866763805</v>
      </c>
      <c r="L378" s="35" t="s">
        <v>71</v>
      </c>
      <c r="M378" s="42" t="s">
        <v>72</v>
      </c>
      <c r="N378" s="92">
        <v>43917</v>
      </c>
      <c r="O378" s="100" t="s">
        <v>73</v>
      </c>
      <c r="P378" s="42">
        <v>44103</v>
      </c>
      <c r="Q378" s="42"/>
      <c r="R378" s="42">
        <v>44321</v>
      </c>
      <c r="S378" s="36" t="s">
        <v>71</v>
      </c>
      <c r="T378" s="89" t="s">
        <v>526</v>
      </c>
      <c r="U378" s="9">
        <v>44327</v>
      </c>
      <c r="V378" s="118" t="s">
        <v>71</v>
      </c>
      <c r="W378" s="118" t="s">
        <v>98</v>
      </c>
      <c r="X378" s="136">
        <v>1</v>
      </c>
      <c r="Y378" s="23">
        <v>10283</v>
      </c>
      <c r="Z378" s="34" t="str">
        <f>IF(ISERROR(VLOOKUP(Y378,'Data inputs '!$N$4:$O$23,2,0)),"",(VLOOKUP(Y378,'Data inputs '!$N$4:$O$23,2,0)))</f>
        <v>Germay(KfW)</v>
      </c>
      <c r="AA378" s="34">
        <v>112158</v>
      </c>
      <c r="AB378" s="5">
        <v>26.4385805555556</v>
      </c>
      <c r="AC378" s="5">
        <v>14.2735527777778</v>
      </c>
      <c r="AE378" s="10">
        <f ca="1"/>
        <v>0.62643338226800205</v>
      </c>
      <c r="AF378" s="10">
        <v>0.52243771228679003</v>
      </c>
    </row>
    <row r="379" spans="1:32" s="10" customFormat="1" ht="28.5" customHeight="1">
      <c r="A379" s="96">
        <v>351</v>
      </c>
      <c r="B379" s="5" t="s">
        <v>84</v>
      </c>
      <c r="C379" s="5" t="s">
        <v>148</v>
      </c>
      <c r="D379" s="5" t="s">
        <v>20</v>
      </c>
      <c r="E379" s="5" t="s">
        <v>4</v>
      </c>
      <c r="F379" s="5" t="s">
        <v>85</v>
      </c>
      <c r="G379" s="35" t="s">
        <v>163</v>
      </c>
      <c r="H379" s="44">
        <f>126620+14719.06</f>
        <v>141339.06</v>
      </c>
      <c r="I379" s="44">
        <f>Table1[[#This Row],[Contracted Amount]]*AF379</f>
        <v>79220.105225240928</v>
      </c>
      <c r="J379" s="46"/>
      <c r="K379" s="46">
        <f>Table1[[#This Row],[Actual Expenditure (including admin fees)]]*AF379</f>
        <v>0</v>
      </c>
      <c r="L379" s="35" t="s">
        <v>71</v>
      </c>
      <c r="M379" s="42" t="s">
        <v>72</v>
      </c>
      <c r="N379" s="42">
        <v>44581</v>
      </c>
      <c r="O379" s="100" t="s">
        <v>195</v>
      </c>
      <c r="P379" s="42">
        <v>44593</v>
      </c>
      <c r="Q379" s="42"/>
      <c r="R379" s="42"/>
      <c r="S379" s="36" t="s">
        <v>478</v>
      </c>
      <c r="T379" s="89" t="s">
        <v>527</v>
      </c>
      <c r="U379" s="9">
        <v>44815</v>
      </c>
      <c r="V379" s="118" t="s">
        <v>478</v>
      </c>
      <c r="W379" s="118" t="s">
        <v>86</v>
      </c>
      <c r="X379" s="136">
        <v>1</v>
      </c>
      <c r="Y379" s="23" t="s">
        <v>528</v>
      </c>
      <c r="Z379" s="34" t="s">
        <v>529</v>
      </c>
      <c r="AA379" s="34">
        <v>122619</v>
      </c>
      <c r="AB379" s="5">
        <v>27.0658944444444</v>
      </c>
      <c r="AC379" s="5">
        <v>14.419680555555599</v>
      </c>
      <c r="AE379" s="10">
        <f ca="1"/>
        <v>0.51597875145089311</v>
      </c>
      <c r="AF379" s="10">
        <v>0.56049690174280864</v>
      </c>
    </row>
    <row r="380" spans="1:32" s="10" customFormat="1" ht="28.5" customHeight="1">
      <c r="A380" s="96">
        <v>352</v>
      </c>
      <c r="B380" s="5" t="s">
        <v>84</v>
      </c>
      <c r="C380" s="5" t="s">
        <v>148</v>
      </c>
      <c r="D380" s="5" t="s">
        <v>20</v>
      </c>
      <c r="E380" s="5" t="s">
        <v>4</v>
      </c>
      <c r="F380" s="5" t="s">
        <v>85</v>
      </c>
      <c r="G380" s="35" t="s">
        <v>163</v>
      </c>
      <c r="H380" s="44">
        <v>233714.37</v>
      </c>
      <c r="I380" s="44">
        <f>Table1[[#This Row],[Contracted Amount]]*AF380</f>
        <v>172061.01019604574</v>
      </c>
      <c r="J380" s="44">
        <f>(35249.43+82786.37)*0.9+104110.182+23371.38</f>
        <v>233713.78200000001</v>
      </c>
      <c r="K380" s="44">
        <f>Table1[[#This Row],[Actual Expenditure (including admin fees)]]*AF380</f>
        <v>172060.57730921044</v>
      </c>
      <c r="L380" s="35" t="s">
        <v>71</v>
      </c>
      <c r="M380" s="42" t="s">
        <v>72</v>
      </c>
      <c r="N380" s="92">
        <v>43842</v>
      </c>
      <c r="O380" s="100" t="s">
        <v>73</v>
      </c>
      <c r="P380" s="92">
        <v>43850</v>
      </c>
      <c r="Q380" s="92"/>
      <c r="R380" s="42">
        <v>44067</v>
      </c>
      <c r="S380" s="36" t="s">
        <v>71</v>
      </c>
      <c r="T380" s="89" t="s">
        <v>530</v>
      </c>
      <c r="U380" s="9">
        <v>44088</v>
      </c>
      <c r="V380" s="118" t="s">
        <v>71</v>
      </c>
      <c r="W380" s="118" t="s">
        <v>86</v>
      </c>
      <c r="X380" s="136">
        <v>1</v>
      </c>
      <c r="Y380" s="23" t="s">
        <v>270</v>
      </c>
      <c r="Z380" s="34" t="s">
        <v>531</v>
      </c>
      <c r="AA380" s="34">
        <v>112158</v>
      </c>
      <c r="AB380" s="5">
        <v>27.013533333333299</v>
      </c>
      <c r="AC380" s="5">
        <v>14.4407833333333</v>
      </c>
      <c r="AE380" s="10">
        <f ca="1"/>
        <v>0.57677143669807596</v>
      </c>
      <c r="AF380" s="10">
        <v>0.73620210086374127</v>
      </c>
    </row>
    <row r="381" spans="1:32" s="10" customFormat="1" ht="28.5" customHeight="1">
      <c r="A381" s="96">
        <v>353</v>
      </c>
      <c r="B381" s="5" t="s">
        <v>84</v>
      </c>
      <c r="C381" s="5" t="s">
        <v>148</v>
      </c>
      <c r="D381" s="5" t="s">
        <v>20</v>
      </c>
      <c r="E381" s="5" t="s">
        <v>4</v>
      </c>
      <c r="F381" s="5" t="s">
        <v>85</v>
      </c>
      <c r="G381" s="35" t="s">
        <v>163</v>
      </c>
      <c r="H381" s="44">
        <v>42769.55</v>
      </c>
      <c r="I381" s="44">
        <f>Table1[[#This Row],[Contracted Amount]]*AF381</f>
        <v>30876.748367873861</v>
      </c>
      <c r="J381" s="44">
        <f>(25610.97+16677.03)*0.9+405.02+4273.79</f>
        <v>42738.01</v>
      </c>
      <c r="K381" s="44">
        <f>Table1[[#This Row],[Actual Expenditure (including admin fees)]]*AF381</f>
        <v>30853.978601918341</v>
      </c>
      <c r="L381" s="35" t="s">
        <v>71</v>
      </c>
      <c r="M381" s="42" t="s">
        <v>72</v>
      </c>
      <c r="N381" s="92">
        <v>43804</v>
      </c>
      <c r="O381" s="100" t="s">
        <v>73</v>
      </c>
      <c r="P381" s="42">
        <v>43832</v>
      </c>
      <c r="Q381" s="42"/>
      <c r="R381" s="42">
        <v>43954</v>
      </c>
      <c r="S381" s="36" t="s">
        <v>71</v>
      </c>
      <c r="T381" s="89" t="s">
        <v>532</v>
      </c>
      <c r="U381" s="9">
        <v>44194</v>
      </c>
      <c r="V381" s="118" t="s">
        <v>71</v>
      </c>
      <c r="W381" s="118" t="s">
        <v>86</v>
      </c>
      <c r="X381" s="136">
        <v>1</v>
      </c>
      <c r="Y381" s="23">
        <v>10159</v>
      </c>
      <c r="Z381" s="34" t="str">
        <f>IF(ISERROR(VLOOKUP(Y381,'Data inputs '!$N$4:$O$23,2,0)),"",(VLOOKUP(Y381,'Data inputs '!$N$4:$O$23,2,0)))</f>
        <v>EU</v>
      </c>
      <c r="AA381" s="34">
        <v>112158</v>
      </c>
      <c r="AB381" s="5">
        <v>27.036100000000001</v>
      </c>
      <c r="AC381" s="5">
        <v>14.4159555555556</v>
      </c>
      <c r="AE381" s="10">
        <f ca="1"/>
        <v>0.59792537867429429</v>
      </c>
      <c r="AF381" s="10">
        <v>0.7219329725908703</v>
      </c>
    </row>
    <row r="382" spans="1:32" s="10" customFormat="1" ht="28.5" customHeight="1">
      <c r="A382" s="96">
        <v>354</v>
      </c>
      <c r="B382" s="5" t="s">
        <v>84</v>
      </c>
      <c r="C382" s="5" t="s">
        <v>148</v>
      </c>
      <c r="D382" s="5" t="s">
        <v>20</v>
      </c>
      <c r="E382" s="5" t="s">
        <v>4</v>
      </c>
      <c r="F382" s="5" t="s">
        <v>85</v>
      </c>
      <c r="G382" s="35" t="s">
        <v>163</v>
      </c>
      <c r="H382" s="44">
        <v>99876.22</v>
      </c>
      <c r="I382" s="44">
        <f>Table1[[#This Row],[Contracted Amount]]*AF382</f>
        <v>52846.931761998188</v>
      </c>
      <c r="J382" s="44">
        <f>89857.72+9984.19</f>
        <v>99841.91</v>
      </c>
      <c r="K382" s="44">
        <f>Table1[[#This Row],[Actual Expenditure (including admin fees)]]*AF382</f>
        <v>52828.777508375511</v>
      </c>
      <c r="L382" s="35" t="s">
        <v>71</v>
      </c>
      <c r="M382" s="42" t="s">
        <v>72</v>
      </c>
      <c r="N382" s="92">
        <v>43805</v>
      </c>
      <c r="O382" s="100" t="s">
        <v>73</v>
      </c>
      <c r="P382" s="92">
        <v>43849</v>
      </c>
      <c r="Q382" s="92">
        <v>43856</v>
      </c>
      <c r="R382" s="42">
        <v>44206</v>
      </c>
      <c r="S382" s="36" t="s">
        <v>71</v>
      </c>
      <c r="T382" s="89" t="s">
        <v>533</v>
      </c>
      <c r="U382" s="9">
        <v>44221</v>
      </c>
      <c r="V382" s="118" t="s">
        <v>71</v>
      </c>
      <c r="W382" s="118" t="s">
        <v>86</v>
      </c>
      <c r="X382" s="136">
        <v>1</v>
      </c>
      <c r="Y382" s="23">
        <v>141</v>
      </c>
      <c r="Z382" s="34" t="str">
        <f>IF(ISERROR(VLOOKUP(Y382,'Data inputs '!$N$4:$O$23,2,0)),"",(VLOOKUP(Y382,'Data inputs '!$N$4:$O$23,2,0)))</f>
        <v>Japan</v>
      </c>
      <c r="AA382" s="34">
        <v>112158</v>
      </c>
      <c r="AB382" s="5">
        <v>27.0421333333333</v>
      </c>
      <c r="AC382" s="5">
        <v>14.403741666666701</v>
      </c>
      <c r="AE382" s="10">
        <f ca="1"/>
        <v>0.68493904675088013</v>
      </c>
      <c r="AF382" s="10">
        <v>0.52912426763846476</v>
      </c>
    </row>
    <row r="383" spans="1:32" s="10" customFormat="1" ht="28.5" customHeight="1">
      <c r="A383" s="96">
        <v>355</v>
      </c>
      <c r="B383" s="5" t="s">
        <v>84</v>
      </c>
      <c r="C383" s="5" t="s">
        <v>148</v>
      </c>
      <c r="D383" s="5" t="s">
        <v>20</v>
      </c>
      <c r="E383" s="5" t="s">
        <v>4</v>
      </c>
      <c r="F383" s="5" t="s">
        <v>85</v>
      </c>
      <c r="G383" s="35" t="s">
        <v>163</v>
      </c>
      <c r="H383" s="44">
        <v>80539.67</v>
      </c>
      <c r="I383" s="44">
        <f>Table1[[#This Row],[Contracted Amount]]*AF383</f>
        <v>48509.438132206182</v>
      </c>
      <c r="J383" s="44">
        <f>72138.564+8015.396+2057</f>
        <v>82210.959999999992</v>
      </c>
      <c r="K383" s="44">
        <f>Table1[[#This Row],[Actual Expenditure (including admin fees)]]*AF383</f>
        <v>49516.06429364904</v>
      </c>
      <c r="L383" s="35" t="s">
        <v>71</v>
      </c>
      <c r="M383" s="42" t="s">
        <v>72</v>
      </c>
      <c r="N383" s="92">
        <v>44008</v>
      </c>
      <c r="O383" s="100" t="s">
        <v>73</v>
      </c>
      <c r="P383" s="42">
        <v>44080</v>
      </c>
      <c r="Q383" s="42">
        <v>44084</v>
      </c>
      <c r="R383" s="42">
        <v>44201</v>
      </c>
      <c r="S383" s="36" t="s">
        <v>71</v>
      </c>
      <c r="T383" s="89" t="s">
        <v>534</v>
      </c>
      <c r="U383" s="9">
        <v>44228</v>
      </c>
      <c r="V383" s="118" t="s">
        <v>71</v>
      </c>
      <c r="W383" s="118" t="s">
        <v>86</v>
      </c>
      <c r="X383" s="136">
        <v>1</v>
      </c>
      <c r="Y383" s="23">
        <v>10283</v>
      </c>
      <c r="Z383" s="34" t="str">
        <f>IF(ISERROR(VLOOKUP(Y383,'Data inputs '!$N$4:$O$23,2,0)),"",(VLOOKUP(Y383,'Data inputs '!$N$4:$O$23,2,0)))</f>
        <v>Germay(KfW)</v>
      </c>
      <c r="AA383" s="34">
        <v>112158</v>
      </c>
      <c r="AB383" s="5" t="s">
        <v>196</v>
      </c>
      <c r="AC383" s="5" t="s">
        <v>197</v>
      </c>
      <c r="AE383" s="10">
        <f ca="1"/>
        <v>0.64539756956100258</v>
      </c>
      <c r="AF383" s="10">
        <v>0.60230490306461626</v>
      </c>
    </row>
    <row r="384" spans="1:32" s="10" customFormat="1" ht="28.5" customHeight="1">
      <c r="A384" s="96">
        <v>356</v>
      </c>
      <c r="B384" s="5" t="s">
        <v>66</v>
      </c>
      <c r="C384" s="5" t="s">
        <v>148</v>
      </c>
      <c r="D384" s="5" t="s">
        <v>20</v>
      </c>
      <c r="E384" s="5" t="s">
        <v>4</v>
      </c>
      <c r="F384" s="5" t="s">
        <v>90</v>
      </c>
      <c r="G384" s="35" t="s">
        <v>163</v>
      </c>
      <c r="H384" s="44">
        <f>57298.5+8089.2+824.13</f>
        <v>66211.83</v>
      </c>
      <c r="I384" s="44">
        <f>Table1[[#This Row],[Contracted Amount]]*AF384</f>
        <v>44323.003087040364</v>
      </c>
      <c r="J384" s="44">
        <f>38638.93+6938.95+824.13</f>
        <v>46402.009999999995</v>
      </c>
      <c r="K384" s="44">
        <f>Table1[[#This Row],[Actual Expenditure (including admin fees)]]*AF384</f>
        <v>31062.069006020189</v>
      </c>
      <c r="L384" s="35" t="s">
        <v>71</v>
      </c>
      <c r="M384" s="42" t="s">
        <v>72</v>
      </c>
      <c r="N384" s="92">
        <v>43731</v>
      </c>
      <c r="O384" s="100" t="s">
        <v>73</v>
      </c>
      <c r="P384" s="42"/>
      <c r="Q384" s="42"/>
      <c r="R384" s="42">
        <v>43902</v>
      </c>
      <c r="S384" s="36" t="s">
        <v>71</v>
      </c>
      <c r="T384" s="89" t="s">
        <v>535</v>
      </c>
      <c r="U384" s="9">
        <v>43905</v>
      </c>
      <c r="V384" s="118" t="s">
        <v>71</v>
      </c>
      <c r="W384" s="118" t="s">
        <v>91</v>
      </c>
      <c r="X384" s="136">
        <v>1</v>
      </c>
      <c r="Y384" s="23" t="s">
        <v>536</v>
      </c>
      <c r="Z384" s="34" t="s">
        <v>537</v>
      </c>
      <c r="AA384" s="34">
        <v>112158</v>
      </c>
      <c r="AB384" s="5">
        <v>26.439502777777779</v>
      </c>
      <c r="AC384" s="5">
        <v>14.274486111111113</v>
      </c>
      <c r="AE384" s="10">
        <f ca="1"/>
        <v>0.53992575150908795</v>
      </c>
      <c r="AF384" s="10">
        <v>0.66941214412953642</v>
      </c>
    </row>
    <row r="385" spans="1:32" s="10" customFormat="1" ht="28.5" customHeight="1">
      <c r="A385" s="96">
        <v>357</v>
      </c>
      <c r="B385" s="5" t="s">
        <v>84</v>
      </c>
      <c r="C385" s="5" t="s">
        <v>148</v>
      </c>
      <c r="D385" s="5" t="s">
        <v>20</v>
      </c>
      <c r="E385" s="5" t="s">
        <v>4</v>
      </c>
      <c r="F385" s="5" t="s">
        <v>85</v>
      </c>
      <c r="G385" s="35" t="s">
        <v>163</v>
      </c>
      <c r="H385" s="44">
        <f>34488.97+17185</f>
        <v>51673.97</v>
      </c>
      <c r="I385" s="44">
        <f>Table1[[#This Row],[Contracted Amount]]*AF385</f>
        <v>37043.185362136443</v>
      </c>
      <c r="J385" s="44">
        <f>14440.04+7295.88+15465.56+9283.17+3446.57</f>
        <v>49931.22</v>
      </c>
      <c r="K385" s="44">
        <f>Table1[[#This Row],[Actual Expenditure (including admin fees)]]*AF385</f>
        <v>35793.871417613438</v>
      </c>
      <c r="L385" s="35" t="s">
        <v>71</v>
      </c>
      <c r="M385" s="42" t="s">
        <v>72</v>
      </c>
      <c r="N385" s="92">
        <v>43811</v>
      </c>
      <c r="O385" s="100" t="s">
        <v>73</v>
      </c>
      <c r="P385" s="92">
        <v>43824</v>
      </c>
      <c r="Q385" s="92">
        <v>43832</v>
      </c>
      <c r="R385" s="42">
        <v>44318</v>
      </c>
      <c r="S385" s="36" t="s">
        <v>71</v>
      </c>
      <c r="T385" s="89" t="s">
        <v>538</v>
      </c>
      <c r="U385" s="9">
        <v>44327</v>
      </c>
      <c r="V385" s="118" t="s">
        <v>71</v>
      </c>
      <c r="W385" s="118" t="s">
        <v>86</v>
      </c>
      <c r="X385" s="136">
        <v>1</v>
      </c>
      <c r="Y385" s="23" t="s">
        <v>539</v>
      </c>
      <c r="Z385" s="34" t="s">
        <v>540</v>
      </c>
      <c r="AA385" s="34" t="s">
        <v>264</v>
      </c>
      <c r="AB385" s="5">
        <v>26.878575000000001</v>
      </c>
      <c r="AC385" s="5">
        <v>14.427144444444444</v>
      </c>
      <c r="AE385" s="10">
        <f ca="1"/>
        <v>0.57861102738558412</v>
      </c>
      <c r="AF385" s="10">
        <v>0.71686354584593448</v>
      </c>
    </row>
    <row r="386" spans="1:32" s="10" customFormat="1" ht="28.5" customHeight="1">
      <c r="A386" s="96">
        <v>358</v>
      </c>
      <c r="B386" s="5" t="s">
        <v>66</v>
      </c>
      <c r="C386" s="5" t="s">
        <v>148</v>
      </c>
      <c r="D386" s="5" t="s">
        <v>20</v>
      </c>
      <c r="E386" s="5" t="s">
        <v>81</v>
      </c>
      <c r="F386" s="5" t="s">
        <v>82</v>
      </c>
      <c r="G386" s="35" t="s">
        <v>163</v>
      </c>
      <c r="H386" s="44">
        <f>537723.96+59545.5+34086.99+750</f>
        <v>632106.44999999995</v>
      </c>
      <c r="I386" s="44">
        <f>Table1[[#This Row],[Contracted Amount]]*AF386</f>
        <v>322136.18399690837</v>
      </c>
      <c r="J386" s="44">
        <f>430289.8+750+53960.1+31393.8</f>
        <v>516393.69999999995</v>
      </c>
      <c r="K386" s="44">
        <f>Table1[[#This Row],[Actual Expenditure (including admin fees)]]*AF386</f>
        <v>263166.26884292084</v>
      </c>
      <c r="L386" s="35" t="s">
        <v>71</v>
      </c>
      <c r="M386" s="42" t="s">
        <v>72</v>
      </c>
      <c r="N386" s="92">
        <v>43650</v>
      </c>
      <c r="O386" s="100" t="s">
        <v>73</v>
      </c>
      <c r="P386" s="42"/>
      <c r="Q386" s="42"/>
      <c r="R386" s="42">
        <v>44034</v>
      </c>
      <c r="S386" s="36" t="s">
        <v>71</v>
      </c>
      <c r="T386" s="89" t="s">
        <v>541</v>
      </c>
      <c r="U386" s="9">
        <v>44151</v>
      </c>
      <c r="V386" s="118" t="s">
        <v>71</v>
      </c>
      <c r="W386" s="118" t="s">
        <v>83</v>
      </c>
      <c r="X386" s="136">
        <v>3</v>
      </c>
      <c r="Y386" s="23" t="s">
        <v>518</v>
      </c>
      <c r="Z386" s="34" t="s">
        <v>542</v>
      </c>
      <c r="AA386" s="34">
        <v>112158</v>
      </c>
      <c r="AB386" s="5">
        <v>27.038219444444447</v>
      </c>
      <c r="AC386" s="5">
        <v>14.431683333333332</v>
      </c>
      <c r="AE386" s="10">
        <f ca="1"/>
        <v>0.65221975234839225</v>
      </c>
      <c r="AF386" s="10">
        <v>0.5096233142327663</v>
      </c>
    </row>
    <row r="387" spans="1:32" s="10" customFormat="1" ht="28.5" customHeight="1">
      <c r="A387" s="96">
        <v>359</v>
      </c>
      <c r="B387" s="5" t="s">
        <v>66</v>
      </c>
      <c r="C387" s="5" t="s">
        <v>148</v>
      </c>
      <c r="D387" s="5" t="s">
        <v>20</v>
      </c>
      <c r="E387" s="5" t="s">
        <v>81</v>
      </c>
      <c r="F387" s="5" t="s">
        <v>134</v>
      </c>
      <c r="G387" s="35" t="s">
        <v>163</v>
      </c>
      <c r="H387" s="44">
        <f>220489.02+500+19818.54+157.29</f>
        <v>240964.85</v>
      </c>
      <c r="I387" s="44">
        <f>Table1[[#This Row],[Contracted Amount]]*AF387</f>
        <v>152954.54836553778</v>
      </c>
      <c r="J387" s="44">
        <f>145337.05+500+19818.54+126.08</f>
        <v>165781.66999999998</v>
      </c>
      <c r="K387" s="44">
        <f>Table1[[#This Row],[Actual Expenditure (including admin fees)]]*AF387</f>
        <v>105231.36657539313</v>
      </c>
      <c r="L387" s="35" t="s">
        <v>71</v>
      </c>
      <c r="M387" s="42" t="s">
        <v>72</v>
      </c>
      <c r="N387" s="92">
        <v>43739</v>
      </c>
      <c r="O387" s="100" t="s">
        <v>73</v>
      </c>
      <c r="P387" s="42"/>
      <c r="Q387" s="42"/>
      <c r="R387" s="42">
        <v>44034</v>
      </c>
      <c r="S387" s="36" t="s">
        <v>71</v>
      </c>
      <c r="T387" s="89" t="s">
        <v>543</v>
      </c>
      <c r="U387" s="9">
        <v>44043</v>
      </c>
      <c r="V387" s="118" t="s">
        <v>71</v>
      </c>
      <c r="W387" s="118" t="s">
        <v>135</v>
      </c>
      <c r="X387" s="136">
        <v>3</v>
      </c>
      <c r="Y387" s="23" t="s">
        <v>262</v>
      </c>
      <c r="Z387" s="34" t="s">
        <v>263</v>
      </c>
      <c r="AA387" s="34">
        <v>112158</v>
      </c>
      <c r="AB387" s="5">
        <v>27.038219444444447</v>
      </c>
      <c r="AC387" s="5">
        <v>14.431683333333332</v>
      </c>
      <c r="AE387" s="10">
        <f ca="1"/>
        <v>0.61412882337342767</v>
      </c>
      <c r="AF387" s="10">
        <v>0.63475875575021734</v>
      </c>
    </row>
    <row r="388" spans="1:32" s="10" customFormat="1" ht="28.5" customHeight="1">
      <c r="A388" s="96">
        <v>361</v>
      </c>
      <c r="B388" s="5" t="s">
        <v>84</v>
      </c>
      <c r="C388" s="5" t="s">
        <v>148</v>
      </c>
      <c r="D388" s="5" t="s">
        <v>20</v>
      </c>
      <c r="E388" s="5" t="s">
        <v>81</v>
      </c>
      <c r="F388" s="5" t="s">
        <v>107</v>
      </c>
      <c r="G388" s="35" t="s">
        <v>163</v>
      </c>
      <c r="H388" s="44">
        <f>54432+7563.1</f>
        <v>61995.1</v>
      </c>
      <c r="I388" s="44">
        <f>Table1[[#This Row],[Contracted Amount]]*AF388</f>
        <v>34072.903041563499</v>
      </c>
      <c r="J388" s="44">
        <f>34920.8+20856.06+6197.43</f>
        <v>61974.29</v>
      </c>
      <c r="K388" s="44">
        <f>Table1[[#This Row],[Actual Expenditure (including admin fees)]]*AF388</f>
        <v>34061.465732610137</v>
      </c>
      <c r="L388" s="35" t="s">
        <v>71</v>
      </c>
      <c r="M388" s="42" t="s">
        <v>72</v>
      </c>
      <c r="N388" s="92">
        <v>44003</v>
      </c>
      <c r="O388" s="100" t="s">
        <v>73</v>
      </c>
      <c r="P388" s="42">
        <v>44077</v>
      </c>
      <c r="Q388" s="42">
        <v>44092</v>
      </c>
      <c r="R388" s="42">
        <v>44185</v>
      </c>
      <c r="S388" s="36" t="s">
        <v>71</v>
      </c>
      <c r="T388" s="89" t="s">
        <v>544</v>
      </c>
      <c r="U388" s="9">
        <v>44189</v>
      </c>
      <c r="V388" s="118" t="s">
        <v>71</v>
      </c>
      <c r="W388" s="118" t="s">
        <v>120</v>
      </c>
      <c r="X388" s="136">
        <v>1</v>
      </c>
      <c r="Y388" s="23">
        <v>10283</v>
      </c>
      <c r="Z388" s="34" t="str">
        <f>IF(ISERROR(VLOOKUP(Y388,'Data inputs '!$N$4:$O$23,2,0)),"",(VLOOKUP(Y388,'Data inputs '!$N$4:$O$23,2,0)))</f>
        <v>Germay(KfW)</v>
      </c>
      <c r="AA388" s="34">
        <v>112158</v>
      </c>
      <c r="AB388" s="5" t="s">
        <v>150</v>
      </c>
      <c r="AC388" s="5" t="s">
        <v>150</v>
      </c>
      <c r="AE388" s="10">
        <f ca="1"/>
        <v>0.54351101856713069</v>
      </c>
      <c r="AF388" s="10">
        <v>0.54960638891724511</v>
      </c>
    </row>
    <row r="389" spans="1:32" s="10" customFormat="1" ht="28.5" customHeight="1">
      <c r="A389" s="96">
        <v>362</v>
      </c>
      <c r="B389" s="5" t="s">
        <v>84</v>
      </c>
      <c r="C389" s="5" t="s">
        <v>148</v>
      </c>
      <c r="D389" s="5" t="s">
        <v>20</v>
      </c>
      <c r="E389" s="5" t="s">
        <v>122</v>
      </c>
      <c r="F389" s="5" t="s">
        <v>132</v>
      </c>
      <c r="G389" s="35" t="s">
        <v>163</v>
      </c>
      <c r="H389" s="44">
        <f>3301180.25+2100+45726.08</f>
        <v>3349006.33</v>
      </c>
      <c r="I389" s="44">
        <f>Table1[[#This Row],[Contracted Amount]]*AF389</f>
        <v>1985669.6753965092</v>
      </c>
      <c r="J389" s="44">
        <f>660236.05+1320472.1+133280.64+217198.08+509675.04+460318.34+2100+45726.08</f>
        <v>3349006.33</v>
      </c>
      <c r="K389" s="44">
        <f>Table1[[#This Row],[Actual Expenditure (including admin fees)]]*AF389</f>
        <v>1985669.6753965092</v>
      </c>
      <c r="L389" s="35" t="s">
        <v>71</v>
      </c>
      <c r="M389" s="42" t="s">
        <v>72</v>
      </c>
      <c r="N389" s="92">
        <v>43893</v>
      </c>
      <c r="O389" s="100" t="s">
        <v>73</v>
      </c>
      <c r="P389" s="42">
        <v>44168</v>
      </c>
      <c r="Q389" s="42">
        <v>44175</v>
      </c>
      <c r="R389" s="42">
        <v>44553</v>
      </c>
      <c r="S389" s="36" t="s">
        <v>71</v>
      </c>
      <c r="T389" s="89" t="s">
        <v>545</v>
      </c>
      <c r="U389" s="9">
        <v>44560</v>
      </c>
      <c r="V389" s="118" t="s">
        <v>71</v>
      </c>
      <c r="W389" s="118" t="s">
        <v>133</v>
      </c>
      <c r="X389" s="136">
        <v>14</v>
      </c>
      <c r="Y389" s="23">
        <v>10283</v>
      </c>
      <c r="Z389" s="34" t="str">
        <f>IF(ISERROR(VLOOKUP(Y389,'Data inputs '!$N$4:$O$23,2,0)),"",(VLOOKUP(Y389,'Data inputs '!$N$4:$O$23,2,0)))</f>
        <v>Germay(KfW)</v>
      </c>
      <c r="AA389" s="34">
        <v>112158</v>
      </c>
      <c r="AB389" s="5" t="s">
        <v>150</v>
      </c>
      <c r="AC389" s="5" t="s">
        <v>150</v>
      </c>
      <c r="AE389" s="10">
        <f ca="1"/>
        <v>0.63587176836699222</v>
      </c>
      <c r="AF389" s="10">
        <v>0.59291308517667363</v>
      </c>
    </row>
    <row r="390" spans="1:32" s="10" customFormat="1" ht="28.5" customHeight="1">
      <c r="A390" s="96">
        <v>364</v>
      </c>
      <c r="B390" s="5" t="s">
        <v>84</v>
      </c>
      <c r="C390" s="5" t="s">
        <v>148</v>
      </c>
      <c r="D390" s="5" t="s">
        <v>20</v>
      </c>
      <c r="E390" s="5" t="s">
        <v>112</v>
      </c>
      <c r="F390" s="5" t="s">
        <v>121</v>
      </c>
      <c r="G390" s="35" t="s">
        <v>163</v>
      </c>
      <c r="H390" s="44">
        <v>769682.5</v>
      </c>
      <c r="I390" s="44">
        <f>Table1[[#This Row],[Contracted Amount]]*AF390</f>
        <v>536641.91090231563</v>
      </c>
      <c r="J390" s="46"/>
      <c r="K390" s="46">
        <f>Table1[[#This Row],[Actual Expenditure (including admin fees)]]*AF390</f>
        <v>0</v>
      </c>
      <c r="L390" s="35" t="s">
        <v>71</v>
      </c>
      <c r="M390" s="42"/>
      <c r="N390" s="92">
        <v>43932</v>
      </c>
      <c r="O390" s="100"/>
      <c r="P390" s="42"/>
      <c r="Q390" s="42"/>
      <c r="R390" s="42"/>
      <c r="S390" s="36" t="s">
        <v>76</v>
      </c>
      <c r="T390" s="89" t="s">
        <v>546</v>
      </c>
      <c r="U390" s="9">
        <v>44225</v>
      </c>
      <c r="V390" s="118" t="s">
        <v>245</v>
      </c>
      <c r="W390" s="118" t="s">
        <v>120</v>
      </c>
      <c r="X390" s="136">
        <v>1</v>
      </c>
      <c r="Y390" s="23">
        <v>10283</v>
      </c>
      <c r="Z390" s="34" t="str">
        <f>IF(ISERROR(VLOOKUP(Y390,'Data inputs '!$N$4:$O$23,2,0)),"",(VLOOKUP(Y390,'Data inputs '!$N$4:$O$23,2,0)))</f>
        <v>Germay(KfW)</v>
      </c>
      <c r="AA390" s="34"/>
      <c r="AB390" s="5">
        <v>27.026555555555554</v>
      </c>
      <c r="AC390" s="5">
        <v>14.457522222222222</v>
      </c>
      <c r="AE390" s="10">
        <f ca="1"/>
        <v>0.60196442424043684</v>
      </c>
      <c r="AF390" s="10">
        <v>0.69722503876899322</v>
      </c>
    </row>
    <row r="391" spans="1:32" s="10" customFormat="1" ht="28.5" customHeight="1">
      <c r="A391" s="96">
        <v>365</v>
      </c>
      <c r="B391" s="5" t="s">
        <v>84</v>
      </c>
      <c r="C391" s="5" t="s">
        <v>148</v>
      </c>
      <c r="D391" s="5" t="s">
        <v>20</v>
      </c>
      <c r="E391" s="5" t="s">
        <v>112</v>
      </c>
      <c r="F391" s="5" t="s">
        <v>119</v>
      </c>
      <c r="G391" s="35" t="s">
        <v>163</v>
      </c>
      <c r="H391" s="44">
        <v>118726.62</v>
      </c>
      <c r="I391" s="44">
        <f>Table1[[#This Row],[Contracted Amount]]*AF391</f>
        <v>78290.273392365139</v>
      </c>
      <c r="J391" s="44">
        <v>34569.83</v>
      </c>
      <c r="K391" s="44">
        <f>Table1[[#This Row],[Actual Expenditure (including admin fees)]]*AF391</f>
        <v>22795.910822927377</v>
      </c>
      <c r="L391" s="35" t="s">
        <v>71</v>
      </c>
      <c r="M391" s="42" t="s">
        <v>72</v>
      </c>
      <c r="N391" s="92">
        <v>44328</v>
      </c>
      <c r="O391" s="100" t="s">
        <v>195</v>
      </c>
      <c r="P391" s="42">
        <v>44454</v>
      </c>
      <c r="Q391" s="42">
        <v>44494</v>
      </c>
      <c r="R391" s="42"/>
      <c r="S391" s="36" t="s">
        <v>478</v>
      </c>
      <c r="T391" s="89" t="s">
        <v>547</v>
      </c>
      <c r="U391" s="9">
        <v>44815</v>
      </c>
      <c r="V391" s="118" t="s">
        <v>478</v>
      </c>
      <c r="W391" s="118" t="s">
        <v>120</v>
      </c>
      <c r="X391" s="136">
        <v>1</v>
      </c>
      <c r="Y391" s="23">
        <v>10159</v>
      </c>
      <c r="Z391" s="34" t="s">
        <v>228</v>
      </c>
      <c r="AA391" s="34">
        <v>122619</v>
      </c>
      <c r="AB391" s="107">
        <v>27.008616666666665</v>
      </c>
      <c r="AC391" s="107">
        <v>14.438472222222222</v>
      </c>
      <c r="AE391" s="10">
        <f ca="1"/>
        <v>0.69782385226119448</v>
      </c>
      <c r="AF391" s="10">
        <v>0.65941634144360495</v>
      </c>
    </row>
    <row r="392" spans="1:32" s="10" customFormat="1" ht="28.5" customHeight="1">
      <c r="A392" s="96">
        <v>366</v>
      </c>
      <c r="B392" s="5" t="s">
        <v>66</v>
      </c>
      <c r="C392" s="5" t="s">
        <v>148</v>
      </c>
      <c r="D392" s="5" t="s">
        <v>20</v>
      </c>
      <c r="E392" s="5" t="s">
        <v>122</v>
      </c>
      <c r="F392" s="5" t="s">
        <v>144</v>
      </c>
      <c r="G392" s="35" t="s">
        <v>163</v>
      </c>
      <c r="H392" s="44">
        <f>(452877.5/8)*2+5700</f>
        <v>118919.375</v>
      </c>
      <c r="I392" s="44">
        <f>Table1[[#This Row],[Contracted Amount]]*AF392</f>
        <v>72812.154849544124</v>
      </c>
      <c r="J392" s="46">
        <f>(452877.5/8)*2+5700</f>
        <v>118919.375</v>
      </c>
      <c r="K392" s="46">
        <f>Table1[[#This Row],[Actual Expenditure (including admin fees)]]*AF392</f>
        <v>72812.154849544124</v>
      </c>
      <c r="L392" s="35" t="s">
        <v>71</v>
      </c>
      <c r="M392" s="42" t="s">
        <v>72</v>
      </c>
      <c r="N392" s="42">
        <v>43676</v>
      </c>
      <c r="O392" s="100" t="s">
        <v>73</v>
      </c>
      <c r="P392" s="42"/>
      <c r="Q392" s="42"/>
      <c r="R392" s="42">
        <v>43716</v>
      </c>
      <c r="S392" s="36" t="s">
        <v>71</v>
      </c>
      <c r="T392" s="89" t="s">
        <v>548</v>
      </c>
      <c r="U392" s="9">
        <v>43727</v>
      </c>
      <c r="V392" s="118" t="s">
        <v>71</v>
      </c>
      <c r="W392" s="118" t="s">
        <v>164</v>
      </c>
      <c r="X392" s="136">
        <v>2</v>
      </c>
      <c r="Y392" s="23">
        <v>10480</v>
      </c>
      <c r="Z392" s="34" t="s">
        <v>230</v>
      </c>
      <c r="AA392" s="34">
        <v>112158</v>
      </c>
      <c r="AB392" s="5">
        <v>27.002497222222221</v>
      </c>
      <c r="AC392" s="5">
        <v>14.461269444444444</v>
      </c>
      <c r="AE392" s="10">
        <f ca="1"/>
        <v>0.5860963785593819</v>
      </c>
      <c r="AF392" s="10">
        <v>0.61228168117721882</v>
      </c>
    </row>
    <row r="393" spans="1:32" s="10" customFormat="1" ht="28.5" customHeight="1">
      <c r="A393" s="96">
        <v>367</v>
      </c>
      <c r="B393" s="17"/>
      <c r="C393" s="17"/>
      <c r="D393" s="17" t="s">
        <v>21</v>
      </c>
      <c r="E393" s="17" t="s">
        <v>442</v>
      </c>
      <c r="F393" s="78"/>
      <c r="G393" s="35" t="s">
        <v>163</v>
      </c>
      <c r="H393" s="44"/>
      <c r="I393" s="44">
        <f>Table1[[#This Row],[Contracted Amount]]*AF393</f>
        <v>0</v>
      </c>
      <c r="J393" s="46"/>
      <c r="K393" s="46">
        <f>Table1[[#This Row],[Actual Expenditure (including admin fees)]]*AF393</f>
        <v>0</v>
      </c>
      <c r="L393" s="35" t="s">
        <v>75</v>
      </c>
      <c r="M393" s="42"/>
      <c r="N393" s="42"/>
      <c r="O393" s="100"/>
      <c r="P393" s="42"/>
      <c r="Q393" s="42"/>
      <c r="R393" s="42"/>
      <c r="S393" s="17"/>
      <c r="T393" s="89"/>
      <c r="U393" s="9"/>
      <c r="V393" s="117"/>
      <c r="W393" s="117"/>
      <c r="X393" s="136"/>
      <c r="Y393" s="23"/>
      <c r="Z393" s="34" t="str">
        <f>IF(ISERROR(VLOOKUP(Y393,'Data inputs '!$N$4:$O$23,2,0)),"",(VLOOKUP(Y393,'Data inputs '!$N$4:$O$23,2,0)))</f>
        <v/>
      </c>
      <c r="AA393" s="34"/>
      <c r="AB393" s="5"/>
      <c r="AC393" s="5"/>
      <c r="AE393" s="10">
        <f ca="1"/>
        <v>0.7292739740572558</v>
      </c>
      <c r="AF393" s="10">
        <v>0.61790371349215967</v>
      </c>
    </row>
    <row r="394" spans="1:32" s="10" customFormat="1" ht="28.5" customHeight="1">
      <c r="A394" s="96"/>
      <c r="B394" s="5" t="s">
        <v>84</v>
      </c>
      <c r="C394" s="5" t="s">
        <v>67</v>
      </c>
      <c r="D394" s="5" t="s">
        <v>21</v>
      </c>
      <c r="E394" s="5" t="s">
        <v>96</v>
      </c>
      <c r="F394" s="5" t="s">
        <v>97</v>
      </c>
      <c r="G394" s="35" t="s">
        <v>163</v>
      </c>
      <c r="H394" s="44">
        <v>304592.59999999998</v>
      </c>
      <c r="I394" s="44">
        <f>Table1[[#This Row],[Contracted Amount]]*AF394</f>
        <v>201438.71870254274</v>
      </c>
      <c r="J394" s="44">
        <f>123741.27+116939.34+26742.29</f>
        <v>267422.89999999997</v>
      </c>
      <c r="K394" s="44">
        <f>Table1[[#This Row],[Actual Expenditure (including admin fees)]]*AF394</f>
        <v>176856.97659010172</v>
      </c>
      <c r="L394" s="35" t="s">
        <v>71</v>
      </c>
      <c r="M394" s="42" t="s">
        <v>72</v>
      </c>
      <c r="N394" s="92">
        <v>43936</v>
      </c>
      <c r="O394" s="100" t="s">
        <v>73</v>
      </c>
      <c r="P394" s="42">
        <v>43947</v>
      </c>
      <c r="Q394" s="42"/>
      <c r="R394" s="42">
        <v>44132</v>
      </c>
      <c r="S394" s="36" t="s">
        <v>71</v>
      </c>
      <c r="T394" s="89" t="s">
        <v>549</v>
      </c>
      <c r="U394" s="9">
        <v>44137</v>
      </c>
      <c r="V394" s="118" t="s">
        <v>71</v>
      </c>
      <c r="W394" s="118" t="s">
        <v>98</v>
      </c>
      <c r="X394" s="136">
        <v>1</v>
      </c>
      <c r="Y394" s="23">
        <v>10283</v>
      </c>
      <c r="Z394" s="34" t="str">
        <f>IF(ISERROR(VLOOKUP(Y394,'Data inputs '!$N$4:$O$23,2,0)),"",(VLOOKUP(Y394,'Data inputs '!$N$4:$O$23,2,0)))</f>
        <v>Germay(KfW)</v>
      </c>
      <c r="AA394" s="34">
        <v>112158</v>
      </c>
      <c r="AB394" s="5">
        <v>31.199928</v>
      </c>
      <c r="AC394" s="5">
        <v>16.608343999999999</v>
      </c>
      <c r="AE394" s="10">
        <f ca="1"/>
        <v>0.61253215424527252</v>
      </c>
      <c r="AF394" s="10">
        <v>0.66133818977395631</v>
      </c>
    </row>
    <row r="395" spans="1:32" s="10" customFormat="1" ht="28.5" customHeight="1">
      <c r="A395" s="96"/>
      <c r="B395" s="5" t="s">
        <v>84</v>
      </c>
      <c r="C395" s="5" t="s">
        <v>67</v>
      </c>
      <c r="D395" s="5" t="s">
        <v>21</v>
      </c>
      <c r="E395" s="5" t="s">
        <v>96</v>
      </c>
      <c r="F395" s="29" t="s">
        <v>97</v>
      </c>
      <c r="G395" s="35" t="s">
        <v>163</v>
      </c>
      <c r="H395" s="44">
        <v>149299</v>
      </c>
      <c r="I395" s="44">
        <f>Table1[[#This Row],[Contracted Amount]]*AF395</f>
        <v>97852.290024626229</v>
      </c>
      <c r="J395" s="46"/>
      <c r="K395" s="46">
        <f>Table1[[#This Row],[Actual Expenditure (including admin fees)]]*AF395</f>
        <v>0</v>
      </c>
      <c r="L395" s="35" t="s">
        <v>71</v>
      </c>
      <c r="M395" s="42"/>
      <c r="N395" s="92">
        <v>44127</v>
      </c>
      <c r="O395" s="100"/>
      <c r="P395" s="42"/>
      <c r="Q395" s="42"/>
      <c r="R395" s="42"/>
      <c r="S395" s="36" t="s">
        <v>266</v>
      </c>
      <c r="T395" s="89" t="s">
        <v>550</v>
      </c>
      <c r="U395" s="9">
        <v>44194</v>
      </c>
      <c r="V395" s="118" t="s">
        <v>266</v>
      </c>
      <c r="W395" s="118" t="s">
        <v>98</v>
      </c>
      <c r="X395" s="136">
        <v>1</v>
      </c>
      <c r="Y395" s="23">
        <v>717</v>
      </c>
      <c r="Z395" s="34" t="str">
        <f>IF(ISERROR(VLOOKUP(Y395,'Data inputs '!$N$4:$O$23,2,0)),"",(VLOOKUP(Y395,'Data inputs '!$N$4:$O$23,2,0)))</f>
        <v>C/S ROK</v>
      </c>
      <c r="AA395" s="34"/>
      <c r="AB395" s="107">
        <f>31+12/60+26/3600</f>
        <v>31.207222222222221</v>
      </c>
      <c r="AC395" s="107">
        <f>16+40/60+55/3600</f>
        <v>16.681944444444447</v>
      </c>
      <c r="AE395" s="10">
        <f ca="1"/>
        <v>0.6562137576612751</v>
      </c>
      <c r="AF395" s="10">
        <v>0.65541155683980623</v>
      </c>
    </row>
    <row r="396" spans="1:32" s="10" customFormat="1" ht="28.5" customHeight="1">
      <c r="A396" s="96"/>
      <c r="B396" s="5" t="s">
        <v>84</v>
      </c>
      <c r="C396" s="5" t="s">
        <v>67</v>
      </c>
      <c r="D396" s="5" t="s">
        <v>21</v>
      </c>
      <c r="E396" s="5" t="s">
        <v>96</v>
      </c>
      <c r="F396" s="5" t="s">
        <v>97</v>
      </c>
      <c r="G396" s="35" t="s">
        <v>163</v>
      </c>
      <c r="H396" s="44">
        <v>150653</v>
      </c>
      <c r="I396" s="44">
        <f>Table1[[#This Row],[Contracted Amount]]*AF396</f>
        <v>97582.51470223369</v>
      </c>
      <c r="J396" s="44">
        <f>127150.2+8437.5</f>
        <v>135587.70000000001</v>
      </c>
      <c r="K396" s="44">
        <f>Table1[[#This Row],[Actual Expenditure (including admin fees)]]*AF396</f>
        <v>87824.263232010329</v>
      </c>
      <c r="L396" s="35" t="s">
        <v>71</v>
      </c>
      <c r="M396" s="42" t="s">
        <v>72</v>
      </c>
      <c r="N396" s="92">
        <v>44426</v>
      </c>
      <c r="O396" s="100" t="s">
        <v>73</v>
      </c>
      <c r="P396" s="42"/>
      <c r="Q396" s="42"/>
      <c r="R396" s="42">
        <v>44617</v>
      </c>
      <c r="S396" s="35" t="s">
        <v>71</v>
      </c>
      <c r="T396" s="91" t="s">
        <v>551</v>
      </c>
      <c r="U396" s="9">
        <v>44670</v>
      </c>
      <c r="V396" s="118" t="s">
        <v>71</v>
      </c>
      <c r="W396" s="119" t="s">
        <v>98</v>
      </c>
      <c r="X396" s="136">
        <v>1</v>
      </c>
      <c r="Y396" s="23">
        <v>10159</v>
      </c>
      <c r="Z396" s="34" t="s">
        <v>228</v>
      </c>
      <c r="AA396" s="114">
        <v>122619</v>
      </c>
      <c r="AB396" s="107">
        <f>31+12/60+33.7/3600</f>
        <v>31.209361111111111</v>
      </c>
      <c r="AC396" s="107">
        <f>16+35/60+9.8/3600</f>
        <v>16.586055555555554</v>
      </c>
      <c r="AE396" s="10">
        <f ca="1"/>
        <v>0.5034331327227769</v>
      </c>
      <c r="AF396" s="10">
        <v>0.64773031205640574</v>
      </c>
    </row>
    <row r="397" spans="1:32" s="10" customFormat="1" ht="28.5" customHeight="1">
      <c r="A397" s="96"/>
      <c r="B397" s="5" t="s">
        <v>84</v>
      </c>
      <c r="C397" s="5" t="s">
        <v>67</v>
      </c>
      <c r="D397" s="5" t="s">
        <v>21</v>
      </c>
      <c r="E397" s="5" t="s">
        <v>96</v>
      </c>
      <c r="F397" s="5" t="s">
        <v>97</v>
      </c>
      <c r="G397" s="35" t="s">
        <v>163</v>
      </c>
      <c r="H397" s="44">
        <v>173376</v>
      </c>
      <c r="I397" s="44">
        <f>Table1[[#This Row],[Contracted Amount]]*AF397</f>
        <v>120496.62969384427</v>
      </c>
      <c r="J397" s="44">
        <f>119202.3+36836.1+17337.6</f>
        <v>173376</v>
      </c>
      <c r="K397" s="44">
        <f>Table1[[#This Row],[Actual Expenditure (including admin fees)]]*AF397</f>
        <v>120496.62969384427</v>
      </c>
      <c r="L397" s="35" t="s">
        <v>71</v>
      </c>
      <c r="M397" s="42" t="s">
        <v>72</v>
      </c>
      <c r="N397" s="42">
        <v>44141</v>
      </c>
      <c r="O397" s="100" t="s">
        <v>73</v>
      </c>
      <c r="P397" s="42">
        <v>44151</v>
      </c>
      <c r="Q397" s="42"/>
      <c r="R397" s="42">
        <v>44301</v>
      </c>
      <c r="S397" s="36" t="s">
        <v>71</v>
      </c>
      <c r="T397" s="89" t="s">
        <v>552</v>
      </c>
      <c r="U397" s="9">
        <v>44368</v>
      </c>
      <c r="V397" s="118" t="s">
        <v>71</v>
      </c>
      <c r="W397" s="118" t="s">
        <v>98</v>
      </c>
      <c r="X397" s="136">
        <v>1</v>
      </c>
      <c r="Y397" s="23">
        <v>10159</v>
      </c>
      <c r="Z397" s="34" t="s">
        <v>228</v>
      </c>
      <c r="AA397" s="34">
        <v>122619</v>
      </c>
      <c r="AB397" s="107">
        <f>31+12/60+29/3600</f>
        <v>31.208055555555553</v>
      </c>
      <c r="AC397" s="107">
        <f>16+33/60+57.71/3600</f>
        <v>16.566030555555557</v>
      </c>
      <c r="AE397" s="10">
        <f ca="1"/>
        <v>0.62945516673846191</v>
      </c>
      <c r="AF397" s="10">
        <v>0.69500178625556175</v>
      </c>
    </row>
    <row r="398" spans="1:32" s="10" customFormat="1" ht="28.5" customHeight="1">
      <c r="A398" s="96"/>
      <c r="B398" s="5" t="s">
        <v>84</v>
      </c>
      <c r="C398" s="5" t="s">
        <v>67</v>
      </c>
      <c r="D398" s="5" t="s">
        <v>21</v>
      </c>
      <c r="E398" s="5" t="s">
        <v>96</v>
      </c>
      <c r="F398" s="5" t="s">
        <v>97</v>
      </c>
      <c r="G398" s="35" t="s">
        <v>211</v>
      </c>
      <c r="H398" s="44">
        <v>145824</v>
      </c>
      <c r="I398" s="44">
        <f>Table1[[#This Row],[Contracted Amount]]*AF398</f>
        <v>91927.604356052805</v>
      </c>
      <c r="J398" s="44">
        <f>113111.1+18130.5+14582.4</f>
        <v>145824</v>
      </c>
      <c r="K398" s="44">
        <f>Table1[[#This Row],[Actual Expenditure (including admin fees)]]*AF398</f>
        <v>91927.604356052805</v>
      </c>
      <c r="L398" s="35" t="s">
        <v>71</v>
      </c>
      <c r="M398" s="42" t="s">
        <v>72</v>
      </c>
      <c r="N398" s="92">
        <v>44127</v>
      </c>
      <c r="O398" s="100" t="s">
        <v>73</v>
      </c>
      <c r="P398" s="42">
        <v>44151</v>
      </c>
      <c r="Q398" s="42"/>
      <c r="R398" s="42">
        <v>44196</v>
      </c>
      <c r="S398" s="36" t="s">
        <v>71</v>
      </c>
      <c r="T398" s="89" t="s">
        <v>553</v>
      </c>
      <c r="U398" s="9">
        <v>44196</v>
      </c>
      <c r="V398" s="118" t="s">
        <v>554</v>
      </c>
      <c r="W398" s="118" t="s">
        <v>98</v>
      </c>
      <c r="X398" s="136">
        <v>1</v>
      </c>
      <c r="Y398" s="23"/>
      <c r="Z398" s="34" t="s">
        <v>555</v>
      </c>
      <c r="AA398" s="34">
        <v>124052</v>
      </c>
      <c r="AB398" s="107">
        <f>31+9/60+1.4/3600</f>
        <v>31.150388888888887</v>
      </c>
      <c r="AC398" s="107">
        <f>16+56/60+53.9/3600</f>
        <v>16.948305555555557</v>
      </c>
      <c r="AE398" s="10">
        <f ca="1"/>
        <v>0.57091545686300194</v>
      </c>
      <c r="AF398" s="10">
        <v>0.63040106125228224</v>
      </c>
    </row>
    <row r="399" spans="1:32" s="10" customFormat="1" ht="28.5" customHeight="1">
      <c r="A399" s="96"/>
      <c r="B399" s="5" t="s">
        <v>84</v>
      </c>
      <c r="C399" s="5" t="s">
        <v>67</v>
      </c>
      <c r="D399" s="5" t="s">
        <v>21</v>
      </c>
      <c r="E399" s="5" t="s">
        <v>96</v>
      </c>
      <c r="F399" s="5" t="s">
        <v>97</v>
      </c>
      <c r="G399" s="35" t="s">
        <v>163</v>
      </c>
      <c r="H399" s="63">
        <v>900000</v>
      </c>
      <c r="I399" s="63">
        <f>Table1[[#This Row],[Contracted Amount]]*AF399</f>
        <v>588620.00479777146</v>
      </c>
      <c r="J399" s="46"/>
      <c r="K399" s="46">
        <f>Table1[[#This Row],[Actual Expenditure (including admin fees)]]*AF399</f>
        <v>0</v>
      </c>
      <c r="L399" s="35" t="s">
        <v>75</v>
      </c>
      <c r="M399" s="42"/>
      <c r="N399" s="42"/>
      <c r="O399" s="100"/>
      <c r="P399" s="42"/>
      <c r="Q399" s="42"/>
      <c r="R399" s="118"/>
      <c r="S399" s="36" t="s">
        <v>76</v>
      </c>
      <c r="T399" s="89" t="s">
        <v>244</v>
      </c>
      <c r="U399" s="9"/>
      <c r="V399" s="118" t="s">
        <v>245</v>
      </c>
      <c r="W399" s="118" t="s">
        <v>98</v>
      </c>
      <c r="X399" s="136">
        <v>1</v>
      </c>
      <c r="Y399" s="23"/>
      <c r="Z399" s="34"/>
      <c r="AA399" s="34"/>
      <c r="AB399" s="5"/>
      <c r="AC399" s="5"/>
      <c r="AE399" s="10">
        <f ca="1"/>
        <v>0.50196462392887575</v>
      </c>
      <c r="AF399" s="10">
        <v>0.65402222755307937</v>
      </c>
    </row>
    <row r="400" spans="1:32" s="10" customFormat="1" ht="28.5" customHeight="1">
      <c r="A400" s="96"/>
      <c r="B400" s="5" t="s">
        <v>66</v>
      </c>
      <c r="C400" s="5" t="s">
        <v>67</v>
      </c>
      <c r="D400" s="5" t="s">
        <v>21</v>
      </c>
      <c r="E400" s="5" t="s">
        <v>4</v>
      </c>
      <c r="F400" s="5" t="s">
        <v>107</v>
      </c>
      <c r="G400" s="35" t="s">
        <v>163</v>
      </c>
      <c r="H400" s="44">
        <f>(((220500+10000)/5)*2)+16179.16</f>
        <v>108379.16</v>
      </c>
      <c r="I400" s="44">
        <f>Table1[[#This Row],[Contracted Amount]]*AF400</f>
        <v>81271.160217572615</v>
      </c>
      <c r="J400" s="46"/>
      <c r="K400" s="46">
        <f>Table1[[#This Row],[Actual Expenditure (including admin fees)]]*AF400</f>
        <v>0</v>
      </c>
      <c r="L400" s="35" t="s">
        <v>71</v>
      </c>
      <c r="M400" s="42"/>
      <c r="N400" s="42">
        <v>44657</v>
      </c>
      <c r="O400" s="100"/>
      <c r="P400" s="42"/>
      <c r="Q400" s="42"/>
      <c r="R400" s="118"/>
      <c r="S400" s="35" t="s">
        <v>478</v>
      </c>
      <c r="T400" s="89" t="s">
        <v>556</v>
      </c>
      <c r="U400" s="9">
        <v>44659</v>
      </c>
      <c r="V400" s="118" t="s">
        <v>478</v>
      </c>
      <c r="W400" s="118" t="s">
        <v>108</v>
      </c>
      <c r="X400" s="136">
        <v>2</v>
      </c>
      <c r="Y400" s="23">
        <v>10159</v>
      </c>
      <c r="Z400" s="34" t="s">
        <v>228</v>
      </c>
      <c r="AA400" s="34" t="s">
        <v>557</v>
      </c>
      <c r="AB400" s="5"/>
      <c r="AC400" s="5"/>
      <c r="AE400" s="10">
        <f ca="1"/>
        <v>0.55179333787893259</v>
      </c>
      <c r="AF400" s="10">
        <v>0.74987811510600944</v>
      </c>
    </row>
    <row r="401" spans="1:38" s="10" customFormat="1" ht="28.5" customHeight="1">
      <c r="A401" s="96"/>
      <c r="B401" s="5" t="s">
        <v>66</v>
      </c>
      <c r="C401" s="5" t="s">
        <v>67</v>
      </c>
      <c r="D401" s="5" t="s">
        <v>21</v>
      </c>
      <c r="E401" s="5" t="s">
        <v>81</v>
      </c>
      <c r="F401" s="5" t="s">
        <v>107</v>
      </c>
      <c r="G401" s="35" t="s">
        <v>163</v>
      </c>
      <c r="H401" s="63">
        <f>95000*1.15</f>
        <v>109249.99999999999</v>
      </c>
      <c r="I401" s="63">
        <f>Table1[[#This Row],[Contracted Amount]]*AF401</f>
        <v>66857.558648991995</v>
      </c>
      <c r="J401" s="46"/>
      <c r="K401" s="46">
        <f>Table1[[#This Row],[Actual Expenditure (including admin fees)]]*AF401</f>
        <v>0</v>
      </c>
      <c r="L401" s="35" t="s">
        <v>71</v>
      </c>
      <c r="M401" s="42"/>
      <c r="N401" s="42"/>
      <c r="O401" s="100"/>
      <c r="P401" s="42"/>
      <c r="Q401" s="42"/>
      <c r="R401" s="118"/>
      <c r="S401" s="35" t="s">
        <v>76</v>
      </c>
      <c r="T401" s="89" t="s">
        <v>558</v>
      </c>
      <c r="U401" s="9">
        <v>44648</v>
      </c>
      <c r="V401" s="118" t="s">
        <v>245</v>
      </c>
      <c r="W401" s="118" t="s">
        <v>176</v>
      </c>
      <c r="X401" s="136">
        <v>1</v>
      </c>
      <c r="Y401" s="23"/>
      <c r="Z401" s="34" t="str">
        <f>IF(ISERROR(VLOOKUP(Y401,'Data inputs '!$N$4:$O$23,2,0)),"",(VLOOKUP(Y401,'Data inputs '!$N$4:$O$23,2,0)))</f>
        <v/>
      </c>
      <c r="AA401" s="34"/>
      <c r="AB401" s="5"/>
      <c r="AC401" s="5"/>
      <c r="AE401" s="10">
        <f ca="1"/>
        <v>0.69535664283520859</v>
      </c>
      <c r="AF401" s="10">
        <v>0.61196850021960647</v>
      </c>
    </row>
    <row r="402" spans="1:38" s="10" customFormat="1" ht="28.5" customHeight="1">
      <c r="A402" s="96"/>
      <c r="B402" s="5" t="s">
        <v>66</v>
      </c>
      <c r="C402" s="5" t="s">
        <v>67</v>
      </c>
      <c r="D402" s="5" t="s">
        <v>21</v>
      </c>
      <c r="E402" s="5" t="s">
        <v>81</v>
      </c>
      <c r="F402" s="5" t="s">
        <v>107</v>
      </c>
      <c r="G402" s="35" t="s">
        <v>163</v>
      </c>
      <c r="H402" s="44">
        <f>(((220500+10000)/5)*3)+24268.74</f>
        <v>162568.74</v>
      </c>
      <c r="I402" s="44">
        <f>Table1[[#This Row],[Contracted Amount]]*AF402</f>
        <v>102899.67516428774</v>
      </c>
      <c r="J402" s="46"/>
      <c r="K402" s="46">
        <f>Table1[[#This Row],[Actual Expenditure (including admin fees)]]*AF402</f>
        <v>0</v>
      </c>
      <c r="L402" s="35" t="s">
        <v>71</v>
      </c>
      <c r="M402" s="42"/>
      <c r="N402" s="42">
        <v>44657</v>
      </c>
      <c r="O402" s="100"/>
      <c r="P402" s="42"/>
      <c r="Q402" s="42"/>
      <c r="R402" s="118"/>
      <c r="S402" s="35" t="s">
        <v>478</v>
      </c>
      <c r="T402" s="89" t="s">
        <v>556</v>
      </c>
      <c r="U402" s="9">
        <v>44659</v>
      </c>
      <c r="V402" s="118" t="s">
        <v>478</v>
      </c>
      <c r="W402" s="118" t="s">
        <v>108</v>
      </c>
      <c r="X402" s="136">
        <v>3</v>
      </c>
      <c r="Y402" s="23">
        <v>10159</v>
      </c>
      <c r="Z402" s="34" t="s">
        <v>228</v>
      </c>
      <c r="AA402" s="34" t="s">
        <v>557</v>
      </c>
      <c r="AB402" s="5"/>
      <c r="AC402" s="5"/>
      <c r="AE402" s="10">
        <f ca="1"/>
        <v>0.68991928079371523</v>
      </c>
      <c r="AF402" s="10">
        <v>0.63296101799329774</v>
      </c>
    </row>
    <row r="403" spans="1:38" s="10" customFormat="1" ht="28.5" customHeight="1">
      <c r="A403" s="96"/>
      <c r="B403" s="5" t="s">
        <v>66</v>
      </c>
      <c r="C403" s="5" t="s">
        <v>67</v>
      </c>
      <c r="D403" s="5" t="s">
        <v>21</v>
      </c>
      <c r="E403" s="5" t="s">
        <v>81</v>
      </c>
      <c r="F403" s="5" t="s">
        <v>115</v>
      </c>
      <c r="G403" s="35" t="s">
        <v>163</v>
      </c>
      <c r="H403" s="44">
        <f>57800*1.15</f>
        <v>66470</v>
      </c>
      <c r="I403" s="44">
        <f>Table1[[#This Row],[Contracted Amount]]*AF403</f>
        <v>38263.757329319495</v>
      </c>
      <c r="J403" s="46"/>
      <c r="K403" s="46">
        <f>Table1[[#This Row],[Actual Expenditure (including admin fees)]]*AF403</f>
        <v>0</v>
      </c>
      <c r="L403" s="35" t="s">
        <v>71</v>
      </c>
      <c r="M403" s="42" t="s">
        <v>72</v>
      </c>
      <c r="N403" s="42">
        <v>44763</v>
      </c>
      <c r="O403" s="100"/>
      <c r="P403" s="42"/>
      <c r="Q403" s="42"/>
      <c r="R403" s="118"/>
      <c r="S403" s="35" t="s">
        <v>478</v>
      </c>
      <c r="T403" s="89" t="s">
        <v>559</v>
      </c>
      <c r="U403" s="9">
        <v>44768</v>
      </c>
      <c r="V403" s="118" t="s">
        <v>152</v>
      </c>
      <c r="W403" s="118" t="s">
        <v>111</v>
      </c>
      <c r="X403" s="136">
        <v>4</v>
      </c>
      <c r="Y403" s="23">
        <v>717</v>
      </c>
      <c r="Z403" s="34" t="str">
        <f>IF(ISERROR(VLOOKUP(Y403,'Data inputs '!$N$4:$O$23,2,0)),"",(VLOOKUP(Y403,'Data inputs '!$N$4:$O$23,2,0)))</f>
        <v>C/S ROK</v>
      </c>
      <c r="AA403" s="34">
        <v>112158</v>
      </c>
      <c r="AB403" s="5"/>
      <c r="AC403" s="5"/>
      <c r="AE403" s="10">
        <f ca="1"/>
        <v>0.555151550987114</v>
      </c>
      <c r="AF403" s="10">
        <v>0.57565454083525647</v>
      </c>
    </row>
    <row r="404" spans="1:38" s="10" customFormat="1" ht="28.5" customHeight="1">
      <c r="A404" s="96"/>
      <c r="B404" s="5" t="s">
        <v>66</v>
      </c>
      <c r="C404" s="5" t="s">
        <v>67</v>
      </c>
      <c r="D404" s="5" t="s">
        <v>21</v>
      </c>
      <c r="E404" s="5" t="s">
        <v>112</v>
      </c>
      <c r="F404" s="5" t="s">
        <v>107</v>
      </c>
      <c r="G404" s="35" t="s">
        <v>163</v>
      </c>
      <c r="H404" s="44">
        <f>(138600+10000)+26076.17</f>
        <v>174676.16999999998</v>
      </c>
      <c r="I404" s="44">
        <f>Table1[[#This Row],[Contracted Amount]]*AF404</f>
        <v>88872.90099949349</v>
      </c>
      <c r="J404" s="46"/>
      <c r="K404" s="46">
        <f>Table1[[#This Row],[Actual Expenditure (including admin fees)]]*AF404</f>
        <v>0</v>
      </c>
      <c r="L404" s="35" t="s">
        <v>71</v>
      </c>
      <c r="M404" s="42"/>
      <c r="N404" s="42">
        <v>44657</v>
      </c>
      <c r="O404" s="100"/>
      <c r="P404" s="42"/>
      <c r="Q404" s="42"/>
      <c r="R404" s="118"/>
      <c r="S404" s="35" t="s">
        <v>478</v>
      </c>
      <c r="T404" s="89" t="s">
        <v>560</v>
      </c>
      <c r="U404" s="9">
        <v>44735</v>
      </c>
      <c r="V404" s="118" t="s">
        <v>478</v>
      </c>
      <c r="W404" s="118" t="s">
        <v>130</v>
      </c>
      <c r="X404" s="136">
        <v>1</v>
      </c>
      <c r="Y404" s="23">
        <v>232</v>
      </c>
      <c r="Z404" s="34" t="str">
        <f>IF(ISERROR(VLOOKUP(Y404,'Data inputs '!$N$4:$O$23,2,0)),"",(VLOOKUP(Y404,'Data inputs '!$N$4:$O$23,2,0)))</f>
        <v>Switzerland</v>
      </c>
      <c r="AA404" s="34">
        <v>112158</v>
      </c>
      <c r="AB404" s="5"/>
      <c r="AC404" s="5"/>
      <c r="AE404" s="10">
        <f ca="1"/>
        <v>0.63838404893186973</v>
      </c>
      <c r="AF404" s="10">
        <v>0.50878663643411404</v>
      </c>
    </row>
    <row r="405" spans="1:38" s="10" customFormat="1" ht="28.5" customHeight="1">
      <c r="A405" s="96"/>
      <c r="B405" s="5" t="s">
        <v>66</v>
      </c>
      <c r="C405" s="5" t="s">
        <v>67</v>
      </c>
      <c r="D405" s="5" t="s">
        <v>21</v>
      </c>
      <c r="E405" s="5" t="s">
        <v>112</v>
      </c>
      <c r="F405" s="5" t="s">
        <v>107</v>
      </c>
      <c r="G405" s="35" t="s">
        <v>163</v>
      </c>
      <c r="H405" s="44">
        <f>(96600+8367)+18419.5</f>
        <v>123386.5</v>
      </c>
      <c r="I405" s="44">
        <f>Table1[[#This Row],[Contracted Amount]]*AF405</f>
        <v>82658.733285820301</v>
      </c>
      <c r="J405" s="46"/>
      <c r="K405" s="46">
        <f>Table1[[#This Row],[Actual Expenditure (including admin fees)]]*AF405</f>
        <v>0</v>
      </c>
      <c r="L405" s="35" t="s">
        <v>71</v>
      </c>
      <c r="M405" s="42"/>
      <c r="N405" s="42">
        <v>44657</v>
      </c>
      <c r="O405" s="100"/>
      <c r="P405" s="42"/>
      <c r="Q405" s="42"/>
      <c r="R405" s="118"/>
      <c r="S405" s="35" t="s">
        <v>478</v>
      </c>
      <c r="T405" s="130" t="s">
        <v>561</v>
      </c>
      <c r="U405" s="9">
        <v>44659</v>
      </c>
      <c r="V405" s="118" t="s">
        <v>478</v>
      </c>
      <c r="W405" s="118" t="s">
        <v>114</v>
      </c>
      <c r="X405" s="136">
        <v>2</v>
      </c>
      <c r="Y405" s="23">
        <v>187</v>
      </c>
      <c r="Z405" s="34" t="str">
        <f>IF(ISERROR(VLOOKUP(Y405,'Data inputs '!$N$4:$O$23,2,0)),"",(VLOOKUP(Y405,'Data inputs '!$N$4:$O$23,2,0)))</f>
        <v>Norway</v>
      </c>
      <c r="AA405" s="34" t="s">
        <v>264</v>
      </c>
      <c r="AB405" s="5"/>
      <c r="AC405" s="5"/>
      <c r="AE405" s="10">
        <f ca="1"/>
        <v>0.53726164335676541</v>
      </c>
      <c r="AF405" s="10">
        <v>0.669917156948453</v>
      </c>
    </row>
    <row r="406" spans="1:38" s="10" customFormat="1" ht="28.5" customHeight="1">
      <c r="A406" s="96"/>
      <c r="B406" s="5" t="s">
        <v>66</v>
      </c>
      <c r="C406" s="5" t="s">
        <v>67</v>
      </c>
      <c r="D406" s="5" t="s">
        <v>21</v>
      </c>
      <c r="E406" s="5" t="s">
        <v>112</v>
      </c>
      <c r="F406" s="5" t="s">
        <v>107</v>
      </c>
      <c r="G406" s="35" t="s">
        <v>163</v>
      </c>
      <c r="H406" s="63">
        <v>150000</v>
      </c>
      <c r="I406" s="63">
        <f>Table1[[#This Row],[Contracted Amount]]*AF406</f>
        <v>104407.68169948194</v>
      </c>
      <c r="J406" s="46"/>
      <c r="K406" s="46">
        <f>Table1[[#This Row],[Actual Expenditure (including admin fees)]]*AF406</f>
        <v>0</v>
      </c>
      <c r="L406" s="35" t="s">
        <v>93</v>
      </c>
      <c r="M406" s="42"/>
      <c r="N406" s="42"/>
      <c r="O406" s="100"/>
      <c r="P406" s="42"/>
      <c r="Q406" s="42"/>
      <c r="R406" s="118"/>
      <c r="S406" s="35" t="s">
        <v>76</v>
      </c>
      <c r="T406" s="89" t="s">
        <v>562</v>
      </c>
      <c r="U406" s="9">
        <v>43983</v>
      </c>
      <c r="V406" s="118" t="s">
        <v>245</v>
      </c>
      <c r="W406" s="118" t="s">
        <v>130</v>
      </c>
      <c r="X406" s="136">
        <v>1</v>
      </c>
      <c r="Y406" s="23"/>
      <c r="Z406" s="34"/>
      <c r="AA406" s="34"/>
      <c r="AB406" s="5"/>
      <c r="AC406" s="5"/>
      <c r="AE406" s="10">
        <f ca="1"/>
        <v>0.55710155234546566</v>
      </c>
      <c r="AF406" s="10">
        <v>0.69605121132987957</v>
      </c>
    </row>
    <row r="407" spans="1:38" s="10" customFormat="1" ht="28.5" customHeight="1">
      <c r="A407" s="96"/>
      <c r="B407" s="5" t="s">
        <v>84</v>
      </c>
      <c r="C407" s="5" t="s">
        <v>67</v>
      </c>
      <c r="D407" s="5" t="s">
        <v>21</v>
      </c>
      <c r="E407" s="5" t="s">
        <v>112</v>
      </c>
      <c r="F407" s="5" t="s">
        <v>119</v>
      </c>
      <c r="G407" s="35" t="s">
        <v>163</v>
      </c>
      <c r="H407" s="44">
        <v>62836</v>
      </c>
      <c r="I407" s="44">
        <f>Table1[[#This Row],[Contracted Amount]]*AF407</f>
        <v>45237.432020595486</v>
      </c>
      <c r="J407" s="44">
        <f>56552.4+6238.6</f>
        <v>62791</v>
      </c>
      <c r="K407" s="44">
        <f>Table1[[#This Row],[Actual Expenditure (including admin fees)]]*AF407</f>
        <v>45205.035234661831</v>
      </c>
      <c r="L407" s="35" t="s">
        <v>71</v>
      </c>
      <c r="M407" s="42" t="s">
        <v>72</v>
      </c>
      <c r="N407" s="92">
        <v>44303</v>
      </c>
      <c r="O407" s="100" t="s">
        <v>73</v>
      </c>
      <c r="P407" s="42">
        <v>44308</v>
      </c>
      <c r="Q407" s="42">
        <v>44315</v>
      </c>
      <c r="R407" s="42">
        <v>44453</v>
      </c>
      <c r="S407" s="35" t="s">
        <v>71</v>
      </c>
      <c r="T407" s="91" t="s">
        <v>563</v>
      </c>
      <c r="U407" s="9">
        <v>44455</v>
      </c>
      <c r="V407" s="118" t="s">
        <v>71</v>
      </c>
      <c r="W407" s="119" t="s">
        <v>120</v>
      </c>
      <c r="X407" s="136">
        <v>1</v>
      </c>
      <c r="Y407" s="23">
        <v>10159</v>
      </c>
      <c r="Z407" s="34" t="s">
        <v>228</v>
      </c>
      <c r="AA407" s="34">
        <v>122619</v>
      </c>
      <c r="AB407" s="107">
        <f>31+12/60+38.1/3600</f>
        <v>31.210583333333332</v>
      </c>
      <c r="AC407" s="107">
        <f>16+35/60+12.2/3600</f>
        <v>16.586722222222221</v>
      </c>
      <c r="AE407" s="10">
        <f ca="1"/>
        <v>0.59995218254540084</v>
      </c>
      <c r="AF407" s="10">
        <v>0.71992857630332108</v>
      </c>
    </row>
    <row r="408" spans="1:38" s="15" customFormat="1" ht="28.5" customHeight="1">
      <c r="B408" s="5" t="s">
        <v>66</v>
      </c>
      <c r="C408" s="5" t="s">
        <v>67</v>
      </c>
      <c r="D408" s="47" t="s">
        <v>21</v>
      </c>
      <c r="E408" s="5" t="s">
        <v>4</v>
      </c>
      <c r="F408" s="5" t="s">
        <v>107</v>
      </c>
      <c r="G408" s="35" t="s">
        <v>163</v>
      </c>
      <c r="H408" s="63">
        <v>162047.06</v>
      </c>
      <c r="I408" s="63">
        <f>Table1[[#This Row],[Contracted Amount]]*AF408</f>
        <v>119327.89275319611</v>
      </c>
      <c r="J408" s="46"/>
      <c r="K408" s="46">
        <f>Table1[[#This Row],[Actual Expenditure (including admin fees)]]*AF408</f>
        <v>0</v>
      </c>
      <c r="L408" s="55" t="s">
        <v>71</v>
      </c>
      <c r="M408" s="42"/>
      <c r="N408" s="42"/>
      <c r="O408" s="100"/>
      <c r="P408" s="42"/>
      <c r="Q408" s="42"/>
      <c r="R408" s="42"/>
      <c r="S408" s="35" t="s">
        <v>76</v>
      </c>
      <c r="T408" s="91" t="s">
        <v>564</v>
      </c>
      <c r="U408" s="9">
        <v>44242</v>
      </c>
      <c r="V408" s="118" t="s">
        <v>245</v>
      </c>
      <c r="W408" s="119" t="s">
        <v>108</v>
      </c>
      <c r="X408" s="136">
        <v>1</v>
      </c>
      <c r="Y408" s="23"/>
      <c r="Z408" s="34"/>
      <c r="AA408" s="114"/>
      <c r="AB408" s="5"/>
      <c r="AC408" s="137"/>
      <c r="AE408" s="15">
        <f ca="1"/>
        <v>0.59982847029395547</v>
      </c>
      <c r="AF408" s="15">
        <v>0.7363780173068003</v>
      </c>
      <c r="AI408" s="101"/>
      <c r="AJ408" s="86"/>
      <c r="AK408" s="20"/>
      <c r="AL408" s="20"/>
    </row>
    <row r="409" spans="1:38" s="15" customFormat="1" ht="28.5" customHeight="1">
      <c r="B409" s="5" t="s">
        <v>84</v>
      </c>
      <c r="C409" s="5" t="s">
        <v>67</v>
      </c>
      <c r="D409" s="5" t="s">
        <v>21</v>
      </c>
      <c r="E409" s="5" t="s">
        <v>96</v>
      </c>
      <c r="F409" s="5" t="s">
        <v>97</v>
      </c>
      <c r="G409" s="35" t="s">
        <v>163</v>
      </c>
      <c r="H409" s="44">
        <v>250000</v>
      </c>
      <c r="I409" s="44">
        <f>Table1[[#This Row],[Contracted Amount]]*AF409</f>
        <v>137591.97310304779</v>
      </c>
      <c r="J409" s="46"/>
      <c r="K409" s="46">
        <f>Table1[[#This Row],[Actual Expenditure (including admin fees)]]*AF409</f>
        <v>0</v>
      </c>
      <c r="L409" s="55" t="s">
        <v>71</v>
      </c>
      <c r="M409" s="42" t="s">
        <v>72</v>
      </c>
      <c r="N409" s="42">
        <v>44807</v>
      </c>
      <c r="O409" s="100" t="s">
        <v>199</v>
      </c>
      <c r="P409" s="42">
        <v>44808</v>
      </c>
      <c r="Q409" s="42"/>
      <c r="R409" s="42"/>
      <c r="S409" s="35" t="s">
        <v>478</v>
      </c>
      <c r="T409" s="91" t="s">
        <v>565</v>
      </c>
      <c r="U409" s="9">
        <v>44811</v>
      </c>
      <c r="V409" s="118" t="s">
        <v>478</v>
      </c>
      <c r="W409" s="119" t="s">
        <v>98</v>
      </c>
      <c r="X409" s="136">
        <v>1</v>
      </c>
      <c r="Y409" s="23">
        <v>141</v>
      </c>
      <c r="Z409" s="34" t="str">
        <f>IF(ISERROR(VLOOKUP(Y409,'Data inputs '!$N$4:$O$23,2,0)),"",(VLOOKUP(Y409,'Data inputs '!$N$4:$O$23,2,0)))</f>
        <v>Japan</v>
      </c>
      <c r="AA409" s="114">
        <v>127766</v>
      </c>
      <c r="AB409" s="107">
        <f>31+11/60+42.8/3600</f>
        <v>31.195222222222224</v>
      </c>
      <c r="AC409" s="107">
        <f>16+34/60+36/3600</f>
        <v>16.576666666666668</v>
      </c>
      <c r="AE409" s="15">
        <f ca="1"/>
        <v>0.6210967287796717</v>
      </c>
      <c r="AF409" s="15">
        <v>0.5503678924121912</v>
      </c>
      <c r="AI409" s="101"/>
      <c r="AJ409" s="86"/>
      <c r="AK409" s="20"/>
      <c r="AL409" s="20"/>
    </row>
    <row r="410" spans="1:38" s="15" customFormat="1" ht="28.5" customHeight="1">
      <c r="B410" s="5" t="s">
        <v>66</v>
      </c>
      <c r="C410" s="5" t="s">
        <v>67</v>
      </c>
      <c r="D410" s="5" t="s">
        <v>21</v>
      </c>
      <c r="E410" s="5" t="s">
        <v>4</v>
      </c>
      <c r="F410" s="5" t="s">
        <v>90</v>
      </c>
      <c r="G410" s="35" t="s">
        <v>163</v>
      </c>
      <c r="H410" s="44">
        <f>(92400+10000)+17969.04</f>
        <v>120369.04000000001</v>
      </c>
      <c r="I410" s="44">
        <f>Table1[[#This Row],[Contracted Amount]]*AF410</f>
        <v>71745.301755874389</v>
      </c>
      <c r="J410" s="46"/>
      <c r="K410" s="46">
        <f>Table1[[#This Row],[Actual Expenditure (including admin fees)]]*AF410</f>
        <v>0</v>
      </c>
      <c r="L410" s="55" t="s">
        <v>71</v>
      </c>
      <c r="M410" s="42"/>
      <c r="N410" s="42">
        <v>44657</v>
      </c>
      <c r="O410" s="100"/>
      <c r="P410" s="42"/>
      <c r="Q410" s="42"/>
      <c r="R410" s="42"/>
      <c r="S410" s="35" t="s">
        <v>478</v>
      </c>
      <c r="T410" s="91" t="s">
        <v>566</v>
      </c>
      <c r="U410" s="9">
        <v>44777</v>
      </c>
      <c r="V410" s="118" t="s">
        <v>478</v>
      </c>
      <c r="W410" s="119" t="s">
        <v>91</v>
      </c>
      <c r="X410" s="136">
        <v>2</v>
      </c>
      <c r="Y410" s="23">
        <v>141</v>
      </c>
      <c r="Z410" s="34" t="str">
        <f>IF(ISERROR(VLOOKUP(Y410,'Data inputs '!$N$4:$O$23,2,0)),"",(VLOOKUP(Y410,'Data inputs '!$N$4:$O$23,2,0)))</f>
        <v>Japan</v>
      </c>
      <c r="AA410" s="114" t="s">
        <v>567</v>
      </c>
      <c r="AB410" s="5"/>
      <c r="AC410" s="137"/>
      <c r="AE410" s="15">
        <f ca="1"/>
        <v>0.63543279778597128</v>
      </c>
      <c r="AF410" s="15">
        <v>0.59604447917732317</v>
      </c>
      <c r="AI410" s="101"/>
      <c r="AJ410" s="86"/>
      <c r="AK410" s="20"/>
      <c r="AL410" s="20"/>
    </row>
    <row r="411" spans="1:38" s="10" customFormat="1" ht="28.5" customHeight="1">
      <c r="A411" s="96">
        <v>368</v>
      </c>
      <c r="B411" s="17"/>
      <c r="C411" s="17"/>
      <c r="D411" s="17" t="s">
        <v>22</v>
      </c>
      <c r="E411" s="17" t="s">
        <v>442</v>
      </c>
      <c r="F411" s="78"/>
      <c r="G411" s="35" t="s">
        <v>162</v>
      </c>
      <c r="H411" s="44"/>
      <c r="I411" s="44">
        <f>Table1[[#This Row],[Contracted Amount]]*AF411</f>
        <v>0</v>
      </c>
      <c r="J411" s="46"/>
      <c r="K411" s="46">
        <f>Table1[[#This Row],[Actual Expenditure (including admin fees)]]*AF411</f>
        <v>0</v>
      </c>
      <c r="L411" s="35" t="s">
        <v>75</v>
      </c>
      <c r="M411" s="42"/>
      <c r="N411" s="42"/>
      <c r="O411" s="100"/>
      <c r="P411" s="42"/>
      <c r="Q411" s="42"/>
      <c r="R411" s="42"/>
      <c r="S411" s="35"/>
      <c r="T411" s="89"/>
      <c r="U411" s="9"/>
      <c r="V411" s="118"/>
      <c r="W411" s="118"/>
      <c r="X411" s="136"/>
      <c r="Y411" s="23"/>
      <c r="Z411" s="34" t="str">
        <f>IF(ISERROR(VLOOKUP(Y411,'Data inputs '!$N$4:$O$23,2,0)),"",(VLOOKUP(Y411,'Data inputs '!$N$4:$O$23,2,0)))</f>
        <v/>
      </c>
      <c r="AA411" s="34"/>
      <c r="AB411" s="5"/>
      <c r="AC411" s="5"/>
      <c r="AE411" s="10">
        <f ca="1"/>
        <v>0.68081383978078003</v>
      </c>
      <c r="AF411" s="10">
        <v>0.73204491355791834</v>
      </c>
    </row>
    <row r="412" spans="1:38" s="10" customFormat="1" ht="28.5" customHeight="1">
      <c r="A412" s="96"/>
      <c r="B412" s="5" t="s">
        <v>84</v>
      </c>
      <c r="C412" s="5" t="s">
        <v>67</v>
      </c>
      <c r="D412" s="5" t="s">
        <v>22</v>
      </c>
      <c r="E412" s="5" t="s">
        <v>96</v>
      </c>
      <c r="F412" s="29" t="s">
        <v>97</v>
      </c>
      <c r="G412" s="35" t="s">
        <v>162</v>
      </c>
      <c r="H412" s="44"/>
      <c r="I412" s="44">
        <f>Table1[[#This Row],[Contracted Amount]]*AF412</f>
        <v>0</v>
      </c>
      <c r="J412" s="46"/>
      <c r="K412" s="46">
        <f>Table1[[#This Row],[Actual Expenditure (including admin fees)]]*AF412</f>
        <v>0</v>
      </c>
      <c r="L412" s="35" t="s">
        <v>71</v>
      </c>
      <c r="M412" s="42"/>
      <c r="N412" s="42"/>
      <c r="O412" s="100"/>
      <c r="P412" s="42"/>
      <c r="Q412" s="42"/>
      <c r="R412" s="118"/>
      <c r="S412" s="99" t="s">
        <v>266</v>
      </c>
      <c r="T412" s="89" t="s">
        <v>568</v>
      </c>
      <c r="U412" s="9">
        <v>43721</v>
      </c>
      <c r="V412" s="118" t="s">
        <v>266</v>
      </c>
      <c r="W412" s="118"/>
      <c r="X412" s="136"/>
      <c r="Y412" s="23">
        <v>117</v>
      </c>
      <c r="Z412" s="34" t="str">
        <f>IF(ISERROR(VLOOKUP(Y412,'Data inputs '!$N$4:$O$23,2,0)),"",(VLOOKUP(Y412,'Data inputs '!$N$4:$O$23,2,0)))</f>
        <v>Germany(MOFA)</v>
      </c>
      <c r="AA412" s="34"/>
      <c r="AB412" s="5"/>
      <c r="AC412" s="5"/>
      <c r="AE412" s="10">
        <f ca="1"/>
        <v>0.63778262658906548</v>
      </c>
      <c r="AF412" s="10">
        <v>0.59982954984130166</v>
      </c>
    </row>
    <row r="413" spans="1:38" s="10" customFormat="1" ht="28.5" customHeight="1">
      <c r="A413" s="96"/>
      <c r="B413" s="5" t="s">
        <v>66</v>
      </c>
      <c r="C413" s="5" t="s">
        <v>67</v>
      </c>
      <c r="D413" s="5" t="s">
        <v>22</v>
      </c>
      <c r="E413" s="5" t="s">
        <v>4</v>
      </c>
      <c r="F413" s="5" t="s">
        <v>90</v>
      </c>
      <c r="G413" s="35" t="s">
        <v>162</v>
      </c>
      <c r="H413" s="63">
        <v>60000</v>
      </c>
      <c r="I413" s="63">
        <f>Table1[[#This Row],[Contracted Amount]]*AF413</f>
        <v>39020.110436383191</v>
      </c>
      <c r="J413" s="46"/>
      <c r="K413" s="46">
        <f>Table1[[#This Row],[Actual Expenditure (including admin fees)]]*AF413</f>
        <v>0</v>
      </c>
      <c r="L413" s="35" t="s">
        <v>71</v>
      </c>
      <c r="M413" s="42" t="s">
        <v>72</v>
      </c>
      <c r="N413" s="42">
        <f>Table1[[#This Row],[Actual completion date]]-270</f>
        <v>43435</v>
      </c>
      <c r="O413" s="100" t="s">
        <v>73</v>
      </c>
      <c r="P413" s="42"/>
      <c r="Q413" s="42"/>
      <c r="R413" s="42">
        <v>43705</v>
      </c>
      <c r="S413" s="36" t="s">
        <v>71</v>
      </c>
      <c r="T413" s="89" t="s">
        <v>569</v>
      </c>
      <c r="U413" s="9">
        <v>43878</v>
      </c>
      <c r="V413" s="118" t="s">
        <v>71</v>
      </c>
      <c r="W413" s="118" t="s">
        <v>91</v>
      </c>
      <c r="X413" s="136">
        <v>1</v>
      </c>
      <c r="Y413" s="23"/>
      <c r="Z413" s="34"/>
      <c r="AA413" s="34">
        <v>112158</v>
      </c>
      <c r="AB413" s="5"/>
      <c r="AC413" s="5"/>
      <c r="AE413" s="10">
        <f ca="1"/>
        <v>0.68808785446405052</v>
      </c>
      <c r="AF413" s="10">
        <v>0.65033517393971985</v>
      </c>
    </row>
    <row r="414" spans="1:38" s="10" customFormat="1" ht="28.5" customHeight="1">
      <c r="A414" s="96"/>
      <c r="B414" s="5" t="s">
        <v>84</v>
      </c>
      <c r="C414" s="5" t="s">
        <v>67</v>
      </c>
      <c r="D414" s="5" t="s">
        <v>22</v>
      </c>
      <c r="E414" s="5" t="s">
        <v>122</v>
      </c>
      <c r="F414" s="5" t="s">
        <v>132</v>
      </c>
      <c r="G414" s="35" t="s">
        <v>162</v>
      </c>
      <c r="H414" s="44">
        <f>7715.71+100000</f>
        <v>107715.71</v>
      </c>
      <c r="I414" s="44">
        <f>Table1[[#This Row],[Contracted Amount]]*AF414</f>
        <v>70864.459388234056</v>
      </c>
      <c r="J414" s="44">
        <f>7715.71+100000</f>
        <v>107715.71</v>
      </c>
      <c r="K414" s="44">
        <f>Table1[[#This Row],[Actual Expenditure (including admin fees)]]*AF414</f>
        <v>70864.459388234056</v>
      </c>
      <c r="L414" s="35" t="s">
        <v>71</v>
      </c>
      <c r="M414" s="42" t="s">
        <v>72</v>
      </c>
      <c r="N414" s="92">
        <v>43711</v>
      </c>
      <c r="O414" s="100" t="s">
        <v>73</v>
      </c>
      <c r="P414" s="42"/>
      <c r="Q414" s="42"/>
      <c r="R414" s="42">
        <v>43853</v>
      </c>
      <c r="S414" s="36" t="s">
        <v>71</v>
      </c>
      <c r="T414" s="89" t="s">
        <v>570</v>
      </c>
      <c r="U414" s="9">
        <v>43887</v>
      </c>
      <c r="V414" s="118" t="s">
        <v>71</v>
      </c>
      <c r="W414" s="118" t="s">
        <v>133</v>
      </c>
      <c r="X414" s="138">
        <v>1.5</v>
      </c>
      <c r="Y414" s="23" t="s">
        <v>262</v>
      </c>
      <c r="Z414" s="34" t="s">
        <v>571</v>
      </c>
      <c r="AA414" s="34">
        <v>112158</v>
      </c>
      <c r="AB414" s="5"/>
      <c r="AC414" s="5"/>
      <c r="AE414" s="10">
        <f ca="1"/>
        <v>0.59149376190560365</v>
      </c>
      <c r="AF414" s="10">
        <v>0.65788415996361205</v>
      </c>
    </row>
    <row r="415" spans="1:38" s="10" customFormat="1" ht="28.5" customHeight="1">
      <c r="A415" s="96"/>
      <c r="B415" s="5" t="s">
        <v>84</v>
      </c>
      <c r="C415" s="5" t="s">
        <v>67</v>
      </c>
      <c r="D415" s="5" t="s">
        <v>22</v>
      </c>
      <c r="E415" s="5" t="s">
        <v>96</v>
      </c>
      <c r="F415" s="5" t="s">
        <v>97</v>
      </c>
      <c r="G415" s="35" t="s">
        <v>162</v>
      </c>
      <c r="H415" s="44">
        <v>107085</v>
      </c>
      <c r="I415" s="44">
        <f>Table1[[#This Row],[Contracted Amount]]*AF415</f>
        <v>71058.616373744808</v>
      </c>
      <c r="J415" s="44">
        <f>107085*0.9+10708.5</f>
        <v>107085</v>
      </c>
      <c r="K415" s="44">
        <f>Table1[[#This Row],[Actual Expenditure (including admin fees)]]*AF415</f>
        <v>71058.616373744808</v>
      </c>
      <c r="L415" s="35" t="s">
        <v>71</v>
      </c>
      <c r="M415" s="42" t="s">
        <v>72</v>
      </c>
      <c r="N415" s="92">
        <v>43840</v>
      </c>
      <c r="O415" s="100" t="s">
        <v>73</v>
      </c>
      <c r="P415" s="42">
        <v>43963</v>
      </c>
      <c r="Q415" s="42"/>
      <c r="R415" s="42">
        <v>44019</v>
      </c>
      <c r="S415" s="56" t="s">
        <v>71</v>
      </c>
      <c r="T415" s="89" t="s">
        <v>572</v>
      </c>
      <c r="U415" s="9">
        <v>44021</v>
      </c>
      <c r="V415" s="118" t="s">
        <v>71</v>
      </c>
      <c r="W415" s="118" t="s">
        <v>98</v>
      </c>
      <c r="X415" s="136">
        <v>1</v>
      </c>
      <c r="Y415" s="23">
        <v>10283</v>
      </c>
      <c r="Z415" s="34" t="str">
        <f>IF(ISERROR(VLOOKUP(Y415,'Data inputs '!$N$4:$O$23,2,0)),"",(VLOOKUP(Y415,'Data inputs '!$N$4:$O$23,2,0)))</f>
        <v>Germay(KfW)</v>
      </c>
      <c r="AA415" s="34">
        <v>112158</v>
      </c>
      <c r="AB415" s="5"/>
      <c r="AC415" s="5"/>
      <c r="AE415" s="10">
        <f ca="1"/>
        <v>0.72375832901799431</v>
      </c>
      <c r="AF415" s="10">
        <v>0.66357208174576088</v>
      </c>
    </row>
    <row r="416" spans="1:38" s="10" customFormat="1" ht="28.5" customHeight="1">
      <c r="A416" s="96"/>
      <c r="B416" s="5" t="s">
        <v>84</v>
      </c>
      <c r="C416" s="5" t="s">
        <v>67</v>
      </c>
      <c r="D416" s="5" t="s">
        <v>22</v>
      </c>
      <c r="E416" s="5" t="s">
        <v>96</v>
      </c>
      <c r="F416" s="5" t="s">
        <v>97</v>
      </c>
      <c r="G416" s="35" t="s">
        <v>162</v>
      </c>
      <c r="H416" s="44">
        <v>98098.1</v>
      </c>
      <c r="I416" s="44">
        <f>Table1[[#This Row],[Contracted Amount]]*AF416</f>
        <v>49876.224349751952</v>
      </c>
      <c r="J416" s="44">
        <f>88274.13+9808.24</f>
        <v>98082.37000000001</v>
      </c>
      <c r="K416" s="44">
        <f>Table1[[#This Row],[Actual Expenditure (including admin fees)]]*AF416</f>
        <v>49868.226712600757</v>
      </c>
      <c r="L416" s="35" t="s">
        <v>71</v>
      </c>
      <c r="M416" s="42" t="s">
        <v>72</v>
      </c>
      <c r="N416" s="92">
        <v>43860</v>
      </c>
      <c r="O416" s="100" t="s">
        <v>73</v>
      </c>
      <c r="P416" s="42">
        <v>43963</v>
      </c>
      <c r="Q416" s="42"/>
      <c r="R416" s="42">
        <v>44039</v>
      </c>
      <c r="S416" s="56" t="s">
        <v>71</v>
      </c>
      <c r="T416" s="89" t="s">
        <v>573</v>
      </c>
      <c r="U416" s="9">
        <v>44040</v>
      </c>
      <c r="V416" s="118" t="s">
        <v>71</v>
      </c>
      <c r="W416" s="118" t="s">
        <v>98</v>
      </c>
      <c r="X416" s="136">
        <v>1</v>
      </c>
      <c r="Y416" s="23">
        <v>10283</v>
      </c>
      <c r="Z416" s="34" t="str">
        <f>IF(ISERROR(VLOOKUP(Y416,'Data inputs '!$N$4:$O$23,2,0)),"",(VLOOKUP(Y416,'Data inputs '!$N$4:$O$23,2,0)))</f>
        <v>Germay(KfW)</v>
      </c>
      <c r="AA416" s="34">
        <v>112158</v>
      </c>
      <c r="AB416" s="5"/>
      <c r="AC416" s="5"/>
      <c r="AE416" s="10">
        <f ca="1"/>
        <v>0.55178201584557796</v>
      </c>
      <c r="AF416" s="10">
        <v>0.50843211387123655</v>
      </c>
    </row>
    <row r="417" spans="1:32" s="10" customFormat="1" ht="28.5" customHeight="1">
      <c r="A417" s="96"/>
      <c r="B417" s="5" t="s">
        <v>84</v>
      </c>
      <c r="C417" s="5" t="s">
        <v>67</v>
      </c>
      <c r="D417" s="5" t="s">
        <v>22</v>
      </c>
      <c r="E417" s="5" t="s">
        <v>96</v>
      </c>
      <c r="F417" s="5" t="s">
        <v>97</v>
      </c>
      <c r="G417" s="35" t="s">
        <v>162</v>
      </c>
      <c r="H417" s="44">
        <v>92414</v>
      </c>
      <c r="I417" s="44">
        <f>Table1[[#This Row],[Contracted Amount]]*AF417</f>
        <v>51601.346094715598</v>
      </c>
      <c r="J417" s="44">
        <f>83142+9238</f>
        <v>92380</v>
      </c>
      <c r="K417" s="44">
        <f>Table1[[#This Row],[Actual Expenditure (including admin fees)]]*AF417</f>
        <v>51582.361462871719</v>
      </c>
      <c r="L417" s="35" t="s">
        <v>71</v>
      </c>
      <c r="M417" s="42" t="s">
        <v>72</v>
      </c>
      <c r="N417" s="92">
        <v>43851</v>
      </c>
      <c r="O417" s="100" t="s">
        <v>73</v>
      </c>
      <c r="P417" s="42">
        <v>43963</v>
      </c>
      <c r="Q417" s="42">
        <v>43967</v>
      </c>
      <c r="R417" s="42">
        <v>44076</v>
      </c>
      <c r="S417" s="56" t="s">
        <v>71</v>
      </c>
      <c r="T417" s="89" t="s">
        <v>574</v>
      </c>
      <c r="U417" s="9">
        <v>44077</v>
      </c>
      <c r="V417" s="118" t="s">
        <v>71</v>
      </c>
      <c r="W417" s="118" t="s">
        <v>98</v>
      </c>
      <c r="X417" s="136">
        <v>1</v>
      </c>
      <c r="Y417" s="23">
        <v>10283</v>
      </c>
      <c r="Z417" s="34" t="str">
        <f>IF(ISERROR(VLOOKUP(Y417,'Data inputs '!$N$4:$O$23,2,0)),"",(VLOOKUP(Y417,'Data inputs '!$N$4:$O$23,2,0)))</f>
        <v>Germay(KfW)</v>
      </c>
      <c r="AA417" s="34">
        <v>112158</v>
      </c>
      <c r="AB417" s="5"/>
      <c r="AC417" s="5"/>
      <c r="AE417" s="10">
        <f ca="1"/>
        <v>0.67288985759091857</v>
      </c>
      <c r="AF417" s="10">
        <v>0.5583715248200013</v>
      </c>
    </row>
    <row r="418" spans="1:32" s="10" customFormat="1" ht="28.5" customHeight="1">
      <c r="A418" s="96"/>
      <c r="B418" s="5" t="s">
        <v>66</v>
      </c>
      <c r="C418" s="5" t="s">
        <v>67</v>
      </c>
      <c r="D418" s="5" t="s">
        <v>22</v>
      </c>
      <c r="E418" s="5" t="s">
        <v>112</v>
      </c>
      <c r="F418" s="89" t="s">
        <v>200</v>
      </c>
      <c r="G418" s="35" t="s">
        <v>162</v>
      </c>
      <c r="H418" s="44">
        <f>29391+8055.95+3083.9</f>
        <v>40530.85</v>
      </c>
      <c r="I418" s="44">
        <f>Table1[[#This Row],[Contracted Amount]]*AF418</f>
        <v>23771.756903088215</v>
      </c>
      <c r="J418" s="44">
        <f>29391+8055.95+3083.9</f>
        <v>40530.85</v>
      </c>
      <c r="K418" s="44">
        <f>Table1[[#This Row],[Actual Expenditure (including admin fees)]]*AF418</f>
        <v>23771.756903088215</v>
      </c>
      <c r="L418" s="35" t="s">
        <v>71</v>
      </c>
      <c r="M418" s="42" t="s">
        <v>72</v>
      </c>
      <c r="N418" s="92">
        <v>43950</v>
      </c>
      <c r="O418" s="100" t="s">
        <v>73</v>
      </c>
      <c r="P418" s="42"/>
      <c r="Q418" s="42"/>
      <c r="R418" s="118">
        <v>44135</v>
      </c>
      <c r="S418" s="55" t="s">
        <v>71</v>
      </c>
      <c r="T418" s="89" t="s">
        <v>575</v>
      </c>
      <c r="U418" s="9">
        <v>44705</v>
      </c>
      <c r="V418" s="118" t="s">
        <v>71</v>
      </c>
      <c r="W418" s="118" t="s">
        <v>139</v>
      </c>
      <c r="X418" s="136">
        <v>1</v>
      </c>
      <c r="Y418" s="23" t="s">
        <v>318</v>
      </c>
      <c r="Z418" s="88" t="s">
        <v>576</v>
      </c>
      <c r="AA418" s="34">
        <v>112158</v>
      </c>
      <c r="AB418" s="5"/>
      <c r="AC418" s="5"/>
      <c r="AE418" s="10">
        <f ca="1"/>
        <v>0.63081917662183695</v>
      </c>
      <c r="AF418" s="10">
        <v>0.58651019909743363</v>
      </c>
    </row>
    <row r="419" spans="1:32" s="10" customFormat="1" ht="28.5" customHeight="1">
      <c r="A419" s="96"/>
      <c r="B419" s="5" t="s">
        <v>84</v>
      </c>
      <c r="C419" s="5" t="s">
        <v>67</v>
      </c>
      <c r="D419" s="5" t="s">
        <v>22</v>
      </c>
      <c r="E419" s="5" t="s">
        <v>112</v>
      </c>
      <c r="F419" s="5" t="s">
        <v>119</v>
      </c>
      <c r="G419" s="35" t="s">
        <v>162</v>
      </c>
      <c r="H419" s="44">
        <v>8499.9</v>
      </c>
      <c r="I419" s="44">
        <f>Table1[[#This Row],[Contracted Amount]]*AF419</f>
        <v>5900.5733973308816</v>
      </c>
      <c r="J419" s="44">
        <f>7545.51+849.99</f>
        <v>8395.5</v>
      </c>
      <c r="K419" s="44">
        <f>Table1[[#This Row],[Actual Expenditure (including admin fees)]]*AF419</f>
        <v>5828.0996196768692</v>
      </c>
      <c r="L419" s="35" t="s">
        <v>71</v>
      </c>
      <c r="M419" s="42" t="s">
        <v>72</v>
      </c>
      <c r="N419" s="92">
        <v>44069</v>
      </c>
      <c r="O419" s="100" t="s">
        <v>73</v>
      </c>
      <c r="P419" s="42">
        <v>44076</v>
      </c>
      <c r="Q419" s="42">
        <v>44076</v>
      </c>
      <c r="R419" s="42">
        <v>44087</v>
      </c>
      <c r="S419" s="55" t="s">
        <v>71</v>
      </c>
      <c r="T419" s="89" t="s">
        <v>577</v>
      </c>
      <c r="U419" s="9">
        <v>44103</v>
      </c>
      <c r="V419" s="118" t="s">
        <v>71</v>
      </c>
      <c r="W419" s="118" t="s">
        <v>120</v>
      </c>
      <c r="X419" s="136">
        <v>1</v>
      </c>
      <c r="Y419" s="23">
        <v>10283</v>
      </c>
      <c r="Z419" s="34" t="str">
        <f>IF(ISERROR(VLOOKUP(Y419,'Data inputs '!$N$4:$O$23,2,0)),"",(VLOOKUP(Y419,'Data inputs '!$N$4:$O$23,2,0)))</f>
        <v>Germay(KfW)</v>
      </c>
      <c r="AA419" s="34">
        <v>112158</v>
      </c>
      <c r="AB419" s="5"/>
      <c r="AC419" s="5"/>
      <c r="AE419" s="10">
        <f ca="1"/>
        <v>0.67500760037899998</v>
      </c>
      <c r="AF419" s="10">
        <v>0.6941932725480161</v>
      </c>
    </row>
    <row r="420" spans="1:32" s="10" customFormat="1" ht="28.5" customHeight="1">
      <c r="A420" s="96"/>
      <c r="B420" s="5" t="s">
        <v>84</v>
      </c>
      <c r="C420" s="5" t="s">
        <v>67</v>
      </c>
      <c r="D420" s="5" t="s">
        <v>22</v>
      </c>
      <c r="E420" s="5" t="s">
        <v>122</v>
      </c>
      <c r="F420" s="5" t="s">
        <v>132</v>
      </c>
      <c r="G420" s="35" t="s">
        <v>162</v>
      </c>
      <c r="H420" s="44">
        <v>466125</v>
      </c>
      <c r="I420" s="44">
        <f>Table1[[#This Row],[Contracted Amount]]*AF420</f>
        <v>286228.13634702389</v>
      </c>
      <c r="J420" s="46">
        <f>279675+186450</f>
        <v>466125</v>
      </c>
      <c r="K420" s="46">
        <f>Table1[[#This Row],[Actual Expenditure (including admin fees)]]*AF420</f>
        <v>286228.13634702389</v>
      </c>
      <c r="L420" s="35" t="s">
        <v>71</v>
      </c>
      <c r="M420" s="42" t="s">
        <v>72</v>
      </c>
      <c r="N420" s="92">
        <v>44151</v>
      </c>
      <c r="O420" s="100" t="s">
        <v>73</v>
      </c>
      <c r="P420" s="42">
        <v>44182</v>
      </c>
      <c r="Q420" s="42"/>
      <c r="R420" s="42">
        <v>44431</v>
      </c>
      <c r="S420" s="55" t="s">
        <v>71</v>
      </c>
      <c r="T420" s="91" t="s">
        <v>578</v>
      </c>
      <c r="U420" s="9">
        <v>44440</v>
      </c>
      <c r="V420" s="118" t="s">
        <v>71</v>
      </c>
      <c r="W420" s="118" t="s">
        <v>133</v>
      </c>
      <c r="X420" s="138">
        <v>3.5</v>
      </c>
      <c r="Y420" s="23">
        <v>10159</v>
      </c>
      <c r="Z420" s="34" t="s">
        <v>228</v>
      </c>
      <c r="AA420" s="34">
        <v>122619</v>
      </c>
      <c r="AB420" s="5"/>
      <c r="AC420" s="5"/>
      <c r="AE420" s="10">
        <f ca="1"/>
        <v>0.51460391669901839</v>
      </c>
      <c r="AF420" s="10">
        <v>0.61405875322504455</v>
      </c>
    </row>
    <row r="421" spans="1:32" s="10" customFormat="1" ht="28.5" customHeight="1">
      <c r="A421" s="96"/>
      <c r="B421" s="5" t="s">
        <v>66</v>
      </c>
      <c r="C421" s="5" t="s">
        <v>67</v>
      </c>
      <c r="D421" s="5" t="s">
        <v>22</v>
      </c>
      <c r="E421" s="5" t="s">
        <v>81</v>
      </c>
      <c r="F421" s="5" t="s">
        <v>82</v>
      </c>
      <c r="G421" s="35" t="s">
        <v>162</v>
      </c>
      <c r="H421" s="44">
        <f>143850+22858.5/3+36850.8/2</f>
        <v>169894.9</v>
      </c>
      <c r="I421" s="44">
        <f>Table1[[#This Row],[Contracted Amount]]*AF421</f>
        <v>112989.88250103978</v>
      </c>
      <c r="J421" s="46">
        <f>142300+20412/3+32956/2</f>
        <v>165582</v>
      </c>
      <c r="K421" s="46">
        <f>Table1[[#This Row],[Actual Expenditure (including admin fees)]]*AF421</f>
        <v>110121.55588123699</v>
      </c>
      <c r="L421" s="35" t="s">
        <v>71</v>
      </c>
      <c r="M421" s="42" t="s">
        <v>72</v>
      </c>
      <c r="N421" s="92">
        <v>44196</v>
      </c>
      <c r="O421" s="100" t="s">
        <v>73</v>
      </c>
      <c r="P421" s="42"/>
      <c r="Q421" s="42"/>
      <c r="R421" s="42">
        <v>44642</v>
      </c>
      <c r="S421" s="55" t="s">
        <v>71</v>
      </c>
      <c r="T421" s="91" t="s">
        <v>579</v>
      </c>
      <c r="U421" s="9">
        <v>44644</v>
      </c>
      <c r="V421" s="118" t="s">
        <v>71</v>
      </c>
      <c r="W421" s="119" t="s">
        <v>83</v>
      </c>
      <c r="X421" s="136">
        <v>1</v>
      </c>
      <c r="Y421" s="23">
        <v>151</v>
      </c>
      <c r="Z421" s="34" t="str">
        <f>IF(ISERROR(VLOOKUP(Y421,'Data inputs '!$N$4:$O$23,2,0)),"",(VLOOKUP(Y421,'Data inputs '!$N$4:$O$23,2,0)))</f>
        <v>Gov't of Libya</v>
      </c>
      <c r="AA421" s="114">
        <v>112158</v>
      </c>
      <c r="AB421" s="5"/>
      <c r="AC421" s="5"/>
      <c r="AE421" s="10">
        <f ca="1"/>
        <v>0.69552166404353721</v>
      </c>
      <c r="AF421" s="10">
        <v>0.66505752969064869</v>
      </c>
    </row>
    <row r="422" spans="1:32" s="10" customFormat="1" ht="28.5" customHeight="1">
      <c r="A422" s="96">
        <v>369</v>
      </c>
      <c r="B422" s="5" t="s">
        <v>66</v>
      </c>
      <c r="C422" s="5" t="s">
        <v>67</v>
      </c>
      <c r="D422" s="5" t="s">
        <v>22</v>
      </c>
      <c r="E422" s="5" t="s">
        <v>81</v>
      </c>
      <c r="F422" s="5" t="s">
        <v>185</v>
      </c>
      <c r="G422" s="35" t="s">
        <v>162</v>
      </c>
      <c r="H422" s="44">
        <f>86100+22858.5/3+36850.8/2</f>
        <v>112144.9</v>
      </c>
      <c r="I422" s="44">
        <f>Table1[[#This Row],[Contracted Amount]]*AF422</f>
        <v>65857.641341904629</v>
      </c>
      <c r="J422" s="46">
        <f>69100+20412/3+32956/2</f>
        <v>92382</v>
      </c>
      <c r="K422" s="46">
        <f>Table1[[#This Row],[Actual Expenditure (including admin fees)]]*AF422</f>
        <v>54251.781600838149</v>
      </c>
      <c r="L422" s="35" t="s">
        <v>71</v>
      </c>
      <c r="M422" s="42" t="s">
        <v>72</v>
      </c>
      <c r="N422" s="92">
        <v>44196</v>
      </c>
      <c r="O422" s="100" t="s">
        <v>73</v>
      </c>
      <c r="P422" s="42"/>
      <c r="Q422" s="42"/>
      <c r="R422" s="42">
        <v>44642</v>
      </c>
      <c r="S422" s="55" t="s">
        <v>71</v>
      </c>
      <c r="T422" s="91" t="s">
        <v>579</v>
      </c>
      <c r="U422" s="9">
        <v>44644</v>
      </c>
      <c r="V422" s="118" t="s">
        <v>71</v>
      </c>
      <c r="W422" s="119" t="s">
        <v>166</v>
      </c>
      <c r="X422" s="136">
        <v>1</v>
      </c>
      <c r="Y422" s="23">
        <v>151</v>
      </c>
      <c r="Z422" s="34" t="str">
        <f>IF(ISERROR(VLOOKUP(Y422,'Data inputs '!$N$4:$O$23,2,0)),"",(VLOOKUP(Y422,'Data inputs '!$N$4:$O$23,2,0)))</f>
        <v>Gov't of Libya</v>
      </c>
      <c r="AA422" s="114">
        <v>112158</v>
      </c>
      <c r="AB422" s="5"/>
      <c r="AC422" s="5"/>
      <c r="AE422" s="10">
        <f ca="1"/>
        <v>0.73595360608240057</v>
      </c>
      <c r="AF422" s="10">
        <v>0.5872548938195552</v>
      </c>
    </row>
    <row r="423" spans="1:32" s="10" customFormat="1" ht="28.5" customHeight="1">
      <c r="A423" s="96"/>
      <c r="B423" s="5" t="s">
        <v>66</v>
      </c>
      <c r="C423" s="5" t="s">
        <v>67</v>
      </c>
      <c r="D423" s="5" t="s">
        <v>22</v>
      </c>
      <c r="E423" s="5" t="s">
        <v>81</v>
      </c>
      <c r="F423" s="5" t="s">
        <v>113</v>
      </c>
      <c r="G423" s="35" t="s">
        <v>162</v>
      </c>
      <c r="H423" s="44">
        <f>96600+22858.5/3+8134.14</f>
        <v>112353.64</v>
      </c>
      <c r="I423" s="44">
        <f>Table1[[#This Row],[Contracted Amount]]*AF423</f>
        <v>64524.110737314491</v>
      </c>
      <c r="J423" s="44">
        <f>80200+20412/3+7562.52</f>
        <v>94566.52</v>
      </c>
      <c r="K423" s="44">
        <f>Table1[[#This Row],[Actual Expenditure (including admin fees)]]*AF423</f>
        <v>54309.060289657427</v>
      </c>
      <c r="L423" s="35" t="s">
        <v>71</v>
      </c>
      <c r="M423" s="42" t="s">
        <v>72</v>
      </c>
      <c r="N423" s="92">
        <v>44196</v>
      </c>
      <c r="O423" s="100" t="s">
        <v>73</v>
      </c>
      <c r="P423" s="42"/>
      <c r="Q423" s="42"/>
      <c r="R423" s="42">
        <v>44447</v>
      </c>
      <c r="S423" s="55" t="s">
        <v>71</v>
      </c>
      <c r="T423" s="91" t="s">
        <v>580</v>
      </c>
      <c r="U423" s="9">
        <v>44452</v>
      </c>
      <c r="V423" s="118" t="s">
        <v>71</v>
      </c>
      <c r="W423" s="119" t="s">
        <v>114</v>
      </c>
      <c r="X423" s="136">
        <v>2</v>
      </c>
      <c r="Y423" s="23">
        <v>151</v>
      </c>
      <c r="Z423" s="34" t="str">
        <f>IF(ISERROR(VLOOKUP(Y423,'Data inputs '!$N$4:$O$23,2,0)),"",(VLOOKUP(Y423,'Data inputs '!$N$4:$O$23,2,0)))</f>
        <v>Gov't of Libya</v>
      </c>
      <c r="AA423" s="114">
        <v>112158</v>
      </c>
      <c r="AB423" s="5"/>
      <c r="AC423" s="5"/>
      <c r="AE423" s="10">
        <f ca="1"/>
        <v>0.65671832785850726</v>
      </c>
      <c r="AF423" s="10">
        <v>0.57429479576553544</v>
      </c>
    </row>
    <row r="424" spans="1:32" s="10" customFormat="1" ht="28.5" customHeight="1">
      <c r="A424" s="96"/>
      <c r="B424" s="5" t="s">
        <v>84</v>
      </c>
      <c r="C424" s="5" t="s">
        <v>67</v>
      </c>
      <c r="D424" s="5" t="s">
        <v>22</v>
      </c>
      <c r="E424" s="5" t="s">
        <v>4</v>
      </c>
      <c r="F424" s="5" t="s">
        <v>85</v>
      </c>
      <c r="G424" s="35" t="s">
        <v>162</v>
      </c>
      <c r="H424" s="44">
        <v>249400</v>
      </c>
      <c r="I424" s="44">
        <f>Table1[[#This Row],[Contracted Amount]]*AF424</f>
        <v>138433.25971593393</v>
      </c>
      <c r="J424" s="46"/>
      <c r="K424" s="46">
        <f>Table1[[#This Row],[Actual Expenditure (including admin fees)]]*AF424</f>
        <v>0</v>
      </c>
      <c r="L424" s="35" t="s">
        <v>71</v>
      </c>
      <c r="M424" s="42" t="s">
        <v>72</v>
      </c>
      <c r="N424" s="92">
        <v>44583</v>
      </c>
      <c r="O424" s="100" t="s">
        <v>201</v>
      </c>
      <c r="P424" s="42">
        <v>44595</v>
      </c>
      <c r="Q424" s="42"/>
      <c r="R424" s="42"/>
      <c r="S424" s="55" t="s">
        <v>478</v>
      </c>
      <c r="T424" s="91" t="s">
        <v>581</v>
      </c>
      <c r="U424" s="9">
        <v>44713</v>
      </c>
      <c r="V424" s="118" t="s">
        <v>478</v>
      </c>
      <c r="W424" s="119" t="s">
        <v>86</v>
      </c>
      <c r="X424" s="136">
        <v>1</v>
      </c>
      <c r="Y424" s="23" t="s">
        <v>582</v>
      </c>
      <c r="Z424" s="34" t="s">
        <v>583</v>
      </c>
      <c r="AA424" s="114" t="s">
        <v>584</v>
      </c>
      <c r="AB424" s="5"/>
      <c r="AC424" s="5"/>
      <c r="AE424" s="10">
        <f ca="1"/>
        <v>0.69037988529526273</v>
      </c>
      <c r="AF424" s="10">
        <v>0.55506519533253385</v>
      </c>
    </row>
    <row r="425" spans="1:32" s="10" customFormat="1" ht="28.5" customHeight="1">
      <c r="A425" s="96"/>
      <c r="B425" s="5" t="s">
        <v>84</v>
      </c>
      <c r="C425" s="5" t="s">
        <v>67</v>
      </c>
      <c r="D425" s="5" t="s">
        <v>22</v>
      </c>
      <c r="E425" s="5" t="s">
        <v>112</v>
      </c>
      <c r="F425" s="5" t="s">
        <v>202</v>
      </c>
      <c r="G425" s="35" t="s">
        <v>162</v>
      </c>
      <c r="H425" s="44">
        <v>135200</v>
      </c>
      <c r="I425" s="44">
        <f>Table1[[#This Row],[Contracted Amount]]*AF425</f>
        <v>98419.046007414698</v>
      </c>
      <c r="J425" s="44">
        <v>135200</v>
      </c>
      <c r="K425" s="44">
        <f>Table1[[#This Row],[Actual Expenditure (including admin fees)]]*AF425</f>
        <v>98419.046007414698</v>
      </c>
      <c r="L425" s="143" t="s">
        <v>71</v>
      </c>
      <c r="M425" s="42" t="s">
        <v>72</v>
      </c>
      <c r="N425" s="92">
        <v>44319</v>
      </c>
      <c r="O425" s="100" t="s">
        <v>73</v>
      </c>
      <c r="P425" s="42">
        <v>44356</v>
      </c>
      <c r="Q425" s="42"/>
      <c r="R425" s="42">
        <v>44433</v>
      </c>
      <c r="S425" s="55" t="s">
        <v>71</v>
      </c>
      <c r="T425" s="91" t="s">
        <v>585</v>
      </c>
      <c r="U425" s="9">
        <v>44440</v>
      </c>
      <c r="V425" s="118" t="s">
        <v>71</v>
      </c>
      <c r="W425" s="119" t="s">
        <v>203</v>
      </c>
      <c r="X425" s="115">
        <v>1</v>
      </c>
      <c r="Y425" s="23">
        <v>11410</v>
      </c>
      <c r="Z425" s="34" t="str">
        <f>IF(ISERROR(VLOOKUP(Y425,'Data inputs '!$N$4:$O$23,2,0)),"",(VLOOKUP(Y425,'Data inputs '!$N$4:$O$23,2,0)))</f>
        <v>UK (FCO)</v>
      </c>
      <c r="AA425" s="114">
        <v>112158</v>
      </c>
      <c r="AB425" s="5"/>
      <c r="AC425" s="5"/>
      <c r="AE425" s="10">
        <f ca="1"/>
        <v>0.74116425255406959</v>
      </c>
      <c r="AF425" s="10">
        <v>0.72795152372348149</v>
      </c>
    </row>
    <row r="426" spans="1:32" s="10" customFormat="1" ht="28.5" customHeight="1">
      <c r="A426" s="96"/>
      <c r="B426" s="5" t="s">
        <v>84</v>
      </c>
      <c r="C426" s="5" t="s">
        <v>67</v>
      </c>
      <c r="D426" s="5" t="s">
        <v>22</v>
      </c>
      <c r="E426" s="5" t="s">
        <v>81</v>
      </c>
      <c r="F426" s="5" t="s">
        <v>115</v>
      </c>
      <c r="G426" s="35" t="s">
        <v>162</v>
      </c>
      <c r="H426" s="44">
        <f>360299.64+54000</f>
        <v>414299.64</v>
      </c>
      <c r="I426" s="44">
        <f>Table1[[#This Row],[Contracted Amount]]*AF426</f>
        <v>218721.20290400481</v>
      </c>
      <c r="J426" s="46"/>
      <c r="K426" s="46">
        <f>Table1[[#This Row],[Actual Expenditure (including admin fees)]]*AF426</f>
        <v>0</v>
      </c>
      <c r="L426" s="35" t="s">
        <v>71</v>
      </c>
      <c r="M426" s="42" t="s">
        <v>72</v>
      </c>
      <c r="N426" s="92">
        <v>44726</v>
      </c>
      <c r="O426" s="100" t="s">
        <v>199</v>
      </c>
      <c r="P426" s="42">
        <v>44734</v>
      </c>
      <c r="Q426" s="42"/>
      <c r="R426" s="93"/>
      <c r="S426" s="55" t="s">
        <v>478</v>
      </c>
      <c r="T426" s="91" t="s">
        <v>586</v>
      </c>
      <c r="U426" s="9">
        <v>44735</v>
      </c>
      <c r="V426" s="118" t="s">
        <v>478</v>
      </c>
      <c r="W426" s="119" t="s">
        <v>178</v>
      </c>
      <c r="X426" s="115">
        <v>1</v>
      </c>
      <c r="Y426" s="23" t="s">
        <v>587</v>
      </c>
      <c r="Z426" s="34" t="s">
        <v>588</v>
      </c>
      <c r="AA426" s="114">
        <v>112158</v>
      </c>
      <c r="AB426" s="5"/>
      <c r="AC426" s="5"/>
      <c r="AE426" s="10">
        <f ca="1"/>
        <v>0.72353793099097086</v>
      </c>
      <c r="AF426" s="10">
        <v>0.52792998541829483</v>
      </c>
    </row>
    <row r="427" spans="1:32" s="10" customFormat="1" ht="28.5" customHeight="1">
      <c r="A427" s="96">
        <v>370</v>
      </c>
      <c r="B427" s="17"/>
      <c r="C427" s="17"/>
      <c r="D427" s="17" t="s">
        <v>23</v>
      </c>
      <c r="E427" s="17" t="s">
        <v>442</v>
      </c>
      <c r="F427" s="78"/>
      <c r="G427" s="35" t="s">
        <v>163</v>
      </c>
      <c r="H427" s="44"/>
      <c r="I427" s="44">
        <f>Table1[[#This Row],[Contracted Amount]]*AF427</f>
        <v>0</v>
      </c>
      <c r="J427" s="46"/>
      <c r="K427" s="46">
        <f>Table1[[#This Row],[Actual Expenditure (including admin fees)]]*AF427</f>
        <v>0</v>
      </c>
      <c r="L427" s="35"/>
      <c r="M427" s="42"/>
      <c r="N427" s="42"/>
      <c r="O427" s="100"/>
      <c r="P427" s="42"/>
      <c r="Q427" s="42"/>
      <c r="R427" s="93"/>
      <c r="S427" s="17"/>
      <c r="T427" s="89"/>
      <c r="U427" s="9"/>
      <c r="V427" s="117"/>
      <c r="W427" s="117"/>
      <c r="X427" s="136"/>
      <c r="Y427" s="23"/>
      <c r="Z427" s="34" t="str">
        <f>IF(ISERROR(VLOOKUP(Y427,'Data inputs '!$N$4:$O$23,2,0)),"",(VLOOKUP(Y427,'Data inputs '!$N$4:$O$23,2,0)))</f>
        <v/>
      </c>
      <c r="AA427" s="34"/>
      <c r="AB427" s="5"/>
      <c r="AC427" s="5"/>
      <c r="AE427" s="10">
        <f ca="1"/>
        <v>0.71149230734474</v>
      </c>
      <c r="AF427" s="10">
        <v>0.72184886870112297</v>
      </c>
    </row>
    <row r="428" spans="1:32" s="10" customFormat="1" ht="28.5" customHeight="1">
      <c r="A428" s="96"/>
      <c r="B428" s="5" t="s">
        <v>66</v>
      </c>
      <c r="C428" s="5" t="s">
        <v>67</v>
      </c>
      <c r="D428" s="5" t="s">
        <v>23</v>
      </c>
      <c r="E428" s="5" t="s">
        <v>68</v>
      </c>
      <c r="F428" s="5" t="s">
        <v>204</v>
      </c>
      <c r="G428" s="35" t="s">
        <v>163</v>
      </c>
      <c r="H428" s="44">
        <f>2577720.2+249754.05+35217.23+4000</f>
        <v>2866691.48</v>
      </c>
      <c r="I428" s="44">
        <f>Table1[[#This Row],[Contracted Amount]]*AF428</f>
        <v>1715388.5235139194</v>
      </c>
      <c r="J428" s="44">
        <f>2310494.55+237757.21+30949.75</f>
        <v>2579201.5099999998</v>
      </c>
      <c r="K428" s="44">
        <f>Table1[[#This Row],[Actual Expenditure (including admin fees)]]*AF428</f>
        <v>1543358.5026330671</v>
      </c>
      <c r="L428" s="35" t="s">
        <v>71</v>
      </c>
      <c r="M428" s="42" t="s">
        <v>72</v>
      </c>
      <c r="N428" s="92">
        <v>43671</v>
      </c>
      <c r="O428" s="100" t="s">
        <v>73</v>
      </c>
      <c r="P428" s="42"/>
      <c r="Q428" s="42"/>
      <c r="R428" s="42">
        <v>43927</v>
      </c>
      <c r="S428" s="35" t="s">
        <v>71</v>
      </c>
      <c r="T428" s="89" t="s">
        <v>589</v>
      </c>
      <c r="U428" s="9">
        <v>44116</v>
      </c>
      <c r="V428" s="118" t="s">
        <v>71</v>
      </c>
      <c r="W428" s="118" t="s">
        <v>205</v>
      </c>
      <c r="X428" s="136">
        <f>20+5</f>
        <v>25</v>
      </c>
      <c r="Y428" s="132" t="s">
        <v>590</v>
      </c>
      <c r="Z428" s="88" t="s">
        <v>591</v>
      </c>
      <c r="AA428" s="34">
        <v>112158</v>
      </c>
      <c r="AB428" s="5"/>
      <c r="AC428" s="5"/>
      <c r="AE428" s="10">
        <f ca="1"/>
        <v>0.74657196829841577</v>
      </c>
      <c r="AF428" s="10">
        <v>0.59838616589250804</v>
      </c>
    </row>
    <row r="429" spans="1:32" s="10" customFormat="1" ht="28.15" customHeight="1">
      <c r="A429" s="96"/>
      <c r="B429" s="5" t="s">
        <v>66</v>
      </c>
      <c r="C429" s="5" t="s">
        <v>67</v>
      </c>
      <c r="D429" s="5" t="s">
        <v>23</v>
      </c>
      <c r="E429" s="5" t="s">
        <v>68</v>
      </c>
      <c r="F429" s="5" t="s">
        <v>204</v>
      </c>
      <c r="G429" s="35" t="s">
        <v>163</v>
      </c>
      <c r="H429" s="44">
        <f>830715.9+126994.82+1398+1710.93+800</f>
        <v>961619.65</v>
      </c>
      <c r="I429" s="44">
        <f>Table1[[#This Row],[Contracted Amount]]*AF429</f>
        <v>566802.26412543003</v>
      </c>
      <c r="J429" s="44">
        <f>752178.26+1398+1710.93+800+126994.02</f>
        <v>883081.21000000008</v>
      </c>
      <c r="K429" s="44">
        <f>Table1[[#This Row],[Actual Expenditure (including admin fees)]]*AF429</f>
        <v>520509.77664050896</v>
      </c>
      <c r="L429" s="35" t="s">
        <v>71</v>
      </c>
      <c r="M429" s="42" t="s">
        <v>72</v>
      </c>
      <c r="N429" s="92">
        <v>43790</v>
      </c>
      <c r="O429" s="100" t="s">
        <v>73</v>
      </c>
      <c r="P429" s="42"/>
      <c r="Q429" s="42"/>
      <c r="R429" s="42">
        <v>44013</v>
      </c>
      <c r="S429" s="35" t="s">
        <v>71</v>
      </c>
      <c r="T429" s="89" t="s">
        <v>592</v>
      </c>
      <c r="U429" s="9">
        <v>44027</v>
      </c>
      <c r="V429" s="118" t="s">
        <v>71</v>
      </c>
      <c r="W429" s="118" t="s">
        <v>205</v>
      </c>
      <c r="X429" s="136">
        <f>8+2</f>
        <v>10</v>
      </c>
      <c r="Y429" s="23" t="s">
        <v>262</v>
      </c>
      <c r="Z429" s="34" t="s">
        <v>571</v>
      </c>
      <c r="AA429" s="34">
        <v>112158</v>
      </c>
      <c r="AB429" s="5"/>
      <c r="AC429" s="5"/>
      <c r="AE429" s="10">
        <f ca="1"/>
        <v>0.57395834154483893</v>
      </c>
      <c r="AF429" s="10">
        <v>0.58942458603610071</v>
      </c>
    </row>
    <row r="430" spans="1:32" s="10" customFormat="1" ht="28.5" customHeight="1">
      <c r="A430" s="96"/>
      <c r="B430" s="5" t="s">
        <v>84</v>
      </c>
      <c r="C430" s="5" t="s">
        <v>67</v>
      </c>
      <c r="D430" s="5" t="s">
        <v>23</v>
      </c>
      <c r="E430" s="5" t="s">
        <v>112</v>
      </c>
      <c r="F430" s="5" t="s">
        <v>206</v>
      </c>
      <c r="G430" s="35" t="s">
        <v>163</v>
      </c>
      <c r="H430" s="44">
        <v>347200</v>
      </c>
      <c r="I430" s="44">
        <f>Table1[[#This Row],[Contracted Amount]]*AF430</f>
        <v>227413.89479230426</v>
      </c>
      <c r="J430" s="46"/>
      <c r="K430" s="46">
        <f>Table1[[#This Row],[Actual Expenditure (including admin fees)]]*AF430</f>
        <v>0</v>
      </c>
      <c r="L430" s="35" t="s">
        <v>71</v>
      </c>
      <c r="M430" s="42" t="s">
        <v>72</v>
      </c>
      <c r="N430" s="92">
        <v>44512</v>
      </c>
      <c r="O430" s="100"/>
      <c r="P430" s="42"/>
      <c r="Q430" s="42"/>
      <c r="R430" s="93"/>
      <c r="S430" s="35" t="s">
        <v>478</v>
      </c>
      <c r="T430" s="91" t="s">
        <v>593</v>
      </c>
      <c r="U430" s="9">
        <v>44735</v>
      </c>
      <c r="V430" s="118" t="s">
        <v>478</v>
      </c>
      <c r="W430" s="118" t="s">
        <v>207</v>
      </c>
      <c r="X430" s="138">
        <v>29.4</v>
      </c>
      <c r="Y430" s="23">
        <v>141</v>
      </c>
      <c r="Z430" s="34" t="str">
        <f>IF(ISERROR(VLOOKUP(Y430,'Data inputs '!$N$4:$O$23,2,0)),"",(VLOOKUP(Y430,'Data inputs '!$N$4:$O$23,2,0)))</f>
        <v>Japan</v>
      </c>
      <c r="AA430" s="34">
        <v>127766</v>
      </c>
      <c r="AB430" s="5"/>
      <c r="AC430" s="5"/>
      <c r="AE430" s="10">
        <f ca="1"/>
        <v>0.62231556976561453</v>
      </c>
      <c r="AF430" s="10">
        <v>0.65499393661377958</v>
      </c>
    </row>
    <row r="431" spans="1:32" s="10" customFormat="1" ht="28.5" customHeight="1">
      <c r="A431" s="96">
        <v>166</v>
      </c>
      <c r="B431" s="5" t="s">
        <v>84</v>
      </c>
      <c r="C431" s="5" t="s">
        <v>67</v>
      </c>
      <c r="D431" s="5" t="s">
        <v>23</v>
      </c>
      <c r="E431" s="5" t="s">
        <v>112</v>
      </c>
      <c r="F431" s="5" t="s">
        <v>121</v>
      </c>
      <c r="G431" s="35" t="s">
        <v>163</v>
      </c>
      <c r="H431" s="44">
        <f>757700+115441</f>
        <v>873141</v>
      </c>
      <c r="I431" s="44">
        <f>Table1[[#This Row],[Contracted Amount]]*AF431</f>
        <v>651825.18005150836</v>
      </c>
      <c r="J431" s="63">
        <f>247551.28+237200.4</f>
        <v>484751.68</v>
      </c>
      <c r="K431" s="63">
        <f>Table1[[#This Row],[Actual Expenditure (including admin fees)]]*AF431</f>
        <v>361881.24380400323</v>
      </c>
      <c r="L431" s="35" t="s">
        <v>71</v>
      </c>
      <c r="M431" s="42" t="s">
        <v>72</v>
      </c>
      <c r="N431" s="92">
        <v>44367</v>
      </c>
      <c r="O431" s="100" t="s">
        <v>195</v>
      </c>
      <c r="P431" s="42">
        <v>44468</v>
      </c>
      <c r="Q431" s="42"/>
      <c r="R431" s="42"/>
      <c r="S431" s="36" t="s">
        <v>478</v>
      </c>
      <c r="T431" s="89" t="s">
        <v>594</v>
      </c>
      <c r="U431" s="9">
        <v>44754</v>
      </c>
      <c r="V431" s="118" t="s">
        <v>478</v>
      </c>
      <c r="W431" s="118" t="s">
        <v>120</v>
      </c>
      <c r="X431" s="136">
        <v>1</v>
      </c>
      <c r="Y431" s="132" t="s">
        <v>595</v>
      </c>
      <c r="Z431" s="88" t="s">
        <v>596</v>
      </c>
      <c r="AA431" s="34">
        <v>112158</v>
      </c>
      <c r="AB431" s="5"/>
      <c r="AC431" s="5"/>
      <c r="AE431" s="10">
        <f ca="1"/>
        <v>0.72490444906997797</v>
      </c>
      <c r="AF431" s="10">
        <v>0.74652911734932659</v>
      </c>
    </row>
    <row r="432" spans="1:32" s="10" customFormat="1" ht="28.5" customHeight="1">
      <c r="A432" s="96"/>
      <c r="B432" s="5" t="s">
        <v>84</v>
      </c>
      <c r="C432" s="5" t="s">
        <v>67</v>
      </c>
      <c r="D432" s="5" t="s">
        <v>23</v>
      </c>
      <c r="E432" s="5" t="s">
        <v>4</v>
      </c>
      <c r="F432" s="29" t="s">
        <v>109</v>
      </c>
      <c r="G432" s="35" t="s">
        <v>163</v>
      </c>
      <c r="H432" s="44"/>
      <c r="I432" s="44">
        <f>Table1[[#This Row],[Contracted Amount]]*AF432</f>
        <v>0</v>
      </c>
      <c r="J432" s="46"/>
      <c r="K432" s="46">
        <f>Table1[[#This Row],[Actual Expenditure (including admin fees)]]*AF432</f>
        <v>0</v>
      </c>
      <c r="L432" s="35"/>
      <c r="M432" s="42"/>
      <c r="N432" s="42"/>
      <c r="O432" s="100"/>
      <c r="P432" s="42"/>
      <c r="Q432" s="42"/>
      <c r="R432" s="93"/>
      <c r="S432" s="35" t="s">
        <v>266</v>
      </c>
      <c r="T432" s="90" t="s">
        <v>597</v>
      </c>
      <c r="U432" s="9">
        <v>43847</v>
      </c>
      <c r="V432" s="118" t="s">
        <v>266</v>
      </c>
      <c r="W432" s="118"/>
      <c r="X432" s="136"/>
      <c r="Y432" s="23"/>
      <c r="Z432" s="34"/>
      <c r="AA432" s="34"/>
      <c r="AB432" s="5"/>
      <c r="AC432" s="5"/>
      <c r="AE432" s="10">
        <f ca="1"/>
        <v>0.53829466651039759</v>
      </c>
      <c r="AF432" s="10">
        <v>0.61026899584513883</v>
      </c>
    </row>
    <row r="433" spans="1:32" s="10" customFormat="1" ht="28.5" customHeight="1">
      <c r="A433" s="96"/>
      <c r="B433" s="5" t="s">
        <v>84</v>
      </c>
      <c r="C433" s="5" t="s">
        <v>67</v>
      </c>
      <c r="D433" s="5" t="s">
        <v>23</v>
      </c>
      <c r="E433" s="5" t="s">
        <v>112</v>
      </c>
      <c r="F433" s="5" t="s">
        <v>202</v>
      </c>
      <c r="G433" s="35" t="s">
        <v>163</v>
      </c>
      <c r="H433" s="44">
        <v>81900</v>
      </c>
      <c r="I433" s="44">
        <f>Table1[[#This Row],[Contracted Amount]]*AF433</f>
        <v>46816.139623175091</v>
      </c>
      <c r="J433" s="46">
        <v>81900</v>
      </c>
      <c r="K433" s="46">
        <f>Table1[[#This Row],[Actual Expenditure (including admin fees)]]*AF433</f>
        <v>46816.139623175091</v>
      </c>
      <c r="L433" s="35" t="s">
        <v>71</v>
      </c>
      <c r="M433" s="42" t="s">
        <v>72</v>
      </c>
      <c r="N433" s="42">
        <v>44195</v>
      </c>
      <c r="O433" s="100" t="s">
        <v>73</v>
      </c>
      <c r="P433" s="42"/>
      <c r="Q433" s="42"/>
      <c r="R433" s="42">
        <v>44286</v>
      </c>
      <c r="S433" s="35" t="s">
        <v>71</v>
      </c>
      <c r="T433" s="91" t="s">
        <v>598</v>
      </c>
      <c r="U433" s="9">
        <v>44286</v>
      </c>
      <c r="V433" s="118" t="s">
        <v>71</v>
      </c>
      <c r="W433" s="118" t="s">
        <v>203</v>
      </c>
      <c r="X433" s="136">
        <v>1</v>
      </c>
      <c r="Y433" s="23">
        <v>151</v>
      </c>
      <c r="Z433" s="34" t="str">
        <f>IF(ISERROR(VLOOKUP(Y433,'Data inputs '!$N$4:$O$23,2,0)),"",(VLOOKUP(Y433,'Data inputs '!$N$4:$O$23,2,0)))</f>
        <v>Gov't of Libya</v>
      </c>
      <c r="AA433" s="34">
        <v>112158</v>
      </c>
      <c r="AB433" s="5"/>
      <c r="AC433" s="5"/>
      <c r="AE433" s="10">
        <f ca="1"/>
        <v>0.6548287547033973</v>
      </c>
      <c r="AF433" s="10">
        <v>0.57162563642460429</v>
      </c>
    </row>
    <row r="434" spans="1:32" s="10" customFormat="1" ht="28.5" customHeight="1">
      <c r="A434" s="96">
        <v>371</v>
      </c>
      <c r="B434" s="5" t="s">
        <v>84</v>
      </c>
      <c r="C434" s="5" t="s">
        <v>67</v>
      </c>
      <c r="D434" s="5" t="s">
        <v>23</v>
      </c>
      <c r="E434" s="5" t="s">
        <v>112</v>
      </c>
      <c r="F434" s="5" t="s">
        <v>202</v>
      </c>
      <c r="G434" s="35" t="s">
        <v>163</v>
      </c>
      <c r="H434" s="44">
        <v>155064</v>
      </c>
      <c r="I434" s="44">
        <f>Table1[[#This Row],[Contracted Amount]]*AF434</f>
        <v>107037.36735165121</v>
      </c>
      <c r="J434" s="44">
        <v>82212</v>
      </c>
      <c r="K434" s="44">
        <f>Table1[[#This Row],[Actual Expenditure (including admin fees)]]*AF434</f>
        <v>56749.187720644055</v>
      </c>
      <c r="L434" s="35" t="s">
        <v>71</v>
      </c>
      <c r="M434" s="42" t="s">
        <v>72</v>
      </c>
      <c r="N434" s="92">
        <v>44294</v>
      </c>
      <c r="O434" s="100" t="s">
        <v>73</v>
      </c>
      <c r="P434" s="42"/>
      <c r="Q434" s="42"/>
      <c r="R434" s="42">
        <v>44782</v>
      </c>
      <c r="S434" s="35" t="s">
        <v>71</v>
      </c>
      <c r="T434" s="91" t="s">
        <v>599</v>
      </c>
      <c r="U434" s="9">
        <v>44785</v>
      </c>
      <c r="V434" s="118" t="s">
        <v>71</v>
      </c>
      <c r="W434" s="118" t="s">
        <v>203</v>
      </c>
      <c r="X434" s="136">
        <v>1</v>
      </c>
      <c r="Y434" s="23">
        <v>11410</v>
      </c>
      <c r="Z434" s="34" t="str">
        <f>IF(ISERROR(VLOOKUP(Y434,'Data inputs '!$N$4:$O$23,2,0)),"",(VLOOKUP(Y434,'Data inputs '!$N$4:$O$23,2,0)))</f>
        <v>UK (FCO)</v>
      </c>
      <c r="AA434" s="34">
        <v>112158</v>
      </c>
      <c r="AB434" s="5"/>
      <c r="AC434" s="5"/>
      <c r="AE434" s="10">
        <f ca="1"/>
        <v>0.64028045692163482</v>
      </c>
      <c r="AF434" s="10">
        <v>0.69027864205522371</v>
      </c>
    </row>
    <row r="435" spans="1:32" s="10" customFormat="1" ht="28.5" customHeight="1">
      <c r="A435" s="96">
        <v>372</v>
      </c>
      <c r="B435" s="17"/>
      <c r="C435" s="17" t="s">
        <v>148</v>
      </c>
      <c r="D435" s="17" t="s">
        <v>24</v>
      </c>
      <c r="E435" s="17"/>
      <c r="F435" s="78"/>
      <c r="G435" s="35" t="s">
        <v>163</v>
      </c>
      <c r="H435" s="44"/>
      <c r="I435" s="44">
        <f>Table1[[#This Row],[Contracted Amount]]*AF435</f>
        <v>0</v>
      </c>
      <c r="J435" s="46"/>
      <c r="K435" s="46">
        <f>Table1[[#This Row],[Actual Expenditure (including admin fees)]]*AF435</f>
        <v>0</v>
      </c>
      <c r="L435" s="35"/>
      <c r="M435" s="42"/>
      <c r="N435" s="42"/>
      <c r="O435" s="100"/>
      <c r="P435" s="42"/>
      <c r="Q435" s="42"/>
      <c r="R435" s="93"/>
      <c r="S435" s="18"/>
      <c r="T435" s="89"/>
      <c r="U435" s="9"/>
      <c r="V435" s="117"/>
      <c r="W435" s="117"/>
      <c r="X435" s="136"/>
      <c r="Y435" s="23"/>
      <c r="Z435" s="34" t="str">
        <f>IF(ISERROR(VLOOKUP(Y435,'Data inputs '!$N$4:$O$23,2,0)),"",(VLOOKUP(Y435,'Data inputs '!$N$4:$O$23,2,0)))</f>
        <v/>
      </c>
      <c r="AA435" s="34"/>
      <c r="AB435" s="5"/>
      <c r="AC435" s="5"/>
      <c r="AE435" s="10">
        <f ca="1"/>
        <v>0.54136437568373219</v>
      </c>
      <c r="AF435" s="10">
        <v>0.73296581490435897</v>
      </c>
    </row>
    <row r="436" spans="1:32" s="10" customFormat="1" ht="28.5" customHeight="1">
      <c r="A436" s="96">
        <v>373</v>
      </c>
      <c r="B436" s="5" t="s">
        <v>84</v>
      </c>
      <c r="C436" s="5" t="s">
        <v>148</v>
      </c>
      <c r="D436" s="5" t="s">
        <v>24</v>
      </c>
      <c r="E436" s="5" t="s">
        <v>96</v>
      </c>
      <c r="F436" s="6" t="s">
        <v>146</v>
      </c>
      <c r="G436" s="35" t="s">
        <v>163</v>
      </c>
      <c r="H436" s="62">
        <v>325689</v>
      </c>
      <c r="I436" s="62">
        <f>Table1[[#This Row],[Contracted Amount]]*AF436</f>
        <v>173128.65632526705</v>
      </c>
      <c r="J436" s="46"/>
      <c r="K436" s="46">
        <f>Table1[[#This Row],[Actual Expenditure (including admin fees)]]*AF436</f>
        <v>0</v>
      </c>
      <c r="L436" s="35" t="s">
        <v>71</v>
      </c>
      <c r="M436" s="42"/>
      <c r="N436" s="42"/>
      <c r="O436" s="100"/>
      <c r="P436" s="42"/>
      <c r="Q436" s="42"/>
      <c r="R436" s="93"/>
      <c r="S436" s="36" t="s">
        <v>76</v>
      </c>
      <c r="T436" s="89" t="s">
        <v>600</v>
      </c>
      <c r="U436" s="9">
        <v>43983</v>
      </c>
      <c r="V436" s="118" t="s">
        <v>245</v>
      </c>
      <c r="W436" s="118" t="s">
        <v>147</v>
      </c>
      <c r="X436" s="136">
        <v>1</v>
      </c>
      <c r="Y436" s="23">
        <v>10283</v>
      </c>
      <c r="Z436" s="34" t="str">
        <f>IF(ISERROR(VLOOKUP(Y436,'Data inputs '!$N$4:$O$23,2,0)),"",(VLOOKUP(Y436,'Data inputs '!$N$4:$O$23,2,0)))</f>
        <v>Germay(KfW)</v>
      </c>
      <c r="AA436" s="34"/>
      <c r="AB436" s="5">
        <v>26.58968611111111</v>
      </c>
      <c r="AC436" s="5">
        <v>12.768408333333333</v>
      </c>
      <c r="AE436" s="10">
        <f ca="1"/>
        <v>0.666454286170302</v>
      </c>
      <c r="AF436" s="10">
        <v>0.53157661549904067</v>
      </c>
    </row>
    <row r="437" spans="1:32" s="10" customFormat="1" ht="28.5" customHeight="1">
      <c r="A437" s="96">
        <v>374</v>
      </c>
      <c r="B437" s="5" t="s">
        <v>84</v>
      </c>
      <c r="C437" s="5" t="s">
        <v>148</v>
      </c>
      <c r="D437" s="5" t="s">
        <v>24</v>
      </c>
      <c r="E437" s="5" t="s">
        <v>96</v>
      </c>
      <c r="F437" s="6" t="s">
        <v>146</v>
      </c>
      <c r="G437" s="35" t="s">
        <v>163</v>
      </c>
      <c r="H437" s="44">
        <v>225688</v>
      </c>
      <c r="I437" s="44">
        <f>Table1[[#This Row],[Contracted Amount]]*AF437</f>
        <v>155825.38967907982</v>
      </c>
      <c r="J437" s="44">
        <f>(56105.73)*0.9+95942.39*0.9+66218.26+22562.4</f>
        <v>225623.96800000002</v>
      </c>
      <c r="K437" s="44">
        <f>Table1[[#This Row],[Actual Expenditure (including admin fees)]]*AF437</f>
        <v>155781.17903716743</v>
      </c>
      <c r="L437" s="35" t="s">
        <v>71</v>
      </c>
      <c r="M437" s="42" t="s">
        <v>72</v>
      </c>
      <c r="N437" s="92">
        <v>43809</v>
      </c>
      <c r="O437" s="100" t="s">
        <v>73</v>
      </c>
      <c r="P437" s="42"/>
      <c r="Q437" s="42">
        <v>43823</v>
      </c>
      <c r="R437" s="42">
        <v>44108</v>
      </c>
      <c r="S437" s="36" t="s">
        <v>71</v>
      </c>
      <c r="T437" s="89" t="s">
        <v>601</v>
      </c>
      <c r="U437" s="9">
        <v>44113</v>
      </c>
      <c r="V437" s="118" t="s">
        <v>71</v>
      </c>
      <c r="W437" s="118" t="s">
        <v>147</v>
      </c>
      <c r="X437" s="136">
        <v>1</v>
      </c>
      <c r="Y437" s="23">
        <v>182</v>
      </c>
      <c r="Z437" s="34" t="str">
        <f>IF(ISERROR(VLOOKUP(Y437,'Data inputs '!$N$4:$O$23,2,0)),"",(VLOOKUP(Y437,'Data inputs '!$N$4:$O$23,2,0)))</f>
        <v>Netherlands</v>
      </c>
      <c r="AA437" s="34">
        <v>112158</v>
      </c>
      <c r="AB437" s="5">
        <v>26.590294444444442</v>
      </c>
      <c r="AC437" s="5">
        <v>12.768519444444445</v>
      </c>
      <c r="AE437" s="10">
        <f ca="1"/>
        <v>0.61015366292581197</v>
      </c>
      <c r="AF437" s="10">
        <v>0.69044605685317706</v>
      </c>
    </row>
    <row r="438" spans="1:32" s="10" customFormat="1" ht="28.5" customHeight="1">
      <c r="A438" s="96">
        <v>375</v>
      </c>
      <c r="B438" s="5" t="s">
        <v>84</v>
      </c>
      <c r="C438" s="5" t="s">
        <v>148</v>
      </c>
      <c r="D438" s="5" t="s">
        <v>24</v>
      </c>
      <c r="E438" s="5" t="s">
        <v>112</v>
      </c>
      <c r="F438" s="5" t="s">
        <v>119</v>
      </c>
      <c r="G438" s="35" t="s">
        <v>163</v>
      </c>
      <c r="H438" s="44">
        <v>621418</v>
      </c>
      <c r="I438" s="44">
        <f>Table1[[#This Row],[Contracted Amount]]*AF438</f>
        <v>345994.70885321079</v>
      </c>
      <c r="J438" s="44">
        <f>238919.54*0.9+144485.21*0.9+213273.49+62037.53</f>
        <v>620375.29500000004</v>
      </c>
      <c r="K438" s="44">
        <f>Table1[[#This Row],[Actual Expenditure (including admin fees)]]*AF438</f>
        <v>345414.14888730255</v>
      </c>
      <c r="L438" s="35" t="s">
        <v>71</v>
      </c>
      <c r="M438" s="42" t="s">
        <v>72</v>
      </c>
      <c r="N438" s="92">
        <v>43770</v>
      </c>
      <c r="O438" s="100" t="s">
        <v>73</v>
      </c>
      <c r="P438" s="42">
        <v>43779</v>
      </c>
      <c r="Q438" s="42"/>
      <c r="R438" s="42">
        <v>44108</v>
      </c>
      <c r="S438" s="36" t="s">
        <v>71</v>
      </c>
      <c r="T438" s="89" t="s">
        <v>601</v>
      </c>
      <c r="U438" s="9">
        <v>44113</v>
      </c>
      <c r="V438" s="118" t="s">
        <v>71</v>
      </c>
      <c r="W438" s="118" t="s">
        <v>120</v>
      </c>
      <c r="X438" s="136">
        <v>1</v>
      </c>
      <c r="Y438" s="23">
        <v>10159</v>
      </c>
      <c r="Z438" s="34" t="str">
        <f>IF(ISERROR(VLOOKUP(Y438,'Data inputs '!$N$4:$O$23,2,0)),"",(VLOOKUP(Y438,'Data inputs '!$N$4:$O$23,2,0)))</f>
        <v>EU</v>
      </c>
      <c r="AA438" s="34">
        <v>112158</v>
      </c>
      <c r="AB438" s="5">
        <v>26.595944444444442</v>
      </c>
      <c r="AC438" s="5">
        <v>12.779847222222223</v>
      </c>
      <c r="AE438" s="10">
        <f ca="1"/>
        <v>0.56781340822463378</v>
      </c>
      <c r="AF438" s="10">
        <v>0.55678256640974477</v>
      </c>
    </row>
    <row r="439" spans="1:32" s="10" customFormat="1" ht="28.5" customHeight="1">
      <c r="A439" s="96">
        <v>376</v>
      </c>
      <c r="B439" s="5" t="s">
        <v>84</v>
      </c>
      <c r="C439" s="5" t="s">
        <v>148</v>
      </c>
      <c r="D439" s="5" t="s">
        <v>24</v>
      </c>
      <c r="E439" s="5" t="s">
        <v>122</v>
      </c>
      <c r="F439" s="5" t="s">
        <v>132</v>
      </c>
      <c r="G439" s="35" t="s">
        <v>163</v>
      </c>
      <c r="H439" s="44">
        <f>1408292.45+106200</f>
        <v>1514492.45</v>
      </c>
      <c r="I439" s="44">
        <f>Table1[[#This Row],[Contracted Amount]]*AF439</f>
        <v>1000517.4705709225</v>
      </c>
      <c r="J439" s="46">
        <f>1408292.45+106200</f>
        <v>1514492.45</v>
      </c>
      <c r="K439" s="46">
        <f>Table1[[#This Row],[Actual Expenditure (including admin fees)]]*AF439</f>
        <v>1000517.4705709225</v>
      </c>
      <c r="L439" s="35" t="s">
        <v>71</v>
      </c>
      <c r="M439" s="42" t="s">
        <v>72</v>
      </c>
      <c r="N439" s="92">
        <v>43839</v>
      </c>
      <c r="O439" s="100" t="s">
        <v>73</v>
      </c>
      <c r="P439" s="42"/>
      <c r="Q439" s="42">
        <v>43936</v>
      </c>
      <c r="R439" s="42">
        <v>44161</v>
      </c>
      <c r="S439" s="85" t="s">
        <v>71</v>
      </c>
      <c r="T439" s="89" t="s">
        <v>602</v>
      </c>
      <c r="U439" s="9">
        <v>44411</v>
      </c>
      <c r="V439" s="118" t="s">
        <v>71</v>
      </c>
      <c r="W439" s="118" t="s">
        <v>133</v>
      </c>
      <c r="X439" s="136">
        <v>11</v>
      </c>
      <c r="Y439" s="23">
        <v>10283</v>
      </c>
      <c r="Z439" s="34" t="str">
        <f>IF(ISERROR(VLOOKUP(Y439,'Data inputs '!$N$4:$O$23,2,0)),"",(VLOOKUP(Y439,'Data inputs '!$N$4:$O$23,2,0)))</f>
        <v>Germay(KfW)</v>
      </c>
      <c r="AA439" s="34">
        <v>112158</v>
      </c>
      <c r="AB439" s="5">
        <v>26.589583333333334</v>
      </c>
      <c r="AC439" s="5">
        <v>12.77493888888889</v>
      </c>
      <c r="AE439" s="10">
        <f ca="1"/>
        <v>0.6896614106705472</v>
      </c>
      <c r="AF439" s="10">
        <v>0.66062889291453553</v>
      </c>
    </row>
    <row r="440" spans="1:32" s="10" customFormat="1" ht="28.5" customHeight="1">
      <c r="A440" s="96"/>
      <c r="B440" s="5" t="s">
        <v>84</v>
      </c>
      <c r="C440" s="5" t="s">
        <v>148</v>
      </c>
      <c r="D440" s="5" t="s">
        <v>24</v>
      </c>
      <c r="E440" s="5" t="s">
        <v>112</v>
      </c>
      <c r="F440" s="5" t="s">
        <v>121</v>
      </c>
      <c r="G440" s="35" t="s">
        <v>163</v>
      </c>
      <c r="H440" s="44">
        <v>375025</v>
      </c>
      <c r="I440" s="44">
        <f>Table1[[#This Row],[Contracted Amount]]*AF440</f>
        <v>224228.6432625005</v>
      </c>
      <c r="J440" s="44">
        <f>146497.49+113986+88.58+76941.01</f>
        <v>337513.07999999996</v>
      </c>
      <c r="K440" s="44">
        <f>Table1[[#This Row],[Actual Expenditure (including admin fees)]]*AF440</f>
        <v>201800.14668821488</v>
      </c>
      <c r="L440" s="35" t="s">
        <v>71</v>
      </c>
      <c r="M440" s="42" t="s">
        <v>72</v>
      </c>
      <c r="N440" s="92">
        <v>44189</v>
      </c>
      <c r="O440" s="100" t="s">
        <v>73</v>
      </c>
      <c r="P440" s="42"/>
      <c r="Q440" s="42">
        <v>44292</v>
      </c>
      <c r="R440" s="42">
        <v>44647</v>
      </c>
      <c r="S440" s="35" t="s">
        <v>71</v>
      </c>
      <c r="T440" s="89" t="s">
        <v>603</v>
      </c>
      <c r="U440" s="9">
        <v>44648</v>
      </c>
      <c r="V440" s="118" t="s">
        <v>71</v>
      </c>
      <c r="W440" s="118" t="s">
        <v>120</v>
      </c>
      <c r="X440" s="136">
        <v>1</v>
      </c>
      <c r="Y440" s="23" t="s">
        <v>481</v>
      </c>
      <c r="Z440" s="34" t="s">
        <v>482</v>
      </c>
      <c r="AA440" s="34" t="s">
        <v>483</v>
      </c>
      <c r="AB440" s="5">
        <v>26.587658333333334</v>
      </c>
      <c r="AC440" s="5">
        <v>12.777083333333334</v>
      </c>
      <c r="AE440" s="10">
        <f ca="1"/>
        <v>0.59029283093885898</v>
      </c>
      <c r="AF440" s="10">
        <v>0.59790318848743551</v>
      </c>
    </row>
    <row r="441" spans="1:32" s="10" customFormat="1" ht="28.5" customHeight="1">
      <c r="A441" s="96">
        <v>377</v>
      </c>
      <c r="B441" s="5" t="s">
        <v>84</v>
      </c>
      <c r="C441" s="5" t="s">
        <v>148</v>
      </c>
      <c r="D441" s="5" t="s">
        <v>24</v>
      </c>
      <c r="E441" s="5" t="s">
        <v>112</v>
      </c>
      <c r="F441" s="5" t="s">
        <v>121</v>
      </c>
      <c r="G441" s="35" t="s">
        <v>163</v>
      </c>
      <c r="H441" s="44">
        <v>40190</v>
      </c>
      <c r="I441" s="44">
        <f>Table1[[#This Row],[Contracted Amount]]*AF441</f>
        <v>20417.950616733593</v>
      </c>
      <c r="J441" s="63">
        <f>36158.4+4017.6</f>
        <v>40176</v>
      </c>
      <c r="K441" s="63">
        <f>Table1[[#This Row],[Actual Expenditure (including admin fees)]]*AF441</f>
        <v>20410.838118384891</v>
      </c>
      <c r="L441" s="35" t="s">
        <v>71</v>
      </c>
      <c r="M441" s="42" t="s">
        <v>72</v>
      </c>
      <c r="N441" s="92">
        <v>44233</v>
      </c>
      <c r="O441" s="100" t="s">
        <v>73</v>
      </c>
      <c r="P441" s="42"/>
      <c r="Q441" s="42">
        <v>44248</v>
      </c>
      <c r="R441" s="42">
        <v>44437</v>
      </c>
      <c r="S441" s="35" t="s">
        <v>71</v>
      </c>
      <c r="T441" s="91" t="s">
        <v>604</v>
      </c>
      <c r="U441" s="9">
        <v>44441</v>
      </c>
      <c r="V441" s="118" t="s">
        <v>71</v>
      </c>
      <c r="W441" s="119" t="s">
        <v>120</v>
      </c>
      <c r="X441" s="115">
        <v>1</v>
      </c>
      <c r="Y441" s="23">
        <v>717</v>
      </c>
      <c r="Z441" s="34" t="str">
        <f>IF(ISERROR(VLOOKUP(Y441,'Data inputs '!$N$4:$O$23,2,0)),"",(VLOOKUP(Y441,'Data inputs '!$N$4:$O$23,2,0)))</f>
        <v>C/S ROK</v>
      </c>
      <c r="AA441" s="114">
        <v>112158</v>
      </c>
      <c r="AB441" s="5"/>
      <c r="AC441" s="5"/>
      <c r="AE441" s="10">
        <f ca="1"/>
        <v>0.60417798149467361</v>
      </c>
      <c r="AF441" s="10">
        <v>0.50803559633574502</v>
      </c>
    </row>
    <row r="442" spans="1:32" s="10" customFormat="1" ht="28.5" customHeight="1">
      <c r="B442" s="5" t="s">
        <v>66</v>
      </c>
      <c r="C442" s="5" t="s">
        <v>148</v>
      </c>
      <c r="D442" s="5" t="s">
        <v>24</v>
      </c>
      <c r="E442" s="5" t="s">
        <v>4</v>
      </c>
      <c r="F442" s="29" t="s">
        <v>125</v>
      </c>
      <c r="G442" s="35" t="s">
        <v>163</v>
      </c>
      <c r="H442" s="62"/>
      <c r="I442" s="62">
        <f>Table1[[#This Row],[Contracted Amount]]*AF442</f>
        <v>0</v>
      </c>
      <c r="J442" s="46"/>
      <c r="K442" s="46">
        <f>Table1[[#This Row],[Actual Expenditure (including admin fees)]]*AF442</f>
        <v>0</v>
      </c>
      <c r="L442" s="35" t="s">
        <v>71</v>
      </c>
      <c r="M442" s="42"/>
      <c r="N442" s="42"/>
      <c r="O442" s="100"/>
      <c r="P442" s="42"/>
      <c r="Q442" s="42"/>
      <c r="R442" s="93"/>
      <c r="S442" s="35" t="s">
        <v>266</v>
      </c>
      <c r="T442" s="90" t="s">
        <v>605</v>
      </c>
      <c r="U442" s="9">
        <v>43937</v>
      </c>
      <c r="V442" s="118" t="s">
        <v>266</v>
      </c>
      <c r="W442" s="118"/>
      <c r="X442" s="136"/>
      <c r="Y442" s="23">
        <v>10283</v>
      </c>
      <c r="Z442" s="34" t="str">
        <f>IF(ISERROR(VLOOKUP(Y442,'Data inputs '!$N$4:$O$23,2,0)),"",(VLOOKUP(Y442,'Data inputs '!$N$4:$O$23,2,0)))</f>
        <v>Germay(KfW)</v>
      </c>
      <c r="AA442" s="34"/>
      <c r="AB442" s="5">
        <v>26.592819444444444</v>
      </c>
      <c r="AC442" s="5">
        <v>12.762944444444445</v>
      </c>
      <c r="AE442" s="10">
        <f ca="1"/>
        <v>0.5203179084029641</v>
      </c>
      <c r="AF442" s="10">
        <v>0.6698658417322958</v>
      </c>
    </row>
    <row r="443" spans="1:32" s="10" customFormat="1" ht="28.5" customHeight="1">
      <c r="B443" s="5" t="s">
        <v>84</v>
      </c>
      <c r="C443" s="5" t="s">
        <v>148</v>
      </c>
      <c r="D443" s="5" t="s">
        <v>24</v>
      </c>
      <c r="E443" s="5" t="s">
        <v>96</v>
      </c>
      <c r="F443" s="6" t="s">
        <v>146</v>
      </c>
      <c r="G443" s="35" t="s">
        <v>163</v>
      </c>
      <c r="H443" s="44">
        <v>752000.01</v>
      </c>
      <c r="I443" s="44">
        <f>Table1[[#This Row],[Contracted Amount]]*AF443</f>
        <v>470870.24180339952</v>
      </c>
      <c r="J443" s="44">
        <f>171641.8+205300.82</f>
        <v>376942.62</v>
      </c>
      <c r="K443" s="44">
        <f>Table1[[#This Row],[Actual Expenditure (including admin fees)]]*AF443</f>
        <v>236025.34609727858</v>
      </c>
      <c r="L443" s="35" t="s">
        <v>71</v>
      </c>
      <c r="M443" s="42" t="s">
        <v>72</v>
      </c>
      <c r="N443" s="92">
        <v>44098</v>
      </c>
      <c r="O443" s="100" t="s">
        <v>208</v>
      </c>
      <c r="P443" s="42">
        <v>44130</v>
      </c>
      <c r="Q443" s="42">
        <v>44228</v>
      </c>
      <c r="R443" s="93"/>
      <c r="S443" s="35" t="s">
        <v>478</v>
      </c>
      <c r="T443" s="89" t="s">
        <v>606</v>
      </c>
      <c r="U443" s="9">
        <v>44713</v>
      </c>
      <c r="V443" s="118" t="s">
        <v>478</v>
      </c>
      <c r="W443" s="118" t="s">
        <v>147</v>
      </c>
      <c r="X443" s="136">
        <v>1</v>
      </c>
      <c r="Y443" s="132" t="s">
        <v>607</v>
      </c>
      <c r="Z443" s="88" t="s">
        <v>608</v>
      </c>
      <c r="AA443" s="34" t="s">
        <v>609</v>
      </c>
      <c r="AB443" s="5"/>
      <c r="AC443" s="5"/>
      <c r="AE443" s="10">
        <f ca="1"/>
        <v>0.54739479583103867</v>
      </c>
      <c r="AF443" s="10">
        <v>0.62615722811413199</v>
      </c>
    </row>
    <row r="444" spans="1:32" s="10" customFormat="1" ht="28.5" customHeight="1">
      <c r="A444" s="96"/>
      <c r="B444" s="17"/>
      <c r="C444" s="17"/>
      <c r="D444" s="17"/>
      <c r="E444" s="17"/>
      <c r="F444" s="78"/>
      <c r="G444" s="35"/>
      <c r="H444" s="44"/>
      <c r="I444" s="44">
        <f>Table1[[#This Row],[Contracted Amount]]*AF444</f>
        <v>0</v>
      </c>
      <c r="J444" s="46"/>
      <c r="K444" s="46">
        <f>Table1[[#This Row],[Actual Expenditure (including admin fees)]]*AF444</f>
        <v>0</v>
      </c>
      <c r="L444" s="35"/>
      <c r="M444" s="42"/>
      <c r="N444" s="42"/>
      <c r="O444" s="100"/>
      <c r="P444" s="42"/>
      <c r="Q444" s="42"/>
      <c r="R444" s="93"/>
      <c r="S444" s="18"/>
      <c r="T444" s="89"/>
      <c r="U444" s="9"/>
      <c r="V444" s="117"/>
      <c r="W444" s="117"/>
      <c r="X444" s="136"/>
      <c r="Y444" s="23"/>
      <c r="Z444" s="34"/>
      <c r="AA444" s="34"/>
      <c r="AB444" s="5"/>
      <c r="AC444" s="5"/>
      <c r="AE444" s="10">
        <f ca="1"/>
        <v>0.73051016165054161</v>
      </c>
      <c r="AF444" s="10">
        <v>0.61148155937842563</v>
      </c>
    </row>
    <row r="445" spans="1:32" s="10" customFormat="1" ht="28.5" customHeight="1">
      <c r="B445" s="5"/>
      <c r="C445" s="5" t="s">
        <v>209</v>
      </c>
      <c r="D445" s="5" t="s">
        <v>209</v>
      </c>
      <c r="E445" s="5" t="s">
        <v>81</v>
      </c>
      <c r="F445" s="5" t="s">
        <v>134</v>
      </c>
      <c r="G445" s="35" t="s">
        <v>162</v>
      </c>
      <c r="H445" s="63">
        <v>1000000</v>
      </c>
      <c r="I445" s="63">
        <f>Table1[[#This Row],[Contracted Amount]]*AF445</f>
        <v>580091.9986538447</v>
      </c>
      <c r="J445" s="46"/>
      <c r="K445" s="46">
        <f>Table1[[#This Row],[Actual Expenditure (including admin fees)]]*AF445</f>
        <v>0</v>
      </c>
      <c r="L445" s="35" t="s">
        <v>75</v>
      </c>
      <c r="M445" s="42"/>
      <c r="N445" s="92"/>
      <c r="O445" s="100"/>
      <c r="P445" s="42"/>
      <c r="Q445" s="42"/>
      <c r="R445" s="93"/>
      <c r="S445" s="35" t="s">
        <v>76</v>
      </c>
      <c r="T445" s="91"/>
      <c r="U445" s="9"/>
      <c r="V445" s="118" t="s">
        <v>245</v>
      </c>
      <c r="W445" s="119"/>
      <c r="X445" s="119"/>
      <c r="Y445" s="23"/>
      <c r="Z445" s="34"/>
      <c r="AA445" s="114"/>
      <c r="AB445" s="5"/>
      <c r="AC445" s="5"/>
      <c r="AE445" s="10">
        <f ca="1"/>
        <v>0.62969343450848336</v>
      </c>
      <c r="AF445" s="10">
        <v>0.58009199865384464</v>
      </c>
    </row>
    <row r="446" spans="1:32" s="10" customFormat="1" ht="28.5" customHeight="1">
      <c r="B446" s="17"/>
      <c r="C446" s="17"/>
      <c r="D446" s="17"/>
      <c r="E446" s="17"/>
      <c r="F446" s="78"/>
      <c r="G446" s="35"/>
      <c r="H446" s="44"/>
      <c r="I446" s="44">
        <f>Table1[[#This Row],[Contracted Amount]]*AF446</f>
        <v>0</v>
      </c>
      <c r="J446" s="46"/>
      <c r="K446" s="46">
        <f>Table1[[#This Row],[Actual Expenditure (including admin fees)]]*AF446</f>
        <v>0</v>
      </c>
      <c r="L446" s="35"/>
      <c r="M446" s="42"/>
      <c r="N446" s="42"/>
      <c r="O446" s="100"/>
      <c r="P446" s="42"/>
      <c r="Q446" s="42"/>
      <c r="R446" s="93"/>
      <c r="S446" s="18"/>
      <c r="T446" s="89"/>
      <c r="U446" s="9"/>
      <c r="V446" s="117"/>
      <c r="W446" s="117"/>
      <c r="X446" s="136"/>
      <c r="Y446" s="23"/>
      <c r="Z446" s="34"/>
      <c r="AA446" s="34"/>
      <c r="AB446" s="5"/>
      <c r="AC446" s="5"/>
      <c r="AE446" s="10">
        <f ca="1"/>
        <v>0.5473583743978252</v>
      </c>
      <c r="AF446" s="10">
        <v>0.60360332352446489</v>
      </c>
    </row>
    <row r="447" spans="1:32" s="10" customFormat="1" ht="28.5" customHeight="1">
      <c r="B447" s="5" t="s">
        <v>84</v>
      </c>
      <c r="C447" s="5"/>
      <c r="D447" s="5" t="s">
        <v>210</v>
      </c>
      <c r="E447" s="5" t="s">
        <v>122</v>
      </c>
      <c r="F447" s="5" t="s">
        <v>132</v>
      </c>
      <c r="G447" s="35" t="s">
        <v>211</v>
      </c>
      <c r="H447" s="62">
        <v>850000</v>
      </c>
      <c r="I447" s="62">
        <f>Table1[[#This Row],[Contracted Amount]]*AF447</f>
        <v>521161.60900612629</v>
      </c>
      <c r="J447" s="46"/>
      <c r="K447" s="46">
        <f>Table1[[#This Row],[Actual Expenditure (including admin fees)]]*AF447</f>
        <v>0</v>
      </c>
      <c r="L447" s="35" t="s">
        <v>71</v>
      </c>
      <c r="M447" s="42" t="s">
        <v>151</v>
      </c>
      <c r="N447" s="92"/>
      <c r="O447" s="100"/>
      <c r="P447" s="42"/>
      <c r="Q447" s="42"/>
      <c r="R447" s="93"/>
      <c r="S447" s="35" t="s">
        <v>76</v>
      </c>
      <c r="T447" s="91" t="s">
        <v>610</v>
      </c>
      <c r="U447" s="9">
        <v>44676</v>
      </c>
      <c r="V447" s="118" t="s">
        <v>152</v>
      </c>
      <c r="W447" s="119"/>
      <c r="X447" s="119"/>
      <c r="Y447" s="23">
        <v>10159</v>
      </c>
      <c r="Z447" s="34" t="s">
        <v>228</v>
      </c>
      <c r="AA447" s="114">
        <v>122619</v>
      </c>
      <c r="AB447" s="5"/>
      <c r="AC447" s="5"/>
      <c r="AE447" s="10">
        <f ca="1"/>
        <v>0.64404121110641133</v>
      </c>
      <c r="AF447" s="10">
        <v>0.61313130471308974</v>
      </c>
    </row>
    <row r="448" spans="1:32" s="10" customFormat="1" ht="28.5" customHeight="1">
      <c r="A448" s="96"/>
      <c r="B448" s="17"/>
      <c r="C448" s="17"/>
      <c r="D448" s="17"/>
      <c r="E448" s="126"/>
      <c r="F448" s="126"/>
      <c r="G448" s="35"/>
      <c r="H448" s="63"/>
      <c r="I448" s="63">
        <f>Table1[[#This Row],[Contracted Amount]]*AF448</f>
        <v>0</v>
      </c>
      <c r="J448" s="46"/>
      <c r="K448" s="46">
        <f>Table1[[#This Row],[Actual Expenditure (including admin fees)]]*AF448</f>
        <v>0</v>
      </c>
      <c r="L448" s="35"/>
      <c r="M448" s="42"/>
      <c r="N448" s="42"/>
      <c r="O448" s="100"/>
      <c r="P448" s="42"/>
      <c r="Q448" s="42"/>
      <c r="R448" s="93"/>
      <c r="S448" s="35"/>
      <c r="T448" s="91"/>
      <c r="U448" s="9"/>
      <c r="V448" s="118"/>
      <c r="W448" s="118"/>
      <c r="X448" s="136"/>
      <c r="Y448" s="23"/>
      <c r="Z448" s="34"/>
      <c r="AA448" s="34"/>
      <c r="AB448" s="5"/>
      <c r="AC448" s="5"/>
      <c r="AE448" s="10">
        <f ca="1"/>
        <v>0.54394001354581289</v>
      </c>
      <c r="AF448" s="10">
        <v>0.62342938241915302</v>
      </c>
    </row>
    <row r="449" spans="1:38" s="10" customFormat="1" ht="28.5" customHeight="1">
      <c r="A449" s="96"/>
      <c r="B449" s="5" t="s">
        <v>66</v>
      </c>
      <c r="C449" s="5" t="s">
        <v>67</v>
      </c>
      <c r="D449" s="5" t="s">
        <v>23</v>
      </c>
      <c r="E449" s="5" t="s">
        <v>212</v>
      </c>
      <c r="F449" s="5" t="s">
        <v>213</v>
      </c>
      <c r="G449" s="35" t="s">
        <v>163</v>
      </c>
      <c r="H449" s="44">
        <v>24636.058230683091</v>
      </c>
      <c r="I449" s="44">
        <f>Table1[[#This Row],[Contracted Amount]]*AF449</f>
        <v>13470.584670415587</v>
      </c>
      <c r="J449" s="44">
        <f>22000/0.893</f>
        <v>24636.058230683091</v>
      </c>
      <c r="K449" s="44">
        <f>Table1[[#This Row],[Actual Expenditure (including admin fees)]]*AF449</f>
        <v>13470.584670415587</v>
      </c>
      <c r="L449" s="35" t="s">
        <v>71</v>
      </c>
      <c r="M449" s="42" t="s">
        <v>72</v>
      </c>
      <c r="N449" s="42">
        <f>Table1[[#This Row],[Actual completion date]]-270</f>
        <v>43804</v>
      </c>
      <c r="O449" s="100" t="s">
        <v>73</v>
      </c>
      <c r="P449" s="42"/>
      <c r="Q449" s="42"/>
      <c r="R449" s="42">
        <v>44074</v>
      </c>
      <c r="S449" s="35" t="s">
        <v>71</v>
      </c>
      <c r="T449" s="89" t="s">
        <v>611</v>
      </c>
      <c r="U449" s="9">
        <v>44089</v>
      </c>
      <c r="V449" s="118" t="s">
        <v>71</v>
      </c>
      <c r="W449" s="118"/>
      <c r="X449" s="136"/>
      <c r="Y449" s="23">
        <v>10283</v>
      </c>
      <c r="Z449" s="34" t="str">
        <f>IF(ISERROR(VLOOKUP(Y449,'Data inputs '!$N$4:$O$23,2,0)),"",(VLOOKUP(Y449,'Data inputs '!$N$4:$O$23,2,0)))</f>
        <v>Germay(KfW)</v>
      </c>
      <c r="AA449" s="34">
        <v>112158</v>
      </c>
      <c r="AB449" s="5"/>
      <c r="AC449" s="5"/>
      <c r="AE449" s="10">
        <f ca="1"/>
        <v>0.74597268947206152</v>
      </c>
      <c r="AF449" s="10">
        <v>0.54678327775823266</v>
      </c>
    </row>
    <row r="450" spans="1:38" s="10" customFormat="1" ht="28.5" customHeight="1">
      <c r="A450" s="96"/>
      <c r="B450" s="5" t="s">
        <v>66</v>
      </c>
      <c r="C450" s="5" t="s">
        <v>67</v>
      </c>
      <c r="D450" s="5" t="s">
        <v>23</v>
      </c>
      <c r="E450" s="5" t="s">
        <v>212</v>
      </c>
      <c r="F450" s="5" t="s">
        <v>213</v>
      </c>
      <c r="G450" s="35" t="s">
        <v>163</v>
      </c>
      <c r="H450" s="44">
        <v>120000</v>
      </c>
      <c r="I450" s="44">
        <f>Table1[[#This Row],[Contracted Amount]]*AF450</f>
        <v>86742.223050294197</v>
      </c>
      <c r="J450" s="46"/>
      <c r="K450" s="46">
        <f>Table1[[#This Row],[Actual Expenditure (including admin fees)]]*AF450</f>
        <v>0</v>
      </c>
      <c r="L450" s="35" t="s">
        <v>71</v>
      </c>
      <c r="M450" s="42" t="s">
        <v>72</v>
      </c>
      <c r="N450" s="42">
        <f>Table1[[#This Row],[Actual completion date]]-270</f>
        <v>43661</v>
      </c>
      <c r="O450" s="100" t="s">
        <v>73</v>
      </c>
      <c r="P450" s="42"/>
      <c r="Q450" s="42"/>
      <c r="R450" s="42">
        <v>43931</v>
      </c>
      <c r="S450" s="35" t="s">
        <v>71</v>
      </c>
      <c r="T450" s="89" t="s">
        <v>612</v>
      </c>
      <c r="U450" s="9">
        <v>44057</v>
      </c>
      <c r="V450" s="118" t="s">
        <v>71</v>
      </c>
      <c r="W450" s="118"/>
      <c r="X450" s="136"/>
      <c r="Y450" s="23"/>
      <c r="Z450" s="34"/>
      <c r="AA450" s="34"/>
      <c r="AB450" s="5"/>
      <c r="AC450" s="5"/>
      <c r="AE450" s="10">
        <f ca="1"/>
        <v>0.51401303527861897</v>
      </c>
      <c r="AF450" s="10">
        <v>0.72285185875245161</v>
      </c>
    </row>
    <row r="451" spans="1:38" s="15" customFormat="1" ht="28.5" customHeight="1">
      <c r="B451" s="5" t="s">
        <v>66</v>
      </c>
      <c r="C451" s="5" t="s">
        <v>67</v>
      </c>
      <c r="D451" s="5" t="s">
        <v>23</v>
      </c>
      <c r="E451" s="5" t="s">
        <v>212</v>
      </c>
      <c r="F451" s="5" t="s">
        <v>213</v>
      </c>
      <c r="G451" s="35" t="s">
        <v>163</v>
      </c>
      <c r="H451" s="63"/>
      <c r="I451" s="63">
        <f>Table1[[#This Row],[Contracted Amount]]*AF451</f>
        <v>0</v>
      </c>
      <c r="J451" s="46"/>
      <c r="K451" s="46">
        <f>Table1[[#This Row],[Actual Expenditure (including admin fees)]]*AF451</f>
        <v>0</v>
      </c>
      <c r="L451" s="35" t="s">
        <v>71</v>
      </c>
      <c r="M451" s="42" t="s">
        <v>72</v>
      </c>
      <c r="N451" s="42">
        <f>Table1[[#This Row],[Actual completion date]]-270</f>
        <v>43849</v>
      </c>
      <c r="O451" s="100" t="s">
        <v>73</v>
      </c>
      <c r="P451" s="42"/>
      <c r="Q451" s="42"/>
      <c r="R451" s="42">
        <v>44119</v>
      </c>
      <c r="S451" s="35" t="s">
        <v>71</v>
      </c>
      <c r="T451" s="91" t="s">
        <v>613</v>
      </c>
      <c r="U451" s="9">
        <v>44141</v>
      </c>
      <c r="V451" s="118" t="s">
        <v>71</v>
      </c>
      <c r="W451" s="119"/>
      <c r="X451" s="115"/>
      <c r="Y451" s="23"/>
      <c r="Z451" s="34"/>
      <c r="AA451" s="114"/>
      <c r="AB451" s="5"/>
      <c r="AC451" s="5"/>
      <c r="AE451" s="15">
        <f ca="1"/>
        <v>0.67946454342787377</v>
      </c>
      <c r="AF451" s="15">
        <v>0.67237869047193977</v>
      </c>
    </row>
    <row r="452" spans="1:38" s="15" customFormat="1" ht="28.5" customHeight="1">
      <c r="B452" s="5" t="s">
        <v>84</v>
      </c>
      <c r="C452" s="5" t="s">
        <v>148</v>
      </c>
      <c r="D452" s="5" t="s">
        <v>43</v>
      </c>
      <c r="E452" s="5" t="s">
        <v>212</v>
      </c>
      <c r="F452" s="5" t="s">
        <v>214</v>
      </c>
      <c r="G452" s="35" t="s">
        <v>162</v>
      </c>
      <c r="H452" s="44">
        <v>395000</v>
      </c>
      <c r="I452" s="44">
        <f>Table1[[#This Row],[Contracted Amount]]*AF452</f>
        <v>274245.68855030584</v>
      </c>
      <c r="J452" s="44">
        <f>355500+39500</f>
        <v>395000</v>
      </c>
      <c r="K452" s="44">
        <f>Table1[[#This Row],[Actual Expenditure (including admin fees)]]*AF452</f>
        <v>274245.68855030584</v>
      </c>
      <c r="L452" s="35" t="s">
        <v>71</v>
      </c>
      <c r="M452" s="42" t="s">
        <v>72</v>
      </c>
      <c r="N452" s="92">
        <v>44158</v>
      </c>
      <c r="O452" s="100" t="s">
        <v>73</v>
      </c>
      <c r="P452" s="42"/>
      <c r="Q452" s="42"/>
      <c r="R452" s="42">
        <v>44273</v>
      </c>
      <c r="S452" s="35" t="s">
        <v>71</v>
      </c>
      <c r="T452" s="89" t="s">
        <v>614</v>
      </c>
      <c r="U452" s="9">
        <v>44279</v>
      </c>
      <c r="V452" s="118" t="s">
        <v>71</v>
      </c>
      <c r="W452" s="118"/>
      <c r="X452" s="136"/>
      <c r="Y452" s="23">
        <v>10283</v>
      </c>
      <c r="Z452" s="34" t="str">
        <f>IF(ISERROR(VLOOKUP(Y452,'Data inputs '!$N$4:$O$23,2,0)),"",(VLOOKUP(Y452,'Data inputs '!$N$4:$O$23,2,0)))</f>
        <v>Germay(KfW)</v>
      </c>
      <c r="AA452" s="34">
        <v>112158</v>
      </c>
      <c r="AB452" s="5"/>
      <c r="AC452" s="5"/>
      <c r="AE452" s="15">
        <f ca="1"/>
        <v>0.6168715851588138</v>
      </c>
      <c r="AF452" s="15">
        <v>0.69429288240583764</v>
      </c>
    </row>
    <row r="453" spans="1:38" s="15" customFormat="1" ht="28.5" customHeight="1">
      <c r="B453" s="5" t="s">
        <v>66</v>
      </c>
      <c r="C453" s="5" t="s">
        <v>67</v>
      </c>
      <c r="D453" s="5" t="s">
        <v>23</v>
      </c>
      <c r="E453" s="5" t="s">
        <v>212</v>
      </c>
      <c r="F453" s="89" t="s">
        <v>213</v>
      </c>
      <c r="G453" s="35" t="s">
        <v>163</v>
      </c>
      <c r="H453" s="44">
        <v>80000</v>
      </c>
      <c r="I453" s="44">
        <f>Table1[[#This Row],[Contracted Amount]]*AF453</f>
        <v>59106.778260451574</v>
      </c>
      <c r="J453" s="46"/>
      <c r="K453" s="46">
        <f>Table1[[#This Row],[Actual Expenditure (including admin fees)]]*AF453</f>
        <v>0</v>
      </c>
      <c r="L453" s="35" t="s">
        <v>71</v>
      </c>
      <c r="M453" s="42" t="s">
        <v>215</v>
      </c>
      <c r="N453" s="42"/>
      <c r="O453" s="100"/>
      <c r="P453" s="42"/>
      <c r="Q453" s="42"/>
      <c r="R453" s="93"/>
      <c r="S453" s="35" t="s">
        <v>152</v>
      </c>
      <c r="T453" s="91" t="s">
        <v>615</v>
      </c>
      <c r="U453" s="9">
        <v>44623</v>
      </c>
      <c r="V453" s="118" t="s">
        <v>152</v>
      </c>
      <c r="W453" s="118"/>
      <c r="X453" s="136"/>
      <c r="Y453" s="23">
        <v>141</v>
      </c>
      <c r="Z453" s="34" t="s">
        <v>227</v>
      </c>
      <c r="AA453" s="34"/>
      <c r="AB453" s="5"/>
      <c r="AC453" s="5"/>
      <c r="AE453" s="15">
        <f ca="1"/>
        <v>0.53119550281152061</v>
      </c>
      <c r="AF453" s="15">
        <v>0.73883472825564467</v>
      </c>
    </row>
    <row r="454" spans="1:38" s="15" customFormat="1" ht="28.5" customHeight="1">
      <c r="B454" s="5" t="s">
        <v>84</v>
      </c>
      <c r="C454" s="5" t="s">
        <v>67</v>
      </c>
      <c r="D454" s="5" t="s">
        <v>13</v>
      </c>
      <c r="E454" s="5" t="s">
        <v>212</v>
      </c>
      <c r="F454" s="5" t="s">
        <v>214</v>
      </c>
      <c r="G454" s="35" t="s">
        <v>163</v>
      </c>
      <c r="H454" s="44"/>
      <c r="I454" s="44">
        <f>Table1[[#This Row],[Contracted Amount]]*AF454</f>
        <v>0</v>
      </c>
      <c r="J454" s="46"/>
      <c r="K454" s="46">
        <f>Table1[[#This Row],[Actual Expenditure (including admin fees)]]*AF454</f>
        <v>0</v>
      </c>
      <c r="L454" s="35" t="s">
        <v>71</v>
      </c>
      <c r="M454" s="42"/>
      <c r="N454" s="42"/>
      <c r="O454" s="100"/>
      <c r="P454" s="42"/>
      <c r="Q454" s="42"/>
      <c r="R454" s="93"/>
      <c r="S454" s="35" t="s">
        <v>266</v>
      </c>
      <c r="T454" s="91" t="s">
        <v>616</v>
      </c>
      <c r="U454" s="9">
        <v>44057</v>
      </c>
      <c r="V454" s="118" t="s">
        <v>266</v>
      </c>
      <c r="W454" s="118"/>
      <c r="X454" s="136"/>
      <c r="Y454" s="23"/>
      <c r="Z454" s="34"/>
      <c r="AA454" s="34"/>
      <c r="AB454" s="5"/>
      <c r="AC454" s="5"/>
      <c r="AE454" s="15">
        <f ca="1"/>
        <v>0.56484901932279463</v>
      </c>
      <c r="AF454" s="15">
        <v>0.54493615400253026</v>
      </c>
    </row>
    <row r="455" spans="1:38" s="15" customFormat="1" ht="28.5" customHeight="1">
      <c r="B455" s="5" t="s">
        <v>84</v>
      </c>
      <c r="C455" s="5" t="s">
        <v>148</v>
      </c>
      <c r="D455" s="5" t="s">
        <v>18</v>
      </c>
      <c r="E455" s="5" t="s">
        <v>212</v>
      </c>
      <c r="F455" s="5" t="s">
        <v>214</v>
      </c>
      <c r="G455" s="35" t="s">
        <v>162</v>
      </c>
      <c r="H455" s="44">
        <v>41890</v>
      </c>
      <c r="I455" s="44">
        <f>Table1[[#This Row],[Contracted Amount]]*AF455</f>
        <v>21792.579108129008</v>
      </c>
      <c r="J455" s="44">
        <f>36458.1+4050.9</f>
        <v>40509</v>
      </c>
      <c r="K455" s="44">
        <f>Table1[[#This Row],[Actual Expenditure (including admin fees)]]*AF455</f>
        <v>21074.136717383579</v>
      </c>
      <c r="L455" s="35" t="s">
        <v>71</v>
      </c>
      <c r="M455" s="42" t="s">
        <v>72</v>
      </c>
      <c r="N455" s="92">
        <v>44231</v>
      </c>
      <c r="O455" s="100" t="s">
        <v>73</v>
      </c>
      <c r="P455" s="42">
        <v>44242</v>
      </c>
      <c r="Q455" s="42">
        <v>44255</v>
      </c>
      <c r="R455" s="42">
        <v>44412</v>
      </c>
      <c r="S455" s="35" t="s">
        <v>71</v>
      </c>
      <c r="T455" s="91" t="s">
        <v>617</v>
      </c>
      <c r="U455" s="9">
        <v>44441</v>
      </c>
      <c r="V455" s="118" t="s">
        <v>71</v>
      </c>
      <c r="W455" s="118" t="s">
        <v>110</v>
      </c>
      <c r="X455" s="136">
        <v>1</v>
      </c>
      <c r="Y455" s="23">
        <v>10159</v>
      </c>
      <c r="Z455" s="34" t="s">
        <v>228</v>
      </c>
      <c r="AA455" s="34">
        <v>122619</v>
      </c>
      <c r="AB455" s="5"/>
      <c r="AC455" s="5"/>
      <c r="AE455" s="15">
        <f ca="1"/>
        <v>0.74423853291825626</v>
      </c>
      <c r="AF455" s="15">
        <v>0.52023344731747456</v>
      </c>
    </row>
    <row r="456" spans="1:38" s="15" customFormat="1" ht="28.5" customHeight="1">
      <c r="B456" s="5" t="s">
        <v>66</v>
      </c>
      <c r="C456" s="5" t="s">
        <v>148</v>
      </c>
      <c r="D456" s="5" t="s">
        <v>16</v>
      </c>
      <c r="E456" s="5" t="s">
        <v>212</v>
      </c>
      <c r="F456" s="5" t="s">
        <v>213</v>
      </c>
      <c r="G456" s="35" t="s">
        <v>162</v>
      </c>
      <c r="H456" s="44">
        <v>100000</v>
      </c>
      <c r="I456" s="44">
        <f>Table1[[#This Row],[Contracted Amount]]*AF456</f>
        <v>63416.038861796573</v>
      </c>
      <c r="J456" s="46"/>
      <c r="K456" s="46">
        <f>Table1[[#This Row],[Actual Expenditure (including admin fees)]]*AF456</f>
        <v>0</v>
      </c>
      <c r="L456" s="35" t="s">
        <v>71</v>
      </c>
      <c r="M456" s="42" t="s">
        <v>72</v>
      </c>
      <c r="N456" s="42">
        <f>Table1[[#This Row],[Actual completion date]]-270</f>
        <v>43927</v>
      </c>
      <c r="O456" s="100" t="s">
        <v>73</v>
      </c>
      <c r="P456" s="42"/>
      <c r="Q456" s="42"/>
      <c r="R456" s="93">
        <v>44197</v>
      </c>
      <c r="S456" s="35" t="s">
        <v>71</v>
      </c>
      <c r="T456" s="91" t="s">
        <v>618</v>
      </c>
      <c r="U456" s="9">
        <v>44384</v>
      </c>
      <c r="V456" s="118" t="s">
        <v>71</v>
      </c>
      <c r="W456" s="118" t="s">
        <v>126</v>
      </c>
      <c r="X456" s="136"/>
      <c r="Y456" s="23">
        <v>10283</v>
      </c>
      <c r="Z456" s="34" t="str">
        <f>IF(ISERROR(VLOOKUP(Y456,'Data inputs '!$N$4:$O$23,2,0)),"",(VLOOKUP(Y456,'Data inputs '!$N$4:$O$23,2,0)))</f>
        <v>Germay(KfW)</v>
      </c>
      <c r="AA456" s="34"/>
      <c r="AB456" s="5"/>
      <c r="AC456" s="5"/>
      <c r="AE456" s="15">
        <f ca="1"/>
        <v>0.54141807332287584</v>
      </c>
      <c r="AF456" s="15">
        <v>0.63416038861796575</v>
      </c>
    </row>
    <row r="457" spans="1:38" s="15" customFormat="1" ht="28.5" customHeight="1">
      <c r="B457" s="5" t="s">
        <v>84</v>
      </c>
      <c r="C457" s="5" t="s">
        <v>118</v>
      </c>
      <c r="D457" s="5" t="s">
        <v>15</v>
      </c>
      <c r="E457" s="5" t="s">
        <v>212</v>
      </c>
      <c r="F457" s="5" t="s">
        <v>214</v>
      </c>
      <c r="G457" s="35" t="s">
        <v>162</v>
      </c>
      <c r="H457" s="44">
        <v>271509</v>
      </c>
      <c r="I457" s="44">
        <f>Table1[[#This Row],[Contracted Amount]]*AF457</f>
        <v>163477.91622516923</v>
      </c>
      <c r="J457" s="46"/>
      <c r="K457" s="46">
        <f>Table1[[#This Row],[Actual Expenditure (including admin fees)]]*AF457</f>
        <v>0</v>
      </c>
      <c r="L457" s="35" t="s">
        <v>71</v>
      </c>
      <c r="M457" s="42" t="s">
        <v>72</v>
      </c>
      <c r="N457" s="92">
        <v>44533</v>
      </c>
      <c r="O457" s="100" t="s">
        <v>201</v>
      </c>
      <c r="P457" s="42">
        <v>44548</v>
      </c>
      <c r="Q457" s="42"/>
      <c r="R457" s="93"/>
      <c r="S457" s="35" t="s">
        <v>478</v>
      </c>
      <c r="T457" s="91" t="s">
        <v>619</v>
      </c>
      <c r="U457" s="9">
        <v>44713</v>
      </c>
      <c r="V457" s="118" t="s">
        <v>478</v>
      </c>
      <c r="W457" s="118" t="s">
        <v>110</v>
      </c>
      <c r="X457" s="136">
        <v>1</v>
      </c>
      <c r="Y457" s="23">
        <v>141</v>
      </c>
      <c r="Z457" s="34" t="str">
        <f>IF(ISERROR(VLOOKUP(Y457,'Data inputs '!$N$4:$O$23,2,0)),"",(VLOOKUP(Y457,'Data inputs '!$N$4:$O$23,2,0)))</f>
        <v>Japan</v>
      </c>
      <c r="AA457" s="34">
        <v>127766</v>
      </c>
      <c r="AB457" s="5"/>
      <c r="AC457" s="5"/>
      <c r="AE457" s="15">
        <f ca="1"/>
        <v>0.68972984699185413</v>
      </c>
      <c r="AF457" s="15">
        <v>0.60210864547830545</v>
      </c>
    </row>
    <row r="458" spans="1:38" s="15" customFormat="1" ht="28.5" customHeight="1">
      <c r="B458" s="5" t="s">
        <v>66</v>
      </c>
      <c r="C458" s="5" t="s">
        <v>148</v>
      </c>
      <c r="D458" s="5" t="s">
        <v>20</v>
      </c>
      <c r="E458" s="5" t="s">
        <v>212</v>
      </c>
      <c r="F458" s="5" t="s">
        <v>213</v>
      </c>
      <c r="G458" s="35" t="s">
        <v>163</v>
      </c>
      <c r="H458" s="44">
        <f>264022.5*(2/5)+49850+9074.72</f>
        <v>164533.72</v>
      </c>
      <c r="I458" s="44">
        <f>Table1[[#This Row],[Contracted Amount]]*AF458</f>
        <v>87511.288385377498</v>
      </c>
      <c r="J458" s="44">
        <f>49850+(207462.3/5*2)+6977.48+488.43</f>
        <v>140300.82999999999</v>
      </c>
      <c r="K458" s="44">
        <f>Table1[[#This Row],[Actual Expenditure (including admin fees)]]*AF458</f>
        <v>74622.432379440652</v>
      </c>
      <c r="L458" s="35" t="s">
        <v>71</v>
      </c>
      <c r="M458" s="42" t="s">
        <v>72</v>
      </c>
      <c r="N458" s="42">
        <f>Table1[[#This Row],[Actual completion date]]-270</f>
        <v>43985</v>
      </c>
      <c r="O458" s="100" t="s">
        <v>73</v>
      </c>
      <c r="P458" s="42"/>
      <c r="Q458" s="42"/>
      <c r="R458" s="93">
        <v>44255</v>
      </c>
      <c r="S458" s="35" t="s">
        <v>71</v>
      </c>
      <c r="T458" s="91" t="s">
        <v>620</v>
      </c>
      <c r="U458" s="9">
        <v>44441</v>
      </c>
      <c r="V458" s="118" t="s">
        <v>71</v>
      </c>
      <c r="W458" s="118"/>
      <c r="X458" s="136"/>
      <c r="Y458" s="132" t="s">
        <v>621</v>
      </c>
      <c r="Z458" s="34" t="s">
        <v>622</v>
      </c>
      <c r="AA458" s="34" t="s">
        <v>264</v>
      </c>
      <c r="AB458" s="5"/>
      <c r="AC458" s="5"/>
      <c r="AE458" s="15">
        <f ca="1"/>
        <v>0.61054650475232264</v>
      </c>
      <c r="AF458" s="15">
        <v>0.53187448983331498</v>
      </c>
    </row>
    <row r="459" spans="1:38" s="15" customFormat="1" ht="28.5" customHeight="1">
      <c r="B459" s="5" t="s">
        <v>66</v>
      </c>
      <c r="C459" s="5" t="s">
        <v>118</v>
      </c>
      <c r="D459" s="5" t="s">
        <v>12</v>
      </c>
      <c r="E459" s="5" t="s">
        <v>212</v>
      </c>
      <c r="F459" s="5" t="s">
        <v>213</v>
      </c>
      <c r="G459" s="35" t="s">
        <v>162</v>
      </c>
      <c r="H459" s="44">
        <f>264022.5*(3/5)+13608.91</f>
        <v>172022.41</v>
      </c>
      <c r="I459" s="44">
        <f>Table1[[#This Row],[Contracted Amount]]*AF459</f>
        <v>127602.96233698342</v>
      </c>
      <c r="J459" s="46">
        <f>207462.3/5*3+10463.78+732.46</f>
        <v>135673.62</v>
      </c>
      <c r="K459" s="46">
        <f>Table1[[#This Row],[Actual Expenditure (including admin fees)]]*AF459</f>
        <v>100640.11905764022</v>
      </c>
      <c r="L459" s="35" t="s">
        <v>71</v>
      </c>
      <c r="M459" s="42" t="s">
        <v>72</v>
      </c>
      <c r="N459" s="42">
        <f>Table1[[#This Row],[Actual completion date]]-270</f>
        <v>43972</v>
      </c>
      <c r="O459" s="100" t="s">
        <v>73</v>
      </c>
      <c r="P459" s="42"/>
      <c r="Q459" s="42"/>
      <c r="R459" s="42">
        <v>44242</v>
      </c>
      <c r="S459" s="35" t="s">
        <v>71</v>
      </c>
      <c r="T459" s="91" t="s">
        <v>623</v>
      </c>
      <c r="U459" s="9">
        <v>44350</v>
      </c>
      <c r="V459" s="118" t="s">
        <v>71</v>
      </c>
      <c r="W459" s="118"/>
      <c r="X459" s="136"/>
      <c r="Y459" s="132" t="s">
        <v>621</v>
      </c>
      <c r="Z459" s="88" t="s">
        <v>624</v>
      </c>
      <c r="AA459" s="34" t="s">
        <v>264</v>
      </c>
      <c r="AB459" s="5"/>
      <c r="AC459" s="5"/>
      <c r="AE459" s="15">
        <f ca="1"/>
        <v>0.58737100967806855</v>
      </c>
      <c r="AF459" s="15">
        <v>0.7417810408363853</v>
      </c>
    </row>
    <row r="460" spans="1:38" s="15" customFormat="1" ht="28.5" customHeight="1">
      <c r="B460" s="5" t="s">
        <v>84</v>
      </c>
      <c r="C460" s="5" t="s">
        <v>118</v>
      </c>
      <c r="D460" s="5" t="s">
        <v>14</v>
      </c>
      <c r="E460" s="5" t="s">
        <v>212</v>
      </c>
      <c r="F460" s="5" t="s">
        <v>214</v>
      </c>
      <c r="G460" s="35" t="s">
        <v>211</v>
      </c>
      <c r="H460" s="44">
        <v>176644.5</v>
      </c>
      <c r="I460" s="44">
        <f>Table1[[#This Row],[Contracted Amount]]*AF460</f>
        <v>125914.20194377853</v>
      </c>
      <c r="J460" s="44">
        <v>158980.5</v>
      </c>
      <c r="K460" s="44">
        <f>Table1[[#This Row],[Actual Expenditure (including admin fees)]]*AF460</f>
        <v>113323.10251450163</v>
      </c>
      <c r="L460" s="35" t="s">
        <v>71</v>
      </c>
      <c r="M460" s="42" t="s">
        <v>72</v>
      </c>
      <c r="N460" s="92">
        <v>44248</v>
      </c>
      <c r="O460" s="100" t="s">
        <v>73</v>
      </c>
      <c r="P460" s="42">
        <v>44262</v>
      </c>
      <c r="Q460" s="42"/>
      <c r="R460" s="42">
        <v>44402</v>
      </c>
      <c r="S460" s="35" t="s">
        <v>71</v>
      </c>
      <c r="T460" s="91" t="s">
        <v>625</v>
      </c>
      <c r="U460" s="9">
        <v>44468</v>
      </c>
      <c r="V460" s="118" t="s">
        <v>554</v>
      </c>
      <c r="W460" s="118" t="s">
        <v>110</v>
      </c>
      <c r="X460" s="136">
        <v>1</v>
      </c>
      <c r="Y460" s="23">
        <v>141</v>
      </c>
      <c r="Z460" s="34" t="s">
        <v>626</v>
      </c>
      <c r="AA460" s="34">
        <v>121748</v>
      </c>
      <c r="AB460" s="5"/>
      <c r="AC460" s="5"/>
      <c r="AD460" s="20"/>
      <c r="AE460" s="15">
        <f ca="1"/>
        <v>0.66700764546596047</v>
      </c>
      <c r="AF460" s="15">
        <v>0.71281133544366526</v>
      </c>
    </row>
    <row r="461" spans="1:38" s="15" customFormat="1" ht="28.5" customHeight="1">
      <c r="B461" s="47" t="s">
        <v>66</v>
      </c>
      <c r="C461" s="47" t="s">
        <v>67</v>
      </c>
      <c r="D461" s="47" t="s">
        <v>23</v>
      </c>
      <c r="E461" s="47" t="s">
        <v>212</v>
      </c>
      <c r="F461" s="47" t="s">
        <v>213</v>
      </c>
      <c r="G461" s="40" t="s">
        <v>163</v>
      </c>
      <c r="H461" s="111"/>
      <c r="I461" s="111">
        <f>Table1[[#This Row],[Contracted Amount]]*AF461</f>
        <v>0</v>
      </c>
      <c r="J461" s="66"/>
      <c r="K461" s="66">
        <f>Table1[[#This Row],[Actual Expenditure (including admin fees)]]*AF461</f>
        <v>0</v>
      </c>
      <c r="L461" s="57" t="s">
        <v>71</v>
      </c>
      <c r="M461" s="112" t="s">
        <v>72</v>
      </c>
      <c r="N461" s="42">
        <f>Table1[[#This Row],[Actual completion date]]-270</f>
        <v>43952</v>
      </c>
      <c r="O461" s="100" t="s">
        <v>73</v>
      </c>
      <c r="P461" s="112"/>
      <c r="Q461" s="112"/>
      <c r="R461" s="42">
        <v>44222</v>
      </c>
      <c r="S461" s="35" t="s">
        <v>71</v>
      </c>
      <c r="T461" s="89" t="s">
        <v>627</v>
      </c>
      <c r="U461" s="33">
        <v>44228</v>
      </c>
      <c r="V461" s="119" t="s">
        <v>71</v>
      </c>
      <c r="W461" s="119"/>
      <c r="X461" s="115"/>
      <c r="Y461" s="26"/>
      <c r="Z461" s="114"/>
      <c r="AA461" s="114"/>
      <c r="AB461" s="47"/>
      <c r="AC461" s="116"/>
      <c r="AD461" s="20"/>
      <c r="AE461" s="15">
        <f ca="1"/>
        <v>0.51848541890039701</v>
      </c>
      <c r="AF461" s="15">
        <v>0.61468528848283477</v>
      </c>
    </row>
    <row r="462" spans="1:38" s="15" customFormat="1" ht="28.5" customHeight="1">
      <c r="B462" s="47" t="s">
        <v>66</v>
      </c>
      <c r="C462" s="47" t="s">
        <v>67</v>
      </c>
      <c r="D462" s="47" t="s">
        <v>23</v>
      </c>
      <c r="E462" s="47" t="s">
        <v>212</v>
      </c>
      <c r="F462" s="47" t="s">
        <v>213</v>
      </c>
      <c r="G462" s="40" t="s">
        <v>163</v>
      </c>
      <c r="H462" s="111">
        <f>287500+4700</f>
        <v>292200</v>
      </c>
      <c r="I462" s="111">
        <f>Table1[[#This Row],[Contracted Amount]]*AF462</f>
        <v>147392.84447992657</v>
      </c>
      <c r="J462" s="66">
        <v>291260</v>
      </c>
      <c r="K462" s="66">
        <f>Table1[[#This Row],[Actual Expenditure (including admin fees)]]*AF462</f>
        <v>146918.6854319761</v>
      </c>
      <c r="L462" s="57" t="s">
        <v>71</v>
      </c>
      <c r="M462" s="112" t="s">
        <v>72</v>
      </c>
      <c r="N462" s="42">
        <f>Table1[[#This Row],[Actual completion date]]-270</f>
        <v>44148</v>
      </c>
      <c r="O462" s="100" t="s">
        <v>73</v>
      </c>
      <c r="P462" s="112"/>
      <c r="Q462" s="112"/>
      <c r="R462" s="42">
        <v>44418</v>
      </c>
      <c r="S462" s="40" t="s">
        <v>71</v>
      </c>
      <c r="T462" s="135" t="s">
        <v>628</v>
      </c>
      <c r="U462" s="33">
        <v>44425</v>
      </c>
      <c r="V462" s="119" t="s">
        <v>71</v>
      </c>
      <c r="W462" s="119"/>
      <c r="X462" s="115"/>
      <c r="Y462" s="26">
        <v>10283</v>
      </c>
      <c r="Z462" s="114" t="s">
        <v>224</v>
      </c>
      <c r="AA462" s="114">
        <v>112158</v>
      </c>
      <c r="AB462" s="47"/>
      <c r="AC462" s="116"/>
      <c r="AD462" s="20"/>
      <c r="AE462" s="15">
        <f ca="1"/>
        <v>0.63131241461156662</v>
      </c>
      <c r="AF462" s="15">
        <v>0.50442451909625796</v>
      </c>
    </row>
    <row r="463" spans="1:38" s="15" customFormat="1" ht="28.5" customHeight="1">
      <c r="B463" s="47" t="s">
        <v>84</v>
      </c>
      <c r="C463" s="47" t="s">
        <v>67</v>
      </c>
      <c r="D463" s="47" t="s">
        <v>23</v>
      </c>
      <c r="E463" s="47" t="s">
        <v>212</v>
      </c>
      <c r="F463" s="47" t="s">
        <v>214</v>
      </c>
      <c r="G463" s="40" t="s">
        <v>211</v>
      </c>
      <c r="H463" s="44">
        <v>36400</v>
      </c>
      <c r="I463" s="111">
        <f>Table1[[#This Row],[Contracted Amount]]*AF463</f>
        <v>19500.489315061732</v>
      </c>
      <c r="J463" s="66">
        <v>32760</v>
      </c>
      <c r="K463" s="66">
        <f>Table1[[#This Row],[Actual Expenditure (including admin fees)]]*AF463</f>
        <v>17550.44038355556</v>
      </c>
      <c r="L463" s="57" t="s">
        <v>71</v>
      </c>
      <c r="M463" s="112" t="s">
        <v>72</v>
      </c>
      <c r="N463" s="92">
        <v>44323</v>
      </c>
      <c r="O463" s="142" t="s">
        <v>73</v>
      </c>
      <c r="P463" s="112">
        <v>44348</v>
      </c>
      <c r="Q463" s="112"/>
      <c r="R463" s="42">
        <v>44521</v>
      </c>
      <c r="S463" s="40" t="s">
        <v>71</v>
      </c>
      <c r="T463" s="135" t="s">
        <v>629</v>
      </c>
      <c r="U463" s="33">
        <v>44525</v>
      </c>
      <c r="V463" s="119" t="s">
        <v>554</v>
      </c>
      <c r="W463" s="119" t="s">
        <v>128</v>
      </c>
      <c r="X463" s="136">
        <v>1</v>
      </c>
      <c r="Y463" s="26">
        <v>141</v>
      </c>
      <c r="Z463" s="114" t="s">
        <v>626</v>
      </c>
      <c r="AA463" s="114">
        <v>121748</v>
      </c>
      <c r="AB463" s="47"/>
      <c r="AC463" s="116"/>
      <c r="AE463" s="15">
        <f ca="1"/>
        <v>0.5015311178231413</v>
      </c>
      <c r="AF463" s="15">
        <v>0.53572772843576189</v>
      </c>
      <c r="AI463" s="20"/>
      <c r="AJ463" s="86"/>
      <c r="AK463" s="20"/>
      <c r="AL463" s="20"/>
    </row>
    <row r="464" spans="1:38" s="10" customFormat="1" ht="28.5" customHeight="1">
      <c r="A464" s="96"/>
      <c r="B464" s="5" t="s">
        <v>84</v>
      </c>
      <c r="C464" s="5" t="s">
        <v>118</v>
      </c>
      <c r="D464" s="5" t="s">
        <v>14</v>
      </c>
      <c r="E464" s="5" t="s">
        <v>212</v>
      </c>
      <c r="F464" s="5" t="s">
        <v>214</v>
      </c>
      <c r="G464" s="35" t="s">
        <v>211</v>
      </c>
      <c r="H464" s="44">
        <v>430000</v>
      </c>
      <c r="I464" s="44">
        <f>Table1[[#This Row],[Contracted Amount]]*AF464</f>
        <v>216536.50008603049</v>
      </c>
      <c r="J464" s="44">
        <v>387000</v>
      </c>
      <c r="K464" s="44">
        <f>Table1[[#This Row],[Actual Expenditure (including admin fees)]]*AF464</f>
        <v>194882.85007742743</v>
      </c>
      <c r="L464" s="35" t="s">
        <v>71</v>
      </c>
      <c r="M464" s="42" t="s">
        <v>72</v>
      </c>
      <c r="N464" s="92">
        <v>44378</v>
      </c>
      <c r="O464" s="100" t="s">
        <v>73</v>
      </c>
      <c r="P464" s="42">
        <v>44465</v>
      </c>
      <c r="Q464" s="42"/>
      <c r="R464" s="42">
        <v>44613</v>
      </c>
      <c r="S464" s="35" t="s">
        <v>71</v>
      </c>
      <c r="T464" s="91" t="s">
        <v>630</v>
      </c>
      <c r="U464" s="9">
        <v>44658</v>
      </c>
      <c r="V464" s="118" t="s">
        <v>554</v>
      </c>
      <c r="W464" s="119" t="s">
        <v>126</v>
      </c>
      <c r="X464" s="136">
        <v>1</v>
      </c>
      <c r="Y464" s="23">
        <v>141</v>
      </c>
      <c r="Z464" s="34" t="s">
        <v>626</v>
      </c>
      <c r="AA464" s="114">
        <v>121748</v>
      </c>
      <c r="AB464" s="5"/>
      <c r="AC464" s="5"/>
      <c r="AE464" s="10">
        <f ca="1"/>
        <v>0.72480379612219192</v>
      </c>
      <c r="AF464" s="10">
        <v>0.50357325601402436</v>
      </c>
    </row>
    <row r="465" spans="1:38" s="10" customFormat="1" ht="28.5" customHeight="1">
      <c r="A465" s="96"/>
      <c r="B465" s="5" t="s">
        <v>84</v>
      </c>
      <c r="C465" s="5" t="s">
        <v>67</v>
      </c>
      <c r="D465" s="5" t="s">
        <v>23</v>
      </c>
      <c r="E465" s="5" t="s">
        <v>212</v>
      </c>
      <c r="F465" s="5" t="s">
        <v>214</v>
      </c>
      <c r="G465" s="35" t="s">
        <v>163</v>
      </c>
      <c r="H465" s="44">
        <v>385000</v>
      </c>
      <c r="I465" s="44">
        <f>Table1[[#This Row],[Contracted Amount]]*AF465</f>
        <v>206275.31893161123</v>
      </c>
      <c r="J465" s="63">
        <f>346500+38500</f>
        <v>385000</v>
      </c>
      <c r="K465" s="63">
        <f>Table1[[#This Row],[Actual Expenditure (including admin fees)]]*AF465</f>
        <v>206275.31893161123</v>
      </c>
      <c r="L465" s="35" t="s">
        <v>71</v>
      </c>
      <c r="M465" s="42" t="s">
        <v>72</v>
      </c>
      <c r="N465" s="92">
        <v>44402</v>
      </c>
      <c r="O465" s="100" t="s">
        <v>73</v>
      </c>
      <c r="P465" s="42"/>
      <c r="Q465" s="42"/>
      <c r="R465" s="42">
        <v>44518</v>
      </c>
      <c r="S465" s="35" t="s">
        <v>71</v>
      </c>
      <c r="T465" s="91" t="s">
        <v>631</v>
      </c>
      <c r="U465" s="9">
        <v>44525</v>
      </c>
      <c r="V465" s="118" t="s">
        <v>71</v>
      </c>
      <c r="W465" s="119" t="s">
        <v>126</v>
      </c>
      <c r="X465" s="136">
        <v>1</v>
      </c>
      <c r="Y465" s="23">
        <v>141</v>
      </c>
      <c r="Z465" s="34" t="str">
        <f>IF(ISERROR(VLOOKUP(Y465,'Data inputs '!$N$4:$O$23,2,0)),"",(VLOOKUP(Y465,'Data inputs '!$N$4:$O$23,2,0)))</f>
        <v>Japan</v>
      </c>
      <c r="AA465" s="114">
        <v>127766</v>
      </c>
      <c r="AB465" s="5"/>
      <c r="AC465" s="5"/>
      <c r="AE465" s="10">
        <f ca="1"/>
        <v>0.69409920766862554</v>
      </c>
      <c r="AF465" s="10">
        <v>0.53578004917301614</v>
      </c>
    </row>
    <row r="466" spans="1:38" s="10" customFormat="1" ht="28.5" customHeight="1">
      <c r="A466" s="96"/>
      <c r="B466" s="5" t="s">
        <v>84</v>
      </c>
      <c r="C466" s="5" t="s">
        <v>67</v>
      </c>
      <c r="D466" s="5" t="s">
        <v>23</v>
      </c>
      <c r="E466" s="5" t="s">
        <v>212</v>
      </c>
      <c r="F466" s="5" t="s">
        <v>214</v>
      </c>
      <c r="G466" s="35" t="s">
        <v>163</v>
      </c>
      <c r="H466" s="63">
        <v>400000</v>
      </c>
      <c r="I466" s="63">
        <f>Table1[[#This Row],[Contracted Amount]]*AF466</f>
        <v>238260.03266238049</v>
      </c>
      <c r="J466" s="46"/>
      <c r="K466" s="46">
        <f>Table1[[#This Row],[Actual Expenditure (including admin fees)]]*AF466</f>
        <v>0</v>
      </c>
      <c r="L466" s="35" t="s">
        <v>75</v>
      </c>
      <c r="M466" s="42"/>
      <c r="N466" s="42"/>
      <c r="O466" s="100"/>
      <c r="P466" s="42"/>
      <c r="Q466" s="42"/>
      <c r="R466" s="93"/>
      <c r="S466" s="35" t="s">
        <v>76</v>
      </c>
      <c r="T466" s="91" t="s">
        <v>632</v>
      </c>
      <c r="U466" s="9">
        <v>44273</v>
      </c>
      <c r="V466" s="118" t="s">
        <v>245</v>
      </c>
      <c r="W466" s="119" t="s">
        <v>126</v>
      </c>
      <c r="X466" s="136">
        <v>1</v>
      </c>
      <c r="Y466" s="23"/>
      <c r="Z466" s="34"/>
      <c r="AA466" s="114"/>
      <c r="AB466" s="5"/>
      <c r="AC466" s="5"/>
      <c r="AE466" s="10">
        <f ca="1"/>
        <v>0.55188215762541137</v>
      </c>
      <c r="AF466" s="10">
        <v>0.59565008165595124</v>
      </c>
    </row>
    <row r="467" spans="1:38" s="15" customFormat="1" ht="28.5" customHeight="1">
      <c r="B467" s="47" t="s">
        <v>66</v>
      </c>
      <c r="C467" s="47" t="s">
        <v>118</v>
      </c>
      <c r="D467" s="47" t="s">
        <v>633</v>
      </c>
      <c r="E467" s="47" t="s">
        <v>212</v>
      </c>
      <c r="F467" s="47" t="s">
        <v>213</v>
      </c>
      <c r="G467" s="40" t="s">
        <v>211</v>
      </c>
      <c r="H467" s="111">
        <v>250000</v>
      </c>
      <c r="I467" s="111">
        <f>Table1[[#This Row],[Contracted Amount]]*AF467</f>
        <v>154137.56753262357</v>
      </c>
      <c r="J467" s="66"/>
      <c r="K467" s="66">
        <f>Table1[[#This Row],[Actual Expenditure (including admin fees)]]*AF467</f>
        <v>0</v>
      </c>
      <c r="L467" s="57" t="s">
        <v>71</v>
      </c>
      <c r="M467" s="112" t="s">
        <v>72</v>
      </c>
      <c r="N467" s="112">
        <v>43617</v>
      </c>
      <c r="O467" s="100" t="s">
        <v>634</v>
      </c>
      <c r="P467" s="112"/>
      <c r="Q467" s="112"/>
      <c r="R467" s="113"/>
      <c r="S467" s="40" t="s">
        <v>478</v>
      </c>
      <c r="T467" s="135" t="s">
        <v>635</v>
      </c>
      <c r="U467" s="33">
        <v>44518</v>
      </c>
      <c r="V467" s="119" t="s">
        <v>554</v>
      </c>
      <c r="W467" s="119"/>
      <c r="X467" s="115"/>
      <c r="Y467" s="26">
        <v>141</v>
      </c>
      <c r="Z467" s="114" t="s">
        <v>636</v>
      </c>
      <c r="AA467" s="114">
        <v>134229</v>
      </c>
      <c r="AB467" s="47"/>
      <c r="AC467" s="116"/>
      <c r="AD467" s="20"/>
      <c r="AE467" s="15">
        <f ca="1"/>
        <v>0.60450276209305731</v>
      </c>
      <c r="AF467" s="15">
        <v>0.61655027013049424</v>
      </c>
    </row>
    <row r="468" spans="1:38" s="15" customFormat="1" ht="28.5" customHeight="1">
      <c r="B468" s="5" t="s">
        <v>66</v>
      </c>
      <c r="C468" s="5" t="s">
        <v>148</v>
      </c>
      <c r="D468" s="5" t="s">
        <v>20</v>
      </c>
      <c r="E468" s="5" t="s">
        <v>212</v>
      </c>
      <c r="F468" s="5" t="s">
        <v>213</v>
      </c>
      <c r="G468" s="35" t="s">
        <v>211</v>
      </c>
      <c r="H468" s="62">
        <v>293800</v>
      </c>
      <c r="I468" s="62">
        <f>Table1[[#This Row],[Contracted Amount]]*AF468</f>
        <v>202312.12943222193</v>
      </c>
      <c r="J468" s="46"/>
      <c r="K468" s="46">
        <f>Table1[[#This Row],[Actual Expenditure (including admin fees)]]*AF468</f>
        <v>0</v>
      </c>
      <c r="L468" s="55" t="s">
        <v>637</v>
      </c>
      <c r="M468" s="42"/>
      <c r="N468" s="42"/>
      <c r="O468" s="100"/>
      <c r="P468" s="42"/>
      <c r="Q468" s="42"/>
      <c r="R468" s="93"/>
      <c r="S468" s="35" t="s">
        <v>76</v>
      </c>
      <c r="T468" s="91" t="s">
        <v>638</v>
      </c>
      <c r="U468" s="9">
        <v>44134</v>
      </c>
      <c r="V468" s="118" t="s">
        <v>554</v>
      </c>
      <c r="W468" s="119"/>
      <c r="X468" s="115"/>
      <c r="Y468" s="23"/>
      <c r="Z468" s="34"/>
      <c r="AA468" s="34"/>
      <c r="AB468" s="5"/>
      <c r="AC468" s="137"/>
      <c r="AE468" s="15">
        <f ca="1"/>
        <v>0.62792355270480738</v>
      </c>
      <c r="AF468" s="15">
        <v>0.68860493339762396</v>
      </c>
      <c r="AI468" s="20"/>
      <c r="AJ468" s="86"/>
      <c r="AK468" s="20"/>
      <c r="AL468" s="20"/>
    </row>
    <row r="469" spans="1:38" s="15" customFormat="1" ht="28.5" customHeight="1">
      <c r="B469" s="47" t="s">
        <v>84</v>
      </c>
      <c r="C469" s="47" t="s">
        <v>67</v>
      </c>
      <c r="D469" s="47" t="s">
        <v>216</v>
      </c>
      <c r="E469" s="47" t="s">
        <v>212</v>
      </c>
      <c r="F469" s="47" t="s">
        <v>214</v>
      </c>
      <c r="G469" s="40" t="s">
        <v>162</v>
      </c>
      <c r="H469" s="44">
        <v>96100</v>
      </c>
      <c r="I469" s="111">
        <f>Table1[[#This Row],[Contracted Amount]]*AF469</f>
        <v>49998.942198041077</v>
      </c>
      <c r="J469" s="111">
        <v>86460.479999999996</v>
      </c>
      <c r="K469" s="111">
        <f>Table1[[#This Row],[Actual Expenditure (including admin fees)]]*AF469</f>
        <v>44983.689302132014</v>
      </c>
      <c r="L469" s="57" t="s">
        <v>71</v>
      </c>
      <c r="M469" s="112" t="s">
        <v>72</v>
      </c>
      <c r="N469" s="112">
        <v>44464</v>
      </c>
      <c r="O469" s="142" t="s">
        <v>73</v>
      </c>
      <c r="P469" s="112">
        <v>44500</v>
      </c>
      <c r="Q469" s="112"/>
      <c r="R469" s="42">
        <v>44769</v>
      </c>
      <c r="S469" s="40" t="s">
        <v>71</v>
      </c>
      <c r="T469" s="135" t="s">
        <v>639</v>
      </c>
      <c r="U469" s="33">
        <v>44771</v>
      </c>
      <c r="V469" s="119" t="s">
        <v>478</v>
      </c>
      <c r="W469" s="119" t="s">
        <v>128</v>
      </c>
      <c r="X469" s="119"/>
      <c r="Y469" s="26">
        <v>141</v>
      </c>
      <c r="Z469" s="114" t="str">
        <f>IF(ISERROR(VLOOKUP(Y469,'Data inputs '!$N$4:$O$23,2,0)),"",(VLOOKUP(Y469,'Data inputs '!$N$4:$O$23,2,0)))</f>
        <v>Japan</v>
      </c>
      <c r="AA469" s="114">
        <v>127766</v>
      </c>
      <c r="AB469" s="47"/>
      <c r="AC469" s="116"/>
      <c r="AE469" s="15">
        <f ca="1"/>
        <v>0.71935998936699008</v>
      </c>
      <c r="AF469" s="15">
        <v>0.52028035585890819</v>
      </c>
      <c r="AI469" s="20"/>
      <c r="AJ469" s="86"/>
      <c r="AK469" s="20"/>
      <c r="AL469" s="20"/>
    </row>
    <row r="470" spans="1:38" s="15" customFormat="1" ht="28.5" customHeight="1">
      <c r="B470" s="5" t="s">
        <v>84</v>
      </c>
      <c r="C470" s="5" t="s">
        <v>148</v>
      </c>
      <c r="D470" s="5" t="s">
        <v>43</v>
      </c>
      <c r="E470" s="5" t="s">
        <v>212</v>
      </c>
      <c r="F470" s="5" t="s">
        <v>214</v>
      </c>
      <c r="G470" s="35" t="s">
        <v>211</v>
      </c>
      <c r="H470" s="44">
        <v>106725</v>
      </c>
      <c r="I470" s="44">
        <f>Table1[[#This Row],[Contracted Amount]]*AF470</f>
        <v>68691.952311994057</v>
      </c>
      <c r="J470" s="46"/>
      <c r="K470" s="46">
        <f>Table1[[#This Row],[Actual Expenditure (including admin fees)]]*AF470</f>
        <v>0</v>
      </c>
      <c r="L470" s="55" t="s">
        <v>71</v>
      </c>
      <c r="M470" s="42" t="s">
        <v>72</v>
      </c>
      <c r="N470" s="42">
        <v>44473</v>
      </c>
      <c r="O470" s="100" t="s">
        <v>201</v>
      </c>
      <c r="P470" s="42"/>
      <c r="Q470" s="42"/>
      <c r="R470" s="93"/>
      <c r="S470" s="35" t="s">
        <v>478</v>
      </c>
      <c r="T470" s="91" t="s">
        <v>640</v>
      </c>
      <c r="U470" s="9">
        <v>44726</v>
      </c>
      <c r="V470" s="118" t="s">
        <v>554</v>
      </c>
      <c r="W470" s="119" t="s">
        <v>128</v>
      </c>
      <c r="X470" s="119"/>
      <c r="Y470" s="23">
        <v>141</v>
      </c>
      <c r="Z470" s="34" t="s">
        <v>626</v>
      </c>
      <c r="AA470" s="114">
        <v>121748</v>
      </c>
      <c r="AB470" s="5"/>
      <c r="AC470" s="137"/>
      <c r="AE470" s="15">
        <f ca="1"/>
        <v>0.61495641898504905</v>
      </c>
      <c r="AF470" s="15">
        <v>0.6436350649987731</v>
      </c>
      <c r="AI470" s="20"/>
      <c r="AJ470" s="86"/>
      <c r="AK470" s="20"/>
      <c r="AL470" s="20"/>
    </row>
    <row r="471" spans="1:38" s="15" customFormat="1" ht="28.5" customHeight="1">
      <c r="B471" s="5" t="s">
        <v>84</v>
      </c>
      <c r="C471" s="5" t="s">
        <v>148</v>
      </c>
      <c r="D471" s="5" t="s">
        <v>43</v>
      </c>
      <c r="E471" s="5" t="s">
        <v>212</v>
      </c>
      <c r="F471" s="5" t="s">
        <v>214</v>
      </c>
      <c r="G471" s="35" t="s">
        <v>211</v>
      </c>
      <c r="H471" s="44"/>
      <c r="I471" s="44">
        <f>Table1[[#This Row],[Contracted Amount]]*AF471</f>
        <v>0</v>
      </c>
      <c r="J471" s="46"/>
      <c r="K471" s="46">
        <f>Table1[[#This Row],[Actual Expenditure (including admin fees)]]*AF471</f>
        <v>0</v>
      </c>
      <c r="L471" s="55" t="s">
        <v>71</v>
      </c>
      <c r="M471" s="42" t="s">
        <v>72</v>
      </c>
      <c r="N471" s="42">
        <v>44473</v>
      </c>
      <c r="O471" s="100" t="s">
        <v>201</v>
      </c>
      <c r="P471" s="42"/>
      <c r="Q471" s="42"/>
      <c r="R471" s="93"/>
      <c r="S471" s="35" t="s">
        <v>478</v>
      </c>
      <c r="T471" s="91" t="s">
        <v>641</v>
      </c>
      <c r="U471" s="9">
        <v>44726</v>
      </c>
      <c r="V471" s="118" t="s">
        <v>554</v>
      </c>
      <c r="W471" s="119" t="s">
        <v>128</v>
      </c>
      <c r="X471" s="119"/>
      <c r="Y471" s="23">
        <v>141</v>
      </c>
      <c r="Z471" s="34" t="s">
        <v>626</v>
      </c>
      <c r="AA471" s="114">
        <v>121748</v>
      </c>
      <c r="AB471" s="5"/>
      <c r="AC471" s="137"/>
      <c r="AE471" s="15">
        <f ca="1"/>
        <v>0.70029965293549234</v>
      </c>
      <c r="AF471" s="15">
        <v>0.67721998721310561</v>
      </c>
      <c r="AI471" s="20"/>
      <c r="AJ471" s="86"/>
      <c r="AK471" s="20"/>
      <c r="AL471" s="20"/>
    </row>
    <row r="481" customFormat="1" ht="28.5" customHeight="1"/>
  </sheetData>
  <phoneticPr fontId="17" type="noConversion"/>
  <conditionalFormatting sqref="S3:S471">
    <cfRule type="containsText" dxfId="12" priority="1" operator="containsText" text="Completed">
      <formula>NOT(ISERROR(SEARCH("Completed",S3)))</formula>
    </cfRule>
    <cfRule type="containsText" dxfId="11" priority="2" operator="containsText" text="Contract Issued">
      <formula>NOT(ISERROR(SEARCH("Contract Issued",S3)))</formula>
    </cfRule>
    <cfRule type="containsText" dxfId="10" priority="3" operator="containsText" text="With Procurement">
      <formula>NOT(ISERROR(SEARCH("With Procurement",S3)))</formula>
    </cfRule>
    <cfRule type="containsText" dxfId="9" priority="4" operator="containsText" text="In Development">
      <formula>NOT(ISERROR(SEARCH("In Development",S3)))</formula>
    </cfRule>
    <cfRule type="cellIs" dxfId="8" priority="5" operator="equal">
      <formula>"To be advertised soon"</formula>
    </cfRule>
    <cfRule type="containsText" dxfId="7" priority="6" operator="containsText" text="Cancelled">
      <formula>NOT(ISERROR(SEARCH("Cancelled",S3)))</formula>
    </cfRule>
  </conditionalFormatting>
  <dataValidations count="1">
    <dataValidation type="list" allowBlank="1" showInputMessage="1" showErrorMessage="1" sqref="T76:U76 X76:Y76" xr:uid="{00000000-0002-0000-0000-000000000000}">
      <formula1>#REF!</formula1>
    </dataValidation>
  </dataValidations>
  <pageMargins left="0.75" right="0.75" top="1" bottom="1" header="0.5" footer="0.5"/>
  <pageSetup paperSize="9" scale="17" fitToHeight="0" orientation="landscape" r:id="rId1"/>
  <legacyDrawing r:id="rId2"/>
  <tableParts count="1">
    <tablePart r:id="rId3"/>
  </tableParts>
  <extLst>
    <ext xmlns:x14="http://schemas.microsoft.com/office/spreadsheetml/2009/9/main" uri="{CCE6A557-97BC-4b89-ADB6-D9C93CAAB3DF}">
      <x14:dataValidations xmlns:xm="http://schemas.microsoft.com/office/excel/2006/main" count="11">
        <x14:dataValidation type="list" allowBlank="1" showInputMessage="1" showErrorMessage="1" xr:uid="{5A362C2B-9996-403C-AAFB-F7029B30CFED}">
          <x14:formula1>
            <xm:f>'D:\OneDrive - United Nations Development Programme\UNDP Libya\SFL\Tracker\[2019 03 21 SFL Tracker Live.xlsx]Data inputs '!#REF!</xm:f>
          </x14:formula1>
          <xm:sqref>D97:E97</xm:sqref>
        </x14:dataValidation>
        <x14:dataValidation type="list" allowBlank="1" showInputMessage="1" showErrorMessage="1" xr:uid="{7CF78AA3-3574-4DAC-B4CC-AC70FF2F941D}">
          <x14:formula1>
            <xm:f>'Data inputs '!$B$35:$B$37</xm:f>
          </x14:formula1>
          <xm:sqref>C2:C444 C448:C471</xm:sqref>
        </x14:dataValidation>
        <x14:dataValidation type="list" allowBlank="1" showInputMessage="1" showErrorMessage="1" xr:uid="{00000000-0002-0000-0000-00000A000000}">
          <x14:formula1>
            <xm:f>'Data inputs '!$B$5:$B$32</xm:f>
          </x14:formula1>
          <xm:sqref>D2:D96 D464:D467 D98:D446 D448:D460</xm:sqref>
        </x14:dataValidation>
        <x14:dataValidation type="list" allowBlank="1" showInputMessage="1" showErrorMessage="1" xr:uid="{E6C6FC03-3135-4D4D-B015-1D7F9DD1D74F}">
          <x14:formula1>
            <xm:f>'Data inputs '!$A$5:$A$7</xm:f>
          </x14:formula1>
          <xm:sqref>B2:B471</xm:sqref>
        </x14:dataValidation>
        <x14:dataValidation type="list" allowBlank="1" showInputMessage="1" showErrorMessage="1" xr:uid="{E782F232-3D3D-43C3-B46C-22AF248D9A15}">
          <x14:formula1>
            <xm:f>'Data inputs '!$E$29:$E$33</xm:f>
          </x14:formula1>
          <xm:sqref>S3:S471</xm:sqref>
        </x14:dataValidation>
        <x14:dataValidation type="list" allowBlank="1" showInputMessage="1" showErrorMessage="1" xr:uid="{E99A5E36-C23A-4718-AD18-809C5EC7DAC3}">
          <x14:formula1>
            <xm:f>'Data inputs '!$F$4:$F$16</xm:f>
          </x14:formula1>
          <xm:sqref>M3:M471</xm:sqref>
        </x14:dataValidation>
        <x14:dataValidation type="list" allowBlank="1" showInputMessage="1" showErrorMessage="1" xr:uid="{BE2AB05F-3F6F-4485-8F1C-6B520C7A8D25}">
          <x14:formula1>
            <xm:f>'Data inputs '!$B$42:$B$49</xm:f>
          </x14:formula1>
          <xm:sqref>V2:V471</xm:sqref>
        </x14:dataValidation>
        <x14:dataValidation type="list" allowBlank="1" showInputMessage="1" showErrorMessage="1" xr:uid="{12DB1304-FB27-44FE-8EE4-B3A654D60DC5}">
          <x14:formula1>
            <xm:f>'Data inputs '!$H$4:$H$20</xm:f>
          </x14:formula1>
          <xm:sqref>O3:O471</xm:sqref>
        </x14:dataValidation>
        <x14:dataValidation type="list" allowBlank="1" showInputMessage="1" showErrorMessage="1" xr:uid="{D03A7096-F78A-496D-BAAB-370F1BAC3D73}">
          <x14:formula1>
            <xm:f>'Data inputs '!$E$4:$E$11</xm:f>
          </x14:formula1>
          <xm:sqref>L3:L471</xm:sqref>
        </x14:dataValidation>
        <x14:dataValidation type="list" allowBlank="1" showInputMessage="1" showErrorMessage="1" xr:uid="{00000000-0002-0000-0000-000009000000}">
          <x14:formula1>
            <xm:f>'Data inputs '!$C$5:$C$13</xm:f>
          </x14:formula1>
          <xm:sqref>E98:E447 E464:E467 E449:E460 E2:E96</xm:sqref>
        </x14:dataValidation>
        <x14:dataValidation type="list" allowBlank="1" showInputMessage="1" showErrorMessage="1" xr:uid="{D08FA0AB-234F-42DC-B320-5D7336B33050}">
          <x14:formula1>
            <xm:f>'Data inputs '!$K$32:$K$55</xm:f>
          </x14:formula1>
          <xm:sqref>W2:W471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41CE5-C95E-41B6-A76B-ABDC78E5548E}">
  <dimension ref="A1:B17"/>
  <sheetViews>
    <sheetView workbookViewId="0">
      <selection activeCell="B2" sqref="B2"/>
    </sheetView>
  </sheetViews>
  <sheetFormatPr defaultRowHeight="15"/>
  <cols>
    <col min="1" max="1" width="11.140625" bestFit="1" customWidth="1"/>
    <col min="2" max="2" width="17.42578125" customWidth="1"/>
  </cols>
  <sheetData>
    <row r="1" spans="1:2">
      <c r="A1" t="s">
        <v>642</v>
      </c>
      <c r="B1" t="s">
        <v>643</v>
      </c>
    </row>
    <row r="2" spans="1:2">
      <c r="A2" t="s">
        <v>12</v>
      </c>
      <c r="B2" s="95">
        <v>2000000</v>
      </c>
    </row>
    <row r="3" spans="1:2">
      <c r="A3" t="s">
        <v>13</v>
      </c>
      <c r="B3" s="95">
        <v>3000000</v>
      </c>
    </row>
    <row r="4" spans="1:2">
      <c r="A4" t="s">
        <v>42</v>
      </c>
      <c r="B4" s="95">
        <v>10660000</v>
      </c>
    </row>
    <row r="5" spans="1:2">
      <c r="A5" t="s">
        <v>43</v>
      </c>
      <c r="B5" s="95"/>
    </row>
    <row r="6" spans="1:2">
      <c r="A6" t="s">
        <v>15</v>
      </c>
      <c r="B6" s="95">
        <v>2000000</v>
      </c>
    </row>
    <row r="7" spans="1:2">
      <c r="A7" t="s">
        <v>216</v>
      </c>
      <c r="B7" s="95"/>
    </row>
    <row r="8" spans="1:2">
      <c r="A8" t="s">
        <v>16</v>
      </c>
      <c r="B8" s="95">
        <v>2500000</v>
      </c>
    </row>
    <row r="9" spans="1:2">
      <c r="A9" t="s">
        <v>44</v>
      </c>
      <c r="B9" s="95">
        <v>2000000</v>
      </c>
    </row>
    <row r="10" spans="1:2">
      <c r="A10" t="s">
        <v>18</v>
      </c>
      <c r="B10" s="95">
        <v>2000000</v>
      </c>
    </row>
    <row r="11" spans="1:2">
      <c r="A11" t="s">
        <v>45</v>
      </c>
      <c r="B11" s="95"/>
    </row>
    <row r="12" spans="1:2">
      <c r="A12" t="s">
        <v>46</v>
      </c>
      <c r="B12" s="95">
        <v>7250000</v>
      </c>
    </row>
    <row r="13" spans="1:2">
      <c r="A13" t="s">
        <v>21</v>
      </c>
      <c r="B13" s="95">
        <v>10640000</v>
      </c>
    </row>
    <row r="14" spans="1:2">
      <c r="A14" t="s">
        <v>22</v>
      </c>
      <c r="B14" s="95">
        <v>3000000</v>
      </c>
    </row>
    <row r="15" spans="1:2">
      <c r="A15" t="s">
        <v>23</v>
      </c>
      <c r="B15" s="95">
        <v>18000000</v>
      </c>
    </row>
    <row r="16" spans="1:2">
      <c r="A16" t="s">
        <v>24</v>
      </c>
      <c r="B16" s="95">
        <v>7650000</v>
      </c>
    </row>
    <row r="17" spans="2:2">
      <c r="B17" s="95">
        <f>SUBTOTAL(9,Table4[Approved Budget])</f>
        <v>70700000</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4"/>
  <dimension ref="A3:R55"/>
  <sheetViews>
    <sheetView topLeftCell="G30" zoomScale="115" zoomScaleNormal="115" zoomScalePageLayoutView="115" workbookViewId="0">
      <selection activeCell="K55" sqref="K55"/>
    </sheetView>
  </sheetViews>
  <sheetFormatPr defaultColWidth="8.85546875" defaultRowHeight="15"/>
  <cols>
    <col min="1" max="1" width="12.85546875" bestFit="1" customWidth="1"/>
    <col min="2" max="2" width="23.42578125" bestFit="1" customWidth="1"/>
    <col min="3" max="3" width="18.42578125" bestFit="1" customWidth="1"/>
    <col min="4" max="4" width="16.28515625" bestFit="1" customWidth="1"/>
    <col min="5" max="5" width="64.140625" customWidth="1"/>
    <col min="6" max="6" width="39.7109375" customWidth="1"/>
    <col min="7" max="7" width="4.42578125" bestFit="1" customWidth="1"/>
    <col min="8" max="8" width="37.140625" customWidth="1"/>
    <col min="9" max="9" width="39.140625" customWidth="1"/>
    <col min="10" max="10" width="8.85546875" customWidth="1"/>
    <col min="11" max="11" width="21.28515625" customWidth="1"/>
    <col min="15" max="15" width="16.7109375" bestFit="1" customWidth="1"/>
    <col min="18" max="18" width="39.7109375" bestFit="1" customWidth="1"/>
  </cols>
  <sheetData>
    <row r="3" spans="1:18" ht="22.5">
      <c r="A3" s="1" t="s">
        <v>644</v>
      </c>
      <c r="B3" s="1" t="s">
        <v>645</v>
      </c>
      <c r="C3" s="1" t="s">
        <v>646</v>
      </c>
      <c r="E3" s="1" t="s">
        <v>647</v>
      </c>
      <c r="F3" s="1" t="s">
        <v>648</v>
      </c>
      <c r="G3" s="1"/>
      <c r="H3" s="1" t="s">
        <v>649</v>
      </c>
      <c r="J3" s="4" t="s">
        <v>650</v>
      </c>
      <c r="K3" s="4" t="s">
        <v>64</v>
      </c>
      <c r="R3" s="53"/>
    </row>
    <row r="4" spans="1:18">
      <c r="E4" t="s">
        <v>75</v>
      </c>
      <c r="F4" s="28" t="s">
        <v>651</v>
      </c>
      <c r="G4">
        <v>10</v>
      </c>
      <c r="H4" s="28" t="s">
        <v>199</v>
      </c>
      <c r="I4" s="28" t="s">
        <v>652</v>
      </c>
      <c r="J4">
        <v>30000</v>
      </c>
      <c r="K4" t="s">
        <v>653</v>
      </c>
      <c r="N4">
        <v>95</v>
      </c>
      <c r="O4" t="s">
        <v>149</v>
      </c>
    </row>
    <row r="5" spans="1:18">
      <c r="A5" t="s">
        <v>66</v>
      </c>
      <c r="B5" t="s">
        <v>12</v>
      </c>
      <c r="C5" t="s">
        <v>96</v>
      </c>
      <c r="E5" t="s">
        <v>637</v>
      </c>
      <c r="F5" s="28" t="s">
        <v>654</v>
      </c>
      <c r="G5" s="28">
        <v>10</v>
      </c>
      <c r="H5" s="28" t="s">
        <v>190</v>
      </c>
      <c r="I5" s="28" t="s">
        <v>652</v>
      </c>
      <c r="J5">
        <v>30000</v>
      </c>
      <c r="K5" t="s">
        <v>655</v>
      </c>
      <c r="N5">
        <v>112</v>
      </c>
      <c r="O5" t="s">
        <v>89</v>
      </c>
    </row>
    <row r="6" spans="1:18">
      <c r="A6" t="s">
        <v>84</v>
      </c>
      <c r="B6" t="s">
        <v>13</v>
      </c>
      <c r="C6" t="s">
        <v>68</v>
      </c>
      <c r="E6" t="s">
        <v>93</v>
      </c>
      <c r="F6" t="s">
        <v>656</v>
      </c>
      <c r="G6">
        <v>25</v>
      </c>
      <c r="H6" s="28" t="s">
        <v>657</v>
      </c>
      <c r="I6" s="28" t="s">
        <v>658</v>
      </c>
      <c r="J6">
        <v>30000</v>
      </c>
      <c r="K6" t="s">
        <v>659</v>
      </c>
      <c r="N6">
        <v>117</v>
      </c>
      <c r="O6" t="s">
        <v>223</v>
      </c>
    </row>
    <row r="7" spans="1:18">
      <c r="A7" t="s">
        <v>660</v>
      </c>
      <c r="B7" t="s">
        <v>42</v>
      </c>
      <c r="C7" t="s">
        <v>4</v>
      </c>
      <c r="E7" t="s">
        <v>286</v>
      </c>
      <c r="F7" t="s">
        <v>661</v>
      </c>
      <c r="G7">
        <v>50</v>
      </c>
      <c r="H7" s="28" t="s">
        <v>201</v>
      </c>
      <c r="I7" s="28" t="s">
        <v>662</v>
      </c>
      <c r="J7">
        <v>30000</v>
      </c>
      <c r="K7" t="s">
        <v>663</v>
      </c>
      <c r="N7">
        <v>137</v>
      </c>
      <c r="O7" t="s">
        <v>116</v>
      </c>
    </row>
    <row r="8" spans="1:18">
      <c r="B8" t="s">
        <v>43</v>
      </c>
      <c r="C8" t="s">
        <v>122</v>
      </c>
      <c r="E8" t="s">
        <v>664</v>
      </c>
      <c r="F8" t="s">
        <v>665</v>
      </c>
      <c r="G8">
        <v>75</v>
      </c>
      <c r="H8" s="28" t="s">
        <v>195</v>
      </c>
      <c r="I8" s="28" t="s">
        <v>666</v>
      </c>
      <c r="J8">
        <v>32045</v>
      </c>
      <c r="K8" t="s">
        <v>667</v>
      </c>
      <c r="N8">
        <v>141</v>
      </c>
      <c r="O8" t="s">
        <v>94</v>
      </c>
    </row>
    <row r="9" spans="1:18">
      <c r="B9" t="s">
        <v>15</v>
      </c>
      <c r="C9" t="s">
        <v>112</v>
      </c>
      <c r="E9" t="s">
        <v>668</v>
      </c>
      <c r="F9" t="s">
        <v>151</v>
      </c>
      <c r="G9">
        <v>20</v>
      </c>
      <c r="H9" s="28" t="s">
        <v>669</v>
      </c>
      <c r="I9" s="28" t="s">
        <v>669</v>
      </c>
      <c r="J9">
        <v>30071</v>
      </c>
      <c r="K9" t="s">
        <v>670</v>
      </c>
      <c r="N9">
        <v>151</v>
      </c>
      <c r="O9" t="s">
        <v>225</v>
      </c>
    </row>
    <row r="10" spans="1:18">
      <c r="B10" t="s">
        <v>16</v>
      </c>
      <c r="C10" t="s">
        <v>81</v>
      </c>
      <c r="E10" t="s">
        <v>671</v>
      </c>
      <c r="F10" s="28" t="s">
        <v>215</v>
      </c>
      <c r="G10" s="28">
        <v>40</v>
      </c>
      <c r="H10" s="28" t="s">
        <v>672</v>
      </c>
      <c r="I10" s="87" t="s">
        <v>673</v>
      </c>
      <c r="J10">
        <v>30000</v>
      </c>
      <c r="K10" t="s">
        <v>674</v>
      </c>
      <c r="N10">
        <v>182</v>
      </c>
      <c r="O10" t="s">
        <v>103</v>
      </c>
    </row>
    <row r="11" spans="1:18">
      <c r="B11" t="s">
        <v>44</v>
      </c>
      <c r="C11" t="s">
        <v>675</v>
      </c>
      <c r="E11" s="2" t="s">
        <v>71</v>
      </c>
      <c r="F11" s="28" t="s">
        <v>676</v>
      </c>
      <c r="G11" s="28">
        <v>80</v>
      </c>
      <c r="H11" s="28" t="s">
        <v>208</v>
      </c>
      <c r="J11">
        <v>30000</v>
      </c>
      <c r="K11" t="s">
        <v>677</v>
      </c>
      <c r="N11">
        <v>187</v>
      </c>
      <c r="O11" t="s">
        <v>100</v>
      </c>
    </row>
    <row r="12" spans="1:18">
      <c r="B12" t="s">
        <v>18</v>
      </c>
      <c r="C12" t="s">
        <v>212</v>
      </c>
      <c r="E12" s="30"/>
      <c r="F12" s="28" t="s">
        <v>678</v>
      </c>
      <c r="G12" s="28">
        <v>85</v>
      </c>
      <c r="H12" s="28" t="s">
        <v>679</v>
      </c>
      <c r="J12">
        <v>30000</v>
      </c>
      <c r="K12" t="s">
        <v>680</v>
      </c>
      <c r="N12">
        <v>232</v>
      </c>
      <c r="O12" t="s">
        <v>198</v>
      </c>
    </row>
    <row r="13" spans="1:18">
      <c r="B13" t="s">
        <v>45</v>
      </c>
      <c r="C13" t="s">
        <v>442</v>
      </c>
      <c r="F13" s="28" t="s">
        <v>681</v>
      </c>
      <c r="G13" s="28">
        <v>85</v>
      </c>
      <c r="H13" s="28" t="s">
        <v>682</v>
      </c>
      <c r="J13">
        <v>30000</v>
      </c>
      <c r="K13" t="s">
        <v>683</v>
      </c>
      <c r="N13">
        <v>717</v>
      </c>
      <c r="O13" t="s">
        <v>219</v>
      </c>
    </row>
    <row r="14" spans="1:18">
      <c r="B14" t="s">
        <v>46</v>
      </c>
      <c r="F14" s="28" t="s">
        <v>684</v>
      </c>
      <c r="G14" s="28">
        <v>90</v>
      </c>
      <c r="H14" s="28" t="s">
        <v>685</v>
      </c>
      <c r="J14">
        <v>30000</v>
      </c>
      <c r="K14" t="s">
        <v>686</v>
      </c>
      <c r="N14" s="21">
        <v>10283</v>
      </c>
      <c r="O14" t="s">
        <v>224</v>
      </c>
    </row>
    <row r="15" spans="1:18">
      <c r="B15" t="s">
        <v>21</v>
      </c>
      <c r="E15" s="30"/>
      <c r="F15" s="28" t="s">
        <v>72</v>
      </c>
      <c r="G15" s="28">
        <v>100</v>
      </c>
      <c r="H15" s="28" t="s">
        <v>634</v>
      </c>
      <c r="J15">
        <v>30000</v>
      </c>
      <c r="K15" t="s">
        <v>687</v>
      </c>
      <c r="N15" s="21">
        <v>10480</v>
      </c>
      <c r="O15" t="s">
        <v>230</v>
      </c>
    </row>
    <row r="16" spans="1:18">
      <c r="B16" t="s">
        <v>22</v>
      </c>
      <c r="F16" s="3" t="s">
        <v>71</v>
      </c>
      <c r="G16" s="3">
        <v>100</v>
      </c>
      <c r="H16" s="28" t="s">
        <v>688</v>
      </c>
      <c r="J16">
        <v>30079</v>
      </c>
      <c r="K16" t="s">
        <v>689</v>
      </c>
      <c r="N16" s="21">
        <v>10159</v>
      </c>
      <c r="O16" t="s">
        <v>10</v>
      </c>
    </row>
    <row r="17" spans="2:15">
      <c r="B17" t="s">
        <v>23</v>
      </c>
      <c r="F17" s="28"/>
      <c r="G17" s="28"/>
      <c r="H17" s="28" t="s">
        <v>690</v>
      </c>
      <c r="J17">
        <v>30000</v>
      </c>
      <c r="K17" t="s">
        <v>691</v>
      </c>
      <c r="N17" s="21">
        <v>11207</v>
      </c>
      <c r="O17" t="s">
        <v>692</v>
      </c>
    </row>
    <row r="18" spans="2:15">
      <c r="B18" t="s">
        <v>693</v>
      </c>
      <c r="E18" t="s">
        <v>694</v>
      </c>
      <c r="F18" s="28"/>
      <c r="G18" s="28"/>
      <c r="H18" s="28" t="s">
        <v>695</v>
      </c>
      <c r="I18" s="28" t="s">
        <v>696</v>
      </c>
      <c r="J18">
        <v>30000</v>
      </c>
      <c r="K18" t="s">
        <v>697</v>
      </c>
      <c r="N18" s="21">
        <v>11410</v>
      </c>
      <c r="O18" t="s">
        <v>229</v>
      </c>
    </row>
    <row r="19" spans="2:15">
      <c r="B19" t="s">
        <v>409</v>
      </c>
      <c r="H19" s="28" t="s">
        <v>698</v>
      </c>
      <c r="I19" s="28" t="s">
        <v>696</v>
      </c>
      <c r="J19">
        <v>30000</v>
      </c>
      <c r="K19" t="s">
        <v>699</v>
      </c>
      <c r="N19" s="21">
        <v>12113</v>
      </c>
      <c r="O19" t="s">
        <v>220</v>
      </c>
    </row>
    <row r="20" spans="2:15" ht="30">
      <c r="B20" t="s">
        <v>422</v>
      </c>
      <c r="F20" s="28"/>
      <c r="G20" s="28"/>
      <c r="H20" s="28" t="s">
        <v>73</v>
      </c>
      <c r="I20" s="28" t="s">
        <v>696</v>
      </c>
      <c r="N20" s="98" t="s">
        <v>258</v>
      </c>
      <c r="O20" s="19" t="s">
        <v>700</v>
      </c>
    </row>
    <row r="21" spans="2:15" ht="45">
      <c r="B21" t="s">
        <v>424</v>
      </c>
      <c r="F21" s="28"/>
      <c r="G21" s="28"/>
      <c r="H21" s="8" t="s">
        <v>701</v>
      </c>
      <c r="N21" s="98" t="s">
        <v>356</v>
      </c>
      <c r="O21" s="19" t="s">
        <v>702</v>
      </c>
    </row>
    <row r="22" spans="2:15" ht="30">
      <c r="B22" t="s">
        <v>419</v>
      </c>
      <c r="H22" s="3" t="s">
        <v>703</v>
      </c>
      <c r="N22" s="19" t="s">
        <v>704</v>
      </c>
      <c r="O22" s="19" t="s">
        <v>705</v>
      </c>
    </row>
    <row r="23" spans="2:15" ht="30">
      <c r="B23" t="s">
        <v>415</v>
      </c>
      <c r="F23" s="28"/>
      <c r="G23" s="28"/>
      <c r="H23" s="28"/>
      <c r="N23" s="98" t="s">
        <v>706</v>
      </c>
      <c r="O23" s="19" t="s">
        <v>707</v>
      </c>
    </row>
    <row r="24" spans="2:15">
      <c r="B24" t="s">
        <v>426</v>
      </c>
      <c r="F24" s="28"/>
      <c r="G24" s="28"/>
      <c r="H24" s="28"/>
    </row>
    <row r="25" spans="2:15">
      <c r="B25" t="s">
        <v>397</v>
      </c>
      <c r="H25" s="28"/>
    </row>
    <row r="26" spans="2:15" ht="24" customHeight="1">
      <c r="B26" t="s">
        <v>428</v>
      </c>
      <c r="F26" t="s">
        <v>694</v>
      </c>
      <c r="H26" s="28"/>
    </row>
    <row r="27" spans="2:15">
      <c r="B27" t="s">
        <v>410</v>
      </c>
    </row>
    <row r="28" spans="2:15">
      <c r="B28" t="s">
        <v>436</v>
      </c>
      <c r="E28" s="52" t="s">
        <v>708</v>
      </c>
      <c r="H28" s="53" t="s">
        <v>233</v>
      </c>
    </row>
    <row r="29" spans="2:15">
      <c r="B29" t="s">
        <v>432</v>
      </c>
      <c r="D29" t="s">
        <v>709</v>
      </c>
      <c r="E29" t="s">
        <v>76</v>
      </c>
      <c r="F29" t="s">
        <v>710</v>
      </c>
      <c r="H29" t="s">
        <v>711</v>
      </c>
    </row>
    <row r="30" spans="2:15">
      <c r="B30" t="s">
        <v>439</v>
      </c>
      <c r="D30" t="s">
        <v>152</v>
      </c>
      <c r="E30" t="s">
        <v>152</v>
      </c>
      <c r="F30" t="s">
        <v>710</v>
      </c>
      <c r="H30" t="s">
        <v>712</v>
      </c>
    </row>
    <row r="31" spans="2:15">
      <c r="B31" t="s">
        <v>24</v>
      </c>
      <c r="D31" t="s">
        <v>478</v>
      </c>
      <c r="E31" t="s">
        <v>478</v>
      </c>
      <c r="F31" t="s">
        <v>710</v>
      </c>
      <c r="H31" t="s">
        <v>278</v>
      </c>
      <c r="K31" s="53" t="s">
        <v>713</v>
      </c>
      <c r="L31" s="53" t="s">
        <v>714</v>
      </c>
    </row>
    <row r="32" spans="2:15">
      <c r="B32" t="s">
        <v>209</v>
      </c>
      <c r="D32" t="s">
        <v>71</v>
      </c>
      <c r="E32" s="12" t="s">
        <v>71</v>
      </c>
      <c r="F32" t="s">
        <v>710</v>
      </c>
      <c r="K32" t="s">
        <v>91</v>
      </c>
      <c r="L32" t="s">
        <v>715</v>
      </c>
    </row>
    <row r="33" spans="2:12">
      <c r="D33" t="s">
        <v>266</v>
      </c>
      <c r="E33" t="s">
        <v>266</v>
      </c>
      <c r="F33" t="s">
        <v>710</v>
      </c>
      <c r="K33" t="s">
        <v>180</v>
      </c>
      <c r="L33" t="s">
        <v>6</v>
      </c>
    </row>
    <row r="34" spans="2:12">
      <c r="B34" s="53" t="s">
        <v>48</v>
      </c>
      <c r="E34" t="s">
        <v>694</v>
      </c>
      <c r="F34" t="s">
        <v>716</v>
      </c>
      <c r="K34" t="s">
        <v>717</v>
      </c>
      <c r="L34" t="s">
        <v>718</v>
      </c>
    </row>
    <row r="35" spans="2:12">
      <c r="B35" t="s">
        <v>118</v>
      </c>
      <c r="K35" t="s">
        <v>719</v>
      </c>
      <c r="L35" t="s">
        <v>720</v>
      </c>
    </row>
    <row r="36" spans="2:12">
      <c r="B36" t="s">
        <v>67</v>
      </c>
      <c r="K36" t="s">
        <v>145</v>
      </c>
      <c r="L36" t="s">
        <v>721</v>
      </c>
    </row>
    <row r="37" spans="2:12">
      <c r="B37" t="s">
        <v>148</v>
      </c>
      <c r="F37" s="53" t="s">
        <v>722</v>
      </c>
      <c r="G37" s="53"/>
      <c r="K37" t="s">
        <v>203</v>
      </c>
      <c r="L37" t="s">
        <v>723</v>
      </c>
    </row>
    <row r="38" spans="2:12">
      <c r="F38" t="s">
        <v>724</v>
      </c>
      <c r="K38" t="s">
        <v>137</v>
      </c>
    </row>
    <row r="39" spans="2:12">
      <c r="F39" t="s">
        <v>725</v>
      </c>
      <c r="K39" t="s">
        <v>80</v>
      </c>
    </row>
    <row r="40" spans="2:12">
      <c r="K40" t="s">
        <v>74</v>
      </c>
    </row>
    <row r="41" spans="2:12">
      <c r="B41" s="53" t="s">
        <v>726</v>
      </c>
      <c r="K41" t="s">
        <v>108</v>
      </c>
    </row>
    <row r="42" spans="2:12">
      <c r="B42" t="s">
        <v>71</v>
      </c>
      <c r="K42" t="s">
        <v>139</v>
      </c>
    </row>
    <row r="43" spans="2:12">
      <c r="B43" t="s">
        <v>478</v>
      </c>
      <c r="K43" t="s">
        <v>126</v>
      </c>
    </row>
    <row r="44" spans="2:12">
      <c r="B44" t="s">
        <v>152</v>
      </c>
      <c r="K44" t="s">
        <v>727</v>
      </c>
    </row>
    <row r="45" spans="2:12">
      <c r="B45" t="s">
        <v>728</v>
      </c>
      <c r="K45" t="s">
        <v>120</v>
      </c>
    </row>
    <row r="46" spans="2:12">
      <c r="B46" t="s">
        <v>245</v>
      </c>
      <c r="K46" t="s">
        <v>135</v>
      </c>
    </row>
    <row r="47" spans="2:12">
      <c r="B47" t="s">
        <v>266</v>
      </c>
      <c r="K47" t="s">
        <v>83</v>
      </c>
    </row>
    <row r="48" spans="2:12">
      <c r="B48" t="s">
        <v>729</v>
      </c>
      <c r="K48" t="s">
        <v>730</v>
      </c>
    </row>
    <row r="49" spans="2:11">
      <c r="B49" t="s">
        <v>554</v>
      </c>
      <c r="K49" t="s">
        <v>124</v>
      </c>
    </row>
    <row r="50" spans="2:11">
      <c r="K50" t="s">
        <v>184</v>
      </c>
    </row>
    <row r="51" spans="2:11">
      <c r="K51" t="s">
        <v>464</v>
      </c>
    </row>
    <row r="52" spans="2:11">
      <c r="K52" t="s">
        <v>77</v>
      </c>
    </row>
    <row r="53" spans="2:11">
      <c r="K53" t="s">
        <v>178</v>
      </c>
    </row>
    <row r="54" spans="2:11">
      <c r="K54" t="s">
        <v>111</v>
      </c>
    </row>
    <row r="55" spans="2:11">
      <c r="K55" t="s">
        <v>166</v>
      </c>
    </row>
  </sheetData>
  <sortState xmlns:xlrd2="http://schemas.microsoft.com/office/spreadsheetml/2017/richdata2" ref="K32:K72">
    <sortCondition ref="K32"/>
  </sortState>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9811" operator="containsText" id="{D5741647-240C-4ADA-92CE-B61732A7651C}">
            <xm:f>NOT(ISERROR(SEARCH($B$7,E8)))</xm:f>
            <xm:f>$B$7</xm:f>
            <x14:dxf>
              <fill>
                <patternFill patternType="none">
                  <bgColor auto="1"/>
                </patternFill>
              </fill>
            </x14:dxf>
          </x14:cfRule>
          <xm:sqref>E8 F8:G9</xm:sqref>
        </x14:conditionalFormatting>
        <x14:conditionalFormatting xmlns:xm="http://schemas.microsoft.com/office/excel/2006/main">
          <x14:cfRule type="containsText" priority="20101" operator="containsText" id="{4AD7097E-6CC3-46D6-9F62-0C81DF662865}">
            <xm:f>NOT(ISERROR(SEARCH($B$14,E9)))</xm:f>
            <xm:f>$B$14</xm:f>
            <x14:dxf>
              <fill>
                <patternFill patternType="none">
                  <bgColor auto="1"/>
                </patternFill>
              </fill>
            </x14:dxf>
          </x14:cfRule>
          <xm:sqref>E9</xm:sqref>
        </x14:conditionalFormatting>
        <x14:conditionalFormatting xmlns:xm="http://schemas.microsoft.com/office/excel/2006/main">
          <x14:cfRule type="containsText" priority="20103" operator="containsText" id="{7A7EE708-994A-4C93-A3AB-ECF2B2148763}">
            <xm:f>NOT(ISERROR(SEARCH($B$19,E10)))</xm:f>
            <xm:f>$B$19</xm:f>
            <x14:dxf/>
          </x14:cfRule>
          <xm:sqref>E10</xm:sqref>
        </x14:conditionalFormatting>
        <x14:conditionalFormatting xmlns:xm="http://schemas.microsoft.com/office/excel/2006/main">
          <x14:cfRule type="containsText" priority="20106" operator="containsText" id="{4AE6A9D0-ABA7-4AEC-8449-CE60FE392A15}">
            <xm:f>NOT(ISERROR(SEARCH($B$22,E11)))</xm:f>
            <xm:f>$B$22</xm:f>
            <x14:dxf>
              <fill>
                <patternFill>
                  <bgColor rgb="FF00B050"/>
                </patternFill>
              </fill>
            </x14:dxf>
          </x14:cfRule>
          <xm:sqref>E11</xm:sqref>
        </x14:conditionalFormatting>
        <x14:conditionalFormatting xmlns:xm="http://schemas.microsoft.com/office/excel/2006/main">
          <x14:cfRule type="containsText" priority="20102" operator="containsText" id="{30687658-1E8B-4E63-A8B2-55DFBFE0CF5A}">
            <xm:f>NOT(ISERROR(SEARCH($B$18,E12)))</xm:f>
            <xm:f>$B$18</xm:f>
            <x14:dxf>
              <fill>
                <patternFill>
                  <bgColor rgb="FFFF0000"/>
                </patternFill>
              </fill>
            </x14:dxf>
          </x14:cfRule>
          <xm:sqref>E12</xm:sqref>
        </x14:conditionalFormatting>
        <x14:conditionalFormatting xmlns:xm="http://schemas.microsoft.com/office/excel/2006/main">
          <x14:cfRule type="containsText" priority="20104" operator="containsText" id="{AD1E167E-B71D-4B76-BF30-C0F8297E2FE7}">
            <xm:f>NOT(ISERROR(SEARCH($B$20,E14)))</xm:f>
            <xm:f>$B$20</xm:f>
            <x14:dxf>
              <fill>
                <patternFill>
                  <bgColor rgb="FFFFFF00"/>
                </patternFill>
              </fill>
            </x14:dxf>
          </x14:cfRule>
          <xm:sqref>E14</xm:sqref>
        </x14:conditionalFormatting>
        <x14:conditionalFormatting xmlns:xm="http://schemas.microsoft.com/office/excel/2006/main">
          <x14:cfRule type="containsText" priority="20105" operator="containsText" id="{056E1D5F-1117-496A-AF54-34C501DEFA7D}">
            <xm:f>NOT(ISERROR(SEARCH($B$21,E15)))</xm:f>
            <xm:f>$B$21</xm:f>
            <x14:dxf>
              <fill>
                <patternFill>
                  <bgColor rgb="FFFF0000"/>
                </patternFill>
              </fill>
            </x14:dxf>
          </x14:cfRule>
          <xm:sqref>E15</xm:sqref>
        </x14:conditionalFormatting>
        <x14:conditionalFormatting xmlns:xm="http://schemas.microsoft.com/office/excel/2006/main">
          <x14:cfRule type="containsText" priority="13" operator="containsText" id="{043B3049-8B92-4A08-BCCA-3F1E55898C1D}">
            <xm:f>NOT(ISERROR(SEARCH($B$4,E7)))</xm:f>
            <xm:f>$B$4</xm:f>
            <x14:dxf>
              <font>
                <color auto="1"/>
              </font>
              <fill>
                <patternFill patternType="none">
                  <bgColor auto="1"/>
                </patternFill>
              </fill>
            </x14:dxf>
          </x14:cfRule>
          <xm:sqref>E7:G7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item1.xml>��
</file>

<file path=customXml/item2.xml>��
</file>

<file path=customXml/item3.xml>��
</file>

<file path=customXml/item4.xml>��
</file>

<file path=customXml/item5.xml>��
</file>

<file path=customXml/item6.xml>��
</file>

<file path=customXml/item7.xml><?xml version="1.0" encoding="utf-8"?>
<?mso-contentType ?>
<FormTemplates xmlns="http://schemas.microsoft.com/sharepoint/v3/contenttype/forms">
  <Display>DocumentLibraryForm</Display>
  <Edit>DocumentLibraryForm</Edit>
  <New>DocumentLibraryForm</New>
</FormTemplates>
</file>

<file path=customXml/item8.xml>��
</file>

<file path=customXml/item9.xml>��
</file>

<file path=customXml/item10.xml><?xml version="1.0" encoding="utf-8"?>
<p:properties xmlns:p="http://schemas.microsoft.com/office/2006/metadata/properties" xmlns:xsi="http://www.w3.org/2001/XMLSchema-instance" xmlns:pc="http://schemas.microsoft.com/office/infopath/2007/PartnerControls">
  <documentManagement/>
</p:properties>
</file>

<file path=customXml/item11.xml>��
</file>

<file path=customXml/item12.xml>��
</file>

<file path=customXml/item13.xml><?xml version="1.0" encoding="utf-8"?>
<ct:contentTypeSchema xmlns:ct="http://schemas.microsoft.com/office/2006/metadata/contentType" xmlns:ma="http://schemas.microsoft.com/office/2006/metadata/properties/metaAttributes" ct:_="" ma:_="" ma:contentTypeName="Document" ma:contentTypeID="0x010100F9CC04D577A2754E9489C9B347E960ED" ma:contentTypeVersion="10" ma:contentTypeDescription="Create a new document." ma:contentTypeScope="" ma:versionID="228f582f61facf1d17930f04a1afef14">
  <xsd:schema xmlns:xsd="http://www.w3.org/2001/XMLSchema" xmlns:xs="http://www.w3.org/2001/XMLSchema" xmlns:p="http://schemas.microsoft.com/office/2006/metadata/properties" xmlns:ns3="16414472-13a3-44cb-aecb-548e720d979d" targetNamespace="http://schemas.microsoft.com/office/2006/metadata/properties" ma:root="true" ma:fieldsID="cd26f2d77741b4d2e2229057049a36b5" ns3:_="">
    <xsd:import namespace="16414472-13a3-44cb-aecb-548e720d979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14472-13a3-44cb-aecb-548e720d9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DCF38C-8974-4BF5-A50B-B29B854D6C74}">
  <ds:schemaRefs>
    <ds:schemaRef ds:uri="http://gemini/pivotcustomization/6eef4d10-6d08-42fc-8350-04bed909d944"/>
  </ds:schemaRefs>
</ds:datastoreItem>
</file>

<file path=customXml/itemProps2.xml><?xml version="1.0" encoding="utf-8"?>
<ds:datastoreItem xmlns:ds="http://schemas.openxmlformats.org/officeDocument/2006/customXml" ds:itemID="{335455F2-7648-4FFA-B10F-EBEE398DC00A}">
  <ds:schemaRefs>
    <ds:schemaRef ds:uri="http://gemini/pivotcustomization/TableXML_Table1"/>
  </ds:schemaRefs>
</ds:datastoreItem>
</file>

<file path=customXml/itemProps3.xml><?xml version="1.0" encoding="utf-8"?>
<ds:datastoreItem xmlns:ds="http://schemas.openxmlformats.org/officeDocument/2006/customXml" ds:itemID="{B79FCED5-B6E5-4E6B-9CC4-3434A220356A}">
  <ds:schemaRefs>
    <ds:schemaRef ds:uri="http://gemini/pivotcustomization/TableWidget"/>
  </ds:schemaRefs>
</ds:datastoreItem>
</file>

<file path=customXml/itemProps4.xml><?xml version="1.0" encoding="utf-8"?>
<ds:datastoreItem xmlns:ds="http://schemas.openxmlformats.org/officeDocument/2006/customXml" ds:itemID="{3400E027-9D76-422F-945C-CD0BED908ED0}">
  <ds:schemaRefs>
    <ds:schemaRef ds:uri="http://gemini/pivotcustomization/TableXML_Covid-19 Fund Status_ec9e4746-2ad0-4141-a19d-302e1b5ac6a6"/>
  </ds:schemaRefs>
</ds:datastoreItem>
</file>

<file path=customXml/itemProps5.xml><?xml version="1.0" encoding="utf-8"?>
<ds:datastoreItem xmlns:ds="http://schemas.openxmlformats.org/officeDocument/2006/customXml" ds:itemID="{93B95D62-710A-454E-A796-5EB6FED94A6E}">
  <ds:schemaRefs>
    <ds:schemaRef ds:uri="http://schemas.microsoft.com/PowerBIAddIn"/>
  </ds:schemaRefs>
</ds:datastoreItem>
</file>

<file path=customXml/itemProps6.xml><?xml version="1.0" encoding="utf-8"?>
<ds:datastoreItem xmlns:ds="http://schemas.openxmlformats.org/officeDocument/2006/customXml" ds:itemID="{C080C78B-0E16-4B03-8F1C-40A923A26886}">
  <ds:schemaRefs>
    <ds:schemaRef ds:uri="http://gemini/pivotcustomization/FormulaBarState"/>
  </ds:schemaRefs>
</ds:datastoreItem>
</file>

<file path=customXml/itemProps7.xml><?xml version="1.0" encoding="utf-8"?>
<ds:datastoreItem xmlns:ds="http://schemas.openxmlformats.org/officeDocument/2006/customXml" ds:itemID="{C4E530B4-803F-426E-9EAC-45E087745032}">
  <ds:schemaRefs>
    <ds:schemaRef ds:uri="http://schemas.microsoft.com/sharepoint/v3/contenttype/forms"/>
  </ds:schemaRefs>
</ds:datastoreItem>
</file>

<file path=customXml/itemProps8.xml><?xml version="1.0" encoding="utf-8"?>
<ds:datastoreItem xmlns:ds="http://schemas.openxmlformats.org/officeDocument/2006/customXml" ds:itemID="{2BF5C498-C4E2-409C-B31C-C1BEF89685FD}">
  <ds:schemaRefs>
    <ds:schemaRef ds:uri="http://gemini/pivotcustomization/TableXML_Board Approved Fund_029ed056-346c-49f1-8e35-867d595b36a9"/>
  </ds:schemaRefs>
</ds:datastoreItem>
</file>

<file path=customXml/itemProps9.xml><?xml version="1.0" encoding="utf-8"?>
<ds:datastoreItem xmlns:ds="http://schemas.openxmlformats.org/officeDocument/2006/customXml" ds:itemID="{21A6A3C2-6C25-4F5D-AAD5-1ACD7921C781}">
  <ds:schemaRefs>
    <ds:schemaRef ds:uri="http://gemini/pivotcustomization/TableXML_Fund Status_819d22b7-1895-4815-96c5-f45157891309"/>
  </ds:schemaRefs>
</ds:datastoreItem>
</file>

<file path=customXml/itemProps10.xml><?xml version="1.0" encoding="utf-8"?>
<ds:datastoreItem xmlns:ds="http://schemas.openxmlformats.org/officeDocument/2006/customXml" ds:itemID="{9A3C1EF9-0ACB-4FA2-9A1C-7A1C5362A32D}">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schemas.microsoft.com/office/infopath/2007/PartnerControls"/>
    <ds:schemaRef ds:uri="16414472-13a3-44cb-aecb-548e720d979d"/>
    <ds:schemaRef ds:uri="http://www.w3.org/XML/1998/namespace"/>
    <ds:schemaRef ds:uri="http://purl.org/dc/terms/"/>
  </ds:schemaRefs>
</ds:datastoreItem>
</file>

<file path=customXml/itemProps11.xml><?xml version="1.0" encoding="utf-8"?>
<ds:datastoreItem xmlns:ds="http://schemas.openxmlformats.org/officeDocument/2006/customXml" ds:itemID="{12AE67B9-0AD4-4B8B-98FF-B7AF01481428}">
  <ds:schemaRefs>
    <ds:schemaRef ds:uri="http://gemini/pivotcustomization/TableXML_Progress Status_31381b3e-2ee6-4c91-8c8a-93e9b9e30600"/>
  </ds:schemaRefs>
</ds:datastoreItem>
</file>

<file path=customXml/itemProps12.xml><?xml version="1.0" encoding="utf-8"?>
<ds:datastoreItem xmlns:ds="http://schemas.openxmlformats.org/officeDocument/2006/customXml" ds:itemID="{B4755AFD-BB54-47E9-869B-BB5EA5DE738A}">
  <ds:schemaRefs>
    <ds:schemaRef ds:uri="http://schemas.microsoft.com/DataMashup"/>
  </ds:schemaRefs>
</ds:datastoreItem>
</file>

<file path=customXml/itemProps13.xml><?xml version="1.0" encoding="utf-8"?>
<ds:datastoreItem xmlns:ds="http://schemas.openxmlformats.org/officeDocument/2006/customXml" ds:itemID="{09FCAE4D-DE81-474F-B2DA-6382680913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414472-13a3-44cb-aecb-548e720d97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Population</vt:lpstr>
      <vt:lpstr>Location</vt:lpstr>
      <vt:lpstr>Tracker</vt:lpstr>
      <vt:lpstr>donor_list</vt:lpstr>
      <vt:lpstr>Master</vt:lpstr>
      <vt:lpstr>Board Approved Budget</vt:lpstr>
      <vt:lpstr>Data inputs </vt:lpstr>
      <vt:lpstr>Master!Print_Area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Rohan Manandhar</dc:creator>
  <cp:keywords/>
  <dc:description/>
  <cp:lastModifiedBy>Rohan Manandhar</cp:lastModifiedBy>
  <cp:revision/>
  <dcterms:created xsi:type="dcterms:W3CDTF">2018-09-10T12:53:08Z</dcterms:created>
  <dcterms:modified xsi:type="dcterms:W3CDTF">2023-10-01T03:00:00Z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0x010100F9CC04D577A2754E9489C9B347E960ED</vt:lpwstr>
  </property>
</Properties>
</file>