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JP Project\"/>
    </mc:Choice>
  </mc:AlternateContent>
  <xr:revisionPtr revIDLastSave="0" documentId="8_{3DB8DA9F-9DBE-4E72-A40C-A1AD6D349118}" xr6:coauthVersionLast="47" xr6:coauthVersionMax="47" xr10:uidLastSave="{00000000-0000-0000-0000-000000000000}"/>
  <bookViews>
    <workbookView xWindow="-108" yWindow="-108" windowWidth="23256" windowHeight="12456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31" l="1"/>
  <c r="L46" i="31"/>
  <c r="M46" i="31"/>
  <c r="S46" i="31"/>
  <c r="J46" i="31"/>
  <c r="N59" i="31"/>
  <c r="M59" i="31"/>
  <c r="L59" i="31"/>
  <c r="K59" i="31"/>
  <c r="J59" i="31"/>
  <c r="I59" i="31"/>
  <c r="H59" i="31"/>
  <c r="G59" i="31"/>
  <c r="F59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N56" i="31"/>
  <c r="M56" i="31"/>
  <c r="L56" i="31"/>
  <c r="K56" i="31"/>
  <c r="J56" i="31"/>
  <c r="I56" i="31"/>
  <c r="H56" i="31"/>
  <c r="G56" i="31"/>
  <c r="F56" i="31"/>
  <c r="Q55" i="31"/>
  <c r="R55" i="31"/>
  <c r="S55" i="31"/>
  <c r="G55" i="31"/>
  <c r="H55" i="31"/>
  <c r="I55" i="31"/>
  <c r="J55" i="31"/>
  <c r="K55" i="31"/>
  <c r="L55" i="31"/>
  <c r="M55" i="31"/>
  <c r="N55" i="31"/>
  <c r="O55" i="31"/>
  <c r="P55" i="31"/>
  <c r="F55" i="31"/>
  <c r="N53" i="31"/>
  <c r="M53" i="31"/>
  <c r="L53" i="31"/>
  <c r="K53" i="31"/>
  <c r="J53" i="31"/>
  <c r="I53" i="31"/>
  <c r="H53" i="31"/>
  <c r="G53" i="31"/>
  <c r="F53" i="31"/>
  <c r="N52" i="31"/>
  <c r="M52" i="31"/>
  <c r="L52" i="31"/>
  <c r="K52" i="31"/>
  <c r="J52" i="31"/>
  <c r="I52" i="31"/>
  <c r="H52" i="31"/>
  <c r="G52" i="31"/>
  <c r="F52" i="31"/>
  <c r="S50" i="31"/>
  <c r="M50" i="31"/>
  <c r="L50" i="31"/>
  <c r="K50" i="31"/>
  <c r="J50" i="31"/>
  <c r="I50" i="31"/>
  <c r="H50" i="31"/>
  <c r="G50" i="31"/>
  <c r="F50" i="31"/>
  <c r="N49" i="31"/>
  <c r="M49" i="31"/>
  <c r="L49" i="31"/>
  <c r="K49" i="31"/>
  <c r="J49" i="31"/>
  <c r="I49" i="31"/>
  <c r="H49" i="31"/>
  <c r="G49" i="31"/>
  <c r="F49" i="31"/>
  <c r="F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33" i="31"/>
  <c r="O29" i="45"/>
  <c r="P29" i="45" s="1"/>
  <c r="N29" i="45"/>
  <c r="K40" i="31" s="1"/>
  <c r="J40" i="31"/>
  <c r="I40" i="31"/>
  <c r="J33" i="31"/>
  <c r="H32" i="31"/>
  <c r="I32" i="31"/>
  <c r="G31" i="31"/>
  <c r="G32" i="31" s="1"/>
  <c r="H31" i="31"/>
  <c r="I31" i="31"/>
  <c r="J31" i="31"/>
  <c r="J32" i="31" s="1"/>
  <c r="K31" i="31"/>
  <c r="K32" i="31" s="1"/>
  <c r="L31" i="31"/>
  <c r="L32" i="31" s="1"/>
  <c r="M31" i="31"/>
  <c r="M32" i="31" s="1"/>
  <c r="S31" i="31"/>
  <c r="S33" i="31" s="1"/>
  <c r="F31" i="31"/>
  <c r="J29" i="31"/>
  <c r="M28" i="31"/>
  <c r="L28" i="31"/>
  <c r="G28" i="31"/>
  <c r="F28" i="31"/>
  <c r="G27" i="31"/>
  <c r="G29" i="31" s="1"/>
  <c r="H27" i="31"/>
  <c r="H29" i="31" s="1"/>
  <c r="I27" i="31"/>
  <c r="I28" i="31" s="1"/>
  <c r="J27" i="31"/>
  <c r="J28" i="31" s="1"/>
  <c r="K27" i="31"/>
  <c r="K28" i="31" s="1"/>
  <c r="L27" i="31"/>
  <c r="L29" i="31" s="1"/>
  <c r="M27" i="31"/>
  <c r="M29" i="31" s="1"/>
  <c r="F27" i="31"/>
  <c r="F29" i="31" s="1"/>
  <c r="G24" i="31"/>
  <c r="H25" i="31" s="1"/>
  <c r="H24" i="31"/>
  <c r="I24" i="31"/>
  <c r="J24" i="31"/>
  <c r="J25" i="31" s="1"/>
  <c r="K24" i="31"/>
  <c r="K25" i="31" s="1"/>
  <c r="L24" i="31"/>
  <c r="L25" i="31" s="1"/>
  <c r="M24" i="31"/>
  <c r="N24" i="31"/>
  <c r="N25" i="31" s="1"/>
  <c r="F24" i="31"/>
  <c r="F32" i="31" s="1"/>
  <c r="I25" i="31"/>
  <c r="M53" i="45"/>
  <c r="N53" i="45"/>
  <c r="O53" i="45"/>
  <c r="P53" i="45"/>
  <c r="L53" i="45"/>
  <c r="P20" i="45"/>
  <c r="P22" i="45" s="1"/>
  <c r="O20" i="45"/>
  <c r="O22" i="45" s="1"/>
  <c r="N20" i="45"/>
  <c r="N22" i="45" s="1"/>
  <c r="M20" i="45"/>
  <c r="M22" i="45" s="1"/>
  <c r="L20" i="45"/>
  <c r="L22" i="45" s="1"/>
  <c r="R49" i="45"/>
  <c r="S49" i="45" s="1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5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M16" i="45"/>
  <c r="N16" i="45"/>
  <c r="O16" i="45"/>
  <c r="P16" i="45"/>
  <c r="L16" i="45"/>
  <c r="M12" i="45"/>
  <c r="N12" i="45"/>
  <c r="O12" i="45"/>
  <c r="P12" i="45"/>
  <c r="L12" i="45"/>
  <c r="M33" i="31" l="1"/>
  <c r="I33" i="31"/>
  <c r="K29" i="31"/>
  <c r="K33" i="31"/>
  <c r="I29" i="31"/>
  <c r="L33" i="31"/>
  <c r="H28" i="31"/>
  <c r="G33" i="31"/>
  <c r="H33" i="31"/>
  <c r="Q29" i="45"/>
  <c r="M40" i="31"/>
  <c r="L40" i="31"/>
  <c r="M25" i="31"/>
  <c r="G25" i="31"/>
  <c r="F25" i="31"/>
  <c r="K33" i="45"/>
  <c r="J33" i="45"/>
  <c r="I33" i="45"/>
  <c r="H33" i="45"/>
  <c r="G33" i="45"/>
  <c r="F33" i="45"/>
  <c r="K32" i="45"/>
  <c r="J32" i="45"/>
  <c r="I32" i="45"/>
  <c r="H32" i="45"/>
  <c r="G32" i="45"/>
  <c r="F32" i="45"/>
  <c r="R29" i="45" l="1"/>
  <c r="N40" i="31"/>
  <c r="E19" i="9"/>
  <c r="O40" i="31" l="1"/>
  <c r="S29" i="45"/>
  <c r="D111" i="31"/>
  <c r="D22" i="31"/>
  <c r="C9" i="45"/>
  <c r="T29" i="45" l="1"/>
  <c r="P40" i="31"/>
  <c r="G76" i="45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U29" i="45" l="1"/>
  <c r="Q40" i="31"/>
  <c r="G125" i="3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V29" i="45" l="1"/>
  <c r="S40" i="31" s="1"/>
  <c r="R40" i="31"/>
  <c r="T50" i="45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F75" i="45" l="1"/>
  <c r="G75" i="45"/>
  <c r="K65" i="45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N32" i="45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I123" i="31"/>
  <c r="F103" i="31"/>
  <c r="L37" i="40" s="1"/>
  <c r="M37" i="40"/>
  <c r="F121" i="31"/>
  <c r="L29" i="40"/>
  <c r="F116" i="31" l="1"/>
  <c r="F117" i="31" s="1"/>
  <c r="F36" i="31"/>
  <c r="F37" i="31"/>
  <c r="K123" i="31"/>
  <c r="K23" i="40"/>
  <c r="G35" i="3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6" i="31"/>
  <c r="G37" i="31"/>
  <c r="H37" i="31"/>
  <c r="G118" i="3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36" i="31" l="1"/>
  <c r="I37" i="31"/>
  <c r="I39" i="31"/>
  <c r="I42" i="31" s="1"/>
  <c r="I116" i="3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I44" i="31" l="1"/>
  <c r="I43" i="31"/>
  <c r="J39" i="31"/>
  <c r="J42" i="31" s="1"/>
  <c r="J37" i="31"/>
  <c r="J36" i="31"/>
  <c r="J15" i="40"/>
  <c r="J16" i="40"/>
  <c r="I61" i="31"/>
  <c r="K10" i="40"/>
  <c r="K27" i="40"/>
  <c r="K25" i="40"/>
  <c r="J17" i="40"/>
  <c r="K35" i="3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43" i="31" l="1"/>
  <c r="J44" i="31"/>
  <c r="K116" i="31"/>
  <c r="K117" i="31" s="1"/>
  <c r="K36" i="31"/>
  <c r="K37" i="31"/>
  <c r="K39" i="31"/>
  <c r="K42" i="31" s="1"/>
  <c r="J18" i="40"/>
  <c r="K19" i="40"/>
  <c r="K28" i="40" s="1"/>
  <c r="I120" i="31"/>
  <c r="I127" i="31" s="1"/>
  <c r="I63" i="31"/>
  <c r="I64" i="31" s="1"/>
  <c r="J19" i="40"/>
  <c r="J28" i="40" s="1"/>
  <c r="K18" i="40"/>
  <c r="M17" i="31"/>
  <c r="M18" i="31" s="1"/>
  <c r="J61" i="31"/>
  <c r="M66" i="31"/>
  <c r="L67" i="31"/>
  <c r="L30" i="40" s="1"/>
  <c r="S29" i="40"/>
  <c r="K43" i="31" l="1"/>
  <c r="K44" i="31"/>
  <c r="K61" i="31"/>
  <c r="J31" i="40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L116" i="31" l="1"/>
  <c r="L117" i="31" s="1"/>
  <c r="L36" i="31"/>
  <c r="L37" i="31"/>
  <c r="L39" i="31"/>
  <c r="L42" i="31" s="1"/>
  <c r="M36" i="31"/>
  <c r="M37" i="31"/>
  <c r="M39" i="31"/>
  <c r="M42" i="31" s="1"/>
  <c r="N27" i="40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43" i="31" l="1"/>
  <c r="M44" i="31"/>
  <c r="L43" i="31"/>
  <c r="L44" i="31"/>
  <c r="M28" i="40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<sst xmlns="http://schemas.openxmlformats.org/spreadsheetml/2006/main" count="282" uniqueCount="170">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</sst>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1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174" fontId="251" fillId="106" borderId="0" xfId="0" applyNumberFormat="1" applyFont="1" applyFill="1"/>
    <xf numFmtId="0" fontId="0" fillId="106" borderId="0" xfId="0" applyFill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9" fontId="251" fillId="106" borderId="0" xfId="2309" applyFont="1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>
      <selection activeCell="I32" sqref="I32"/>
    </sheetView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1" t="s">
        <v>136</v>
      </c>
      <c r="E14" s="352"/>
      <c r="F14" s="352"/>
      <c r="G14" s="352"/>
      <c r="H14" s="352"/>
      <c r="I14" s="352"/>
      <c r="J14" s="352"/>
      <c r="K14" s="352"/>
      <c r="L14" s="352"/>
      <c r="M14" s="352"/>
      <c r="N14" s="352"/>
      <c r="O14" s="352"/>
      <c r="P14" s="352"/>
      <c r="Q14" s="352"/>
      <c r="R14" s="352"/>
      <c r="S14" s="352"/>
      <c r="T14" s="352"/>
      <c r="W14"/>
    </row>
    <row r="15" spans="2:23" ht="12.75" customHeight="1">
      <c r="C15" s="15"/>
      <c r="D15" s="353"/>
      <c r="E15" s="352"/>
      <c r="F15" s="352"/>
      <c r="G15" s="352"/>
      <c r="H15" s="352"/>
      <c r="I15" s="352"/>
      <c r="J15" s="352"/>
      <c r="K15" s="352"/>
      <c r="L15" s="352"/>
      <c r="M15" s="352"/>
      <c r="N15" s="352"/>
      <c r="O15" s="352"/>
      <c r="P15" s="352"/>
      <c r="Q15" s="352"/>
      <c r="R15" s="352"/>
      <c r="S15" s="352"/>
      <c r="T15" s="352"/>
      <c r="W15"/>
    </row>
    <row r="16" spans="2:23" ht="12.75" customHeight="1">
      <c r="C16" s="15"/>
      <c r="D16" s="353"/>
      <c r="E16" s="352"/>
      <c r="F16" s="352"/>
      <c r="G16" s="352"/>
      <c r="H16" s="352"/>
      <c r="I16" s="35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W16"/>
    </row>
    <row r="17" spans="3:23" ht="12.75" customHeight="1">
      <c r="D17" s="353"/>
      <c r="E17" s="352"/>
      <c r="F17" s="352"/>
      <c r="G17" s="352"/>
      <c r="H17" s="352"/>
      <c r="I17" s="352"/>
      <c r="J17" s="352"/>
      <c r="K17" s="352"/>
      <c r="L17" s="352"/>
      <c r="M17" s="352"/>
      <c r="N17" s="352"/>
      <c r="O17" s="352"/>
      <c r="P17" s="352"/>
      <c r="Q17" s="352"/>
      <c r="R17" s="352"/>
      <c r="S17" s="352"/>
      <c r="T17" s="352"/>
      <c r="W17"/>
    </row>
    <row r="18" spans="3:23">
      <c r="W18"/>
    </row>
    <row r="19" spans="3:23" ht="18">
      <c r="C19" s="354" t="s">
        <v>20</v>
      </c>
      <c r="E19" s="322">
        <f>Assumptions!D12</f>
        <v>43921</v>
      </c>
      <c r="W19"/>
    </row>
    <row r="20" spans="3:23">
      <c r="C20" s="354"/>
      <c r="W20"/>
    </row>
    <row r="21" spans="3:23">
      <c r="C21" s="354"/>
      <c r="W21"/>
    </row>
    <row r="22" spans="3:23">
      <c r="C22" s="354"/>
      <c r="W22"/>
    </row>
    <row r="23" spans="3:23">
      <c r="C23" s="354"/>
    </row>
    <row r="24" spans="3:23">
      <c r="C24" s="354"/>
    </row>
    <row r="25" spans="3:23">
      <c r="C25" s="354"/>
    </row>
    <row r="26" spans="3:23" ht="12.75" customHeight="1">
      <c r="C26" s="354"/>
    </row>
    <row r="27" spans="3:23">
      <c r="C27" s="354"/>
    </row>
    <row r="28" spans="3:23">
      <c r="C28" s="354"/>
    </row>
    <row r="29" spans="3:23" ht="4.5" customHeight="1">
      <c r="C29" s="354"/>
    </row>
    <row r="30" spans="3:23">
      <c r="C30" s="354"/>
      <c r="Q30" s="156"/>
      <c r="R30" s="157"/>
      <c r="S30" s="157"/>
    </row>
    <row r="31" spans="3:23">
      <c r="C31" s="354"/>
      <c r="Q31" s="157"/>
      <c r="R31" s="157"/>
      <c r="S31" s="157"/>
      <c r="V31" s="44"/>
    </row>
    <row r="32" spans="3:23">
      <c r="C32" s="354"/>
      <c r="Q32" s="157"/>
      <c r="R32" s="157"/>
      <c r="S32" s="157"/>
    </row>
    <row r="33" spans="3:19">
      <c r="C33" s="354"/>
      <c r="Q33" s="158"/>
      <c r="R33" s="157"/>
      <c r="S33" s="157"/>
    </row>
    <row r="34" spans="3:19">
      <c r="C34" s="354"/>
      <c r="Q34" s="158"/>
      <c r="R34" s="157"/>
      <c r="S34" s="157"/>
    </row>
    <row r="35" spans="3:19" ht="4.5" customHeight="1">
      <c r="C35" s="354"/>
      <c r="Q35" s="158"/>
      <c r="R35" s="157"/>
      <c r="S35" s="157"/>
    </row>
    <row r="36" spans="3:19">
      <c r="C36" s="354"/>
      <c r="Q36" s="158"/>
      <c r="R36" s="157"/>
      <c r="S36" s="157"/>
    </row>
    <row r="37" spans="3:19">
      <c r="C37" s="354"/>
      <c r="G37"/>
      <c r="Q37" s="158"/>
      <c r="R37" s="157"/>
      <c r="S37" s="157"/>
    </row>
    <row r="38" spans="3:19">
      <c r="C38" s="354"/>
      <c r="Q38" s="158"/>
      <c r="R38" s="157"/>
      <c r="S38" s="157"/>
    </row>
    <row r="39" spans="3:19">
      <c r="C39" s="354"/>
      <c r="Q39" s="158"/>
      <c r="R39" s="157"/>
      <c r="S39" s="157"/>
    </row>
    <row r="40" spans="3:19">
      <c r="C40" s="354"/>
    </row>
    <row r="41" spans="3:19">
      <c r="C41" s="354"/>
    </row>
    <row r="42" spans="3:19">
      <c r="C42" s="354"/>
    </row>
    <row r="43" spans="3:19">
      <c r="C43" s="35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3" sqref="C3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168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zoomScale="85" zoomScaleNormal="85" workbookViewId="0">
      <selection activeCell="B22" sqref="B22"/>
    </sheetView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93" t="s">
        <v>169</v>
      </c>
    </row>
    <row r="2" spans="1:12" ht="21">
      <c r="A2" s="293"/>
    </row>
    <row r="3" spans="1:12">
      <c r="B3" s="355" t="s">
        <v>149</v>
      </c>
      <c r="C3" s="355"/>
      <c r="D3" s="355"/>
      <c r="E3" s="355"/>
      <c r="F3" s="355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19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13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13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13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  <c r="M19" t="s">
        <v>3</v>
      </c>
    </row>
    <row r="20" spans="1:13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13" ht="14.4">
      <c r="B21" s="305"/>
      <c r="C21" s="305"/>
      <c r="D21" s="295"/>
      <c r="E21" s="295"/>
      <c r="F21" s="295"/>
    </row>
    <row r="22" spans="1:13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13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13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13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13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13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13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13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13" ht="14.4">
      <c r="B30" s="295"/>
      <c r="C30" s="295"/>
      <c r="D30" s="295"/>
      <c r="E30" s="295"/>
      <c r="F30" s="295"/>
    </row>
    <row r="31" spans="1:13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13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13" zoomScale="85" zoomScaleNormal="85" zoomScaleSheetLayoutView="85" workbookViewId="0">
      <selection activeCell="N29" sqref="N29:V29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>
        <f>'Company fin forecasts'!B5</f>
        <v>1149.2312142121568</v>
      </c>
      <c r="M12" s="332">
        <f>'Company fin forecasts'!C5</f>
        <v>1255.6304578332745</v>
      </c>
      <c r="N12" s="332">
        <f>'Company fin forecasts'!D5</f>
        <v>1353.8373857301615</v>
      </c>
      <c r="O12" s="332">
        <f>'Company fin forecasts'!E5</f>
        <v>1446.9754795854417</v>
      </c>
      <c r="P12" s="332">
        <f>'Company fin forecasts'!F5</f>
        <v>1442.6203434361955</v>
      </c>
      <c r="Q12" s="40"/>
      <c r="R12" s="40"/>
      <c r="S12" s="40"/>
      <c r="T12" s="40"/>
      <c r="U12" s="40"/>
      <c r="V12" s="40"/>
      <c r="Y12" s="327" t="s">
        <v>158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f ca="1">AVERAGE(Q13:S13)</f>
        <v>1.8000000000000006E-2</v>
      </c>
      <c r="S13" s="326">
        <f t="shared" ref="S13:U13" ca="1" si="2">AVERAGE(R13:T13)</f>
        <v>1.6000000000000007E-2</v>
      </c>
      <c r="T13" s="326">
        <f t="shared" ca="1" si="2"/>
        <v>1.4000000000000005E-2</v>
      </c>
      <c r="U13" s="326">
        <f t="shared" ca="1" si="2"/>
        <v>1.2000000000000004E-2</v>
      </c>
      <c r="V13" s="119">
        <v>0.01</v>
      </c>
      <c r="Y13" s="327" t="s">
        <v>153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</v>
      </c>
      <c r="R15" s="104">
        <f t="shared" ca="1" si="3"/>
        <v>133.24653965896451</v>
      </c>
      <c r="S15" s="104">
        <f t="shared" ca="1" si="3"/>
        <v>135.7772118993968</v>
      </c>
      <c r="T15" s="104">
        <f t="shared" ca="1" si="3"/>
        <v>138.08240265835974</v>
      </c>
      <c r="U15" s="104">
        <f t="shared" ca="1" si="3"/>
        <v>140.14855300013991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>
        <f>'Company fin forecasts'!B20-'Company fin forecasts'!B15</f>
        <v>94.147209662938664</v>
      </c>
      <c r="M16" s="332">
        <f>'Company fin forecasts'!C20-'Company fin forecasts'!C15</f>
        <v>92.625305088518957</v>
      </c>
      <c r="N16" s="332">
        <f>'Company fin forecasts'!D20-'Company fin forecasts'!D15</f>
        <v>111.79673623719194</v>
      </c>
      <c r="O16" s="332">
        <f>'Company fin forecasts'!E20-'Company fin forecasts'!E15</f>
        <v>124.39494101920258</v>
      </c>
      <c r="P16" s="332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7" t="s">
        <v>158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2.3021987279942646E-2</v>
      </c>
      <c r="R17" s="6">
        <f t="shared" ca="1" si="5"/>
        <v>2.1007152426079756E-2</v>
      </c>
      <c r="S17" s="6">
        <f t="shared" ca="1" si="5"/>
        <v>1.8992404957827613E-2</v>
      </c>
      <c r="T17" s="6">
        <f t="shared" ca="1" si="5"/>
        <v>1.6977744105328707E-2</v>
      </c>
      <c r="U17" s="6">
        <f t="shared" ca="1" si="5"/>
        <v>1.4963169107740537E-2</v>
      </c>
      <c r="V17" s="6">
        <f t="shared" ca="1" si="5"/>
        <v>1.2948679213108383E-2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6">
        <f ca="1">AVERAGE(P18:R18)</f>
        <v>8.8690056393647521E-2</v>
      </c>
      <c r="R18" s="326">
        <f t="shared" ref="R18:U18" ca="1" si="6">AVERAGE(Q18:S18)</f>
        <v>8.8952045114917958E-2</v>
      </c>
      <c r="S18" s="326">
        <f t="shared" ca="1" si="6"/>
        <v>8.9214033836188422E-2</v>
      </c>
      <c r="T18" s="326">
        <f t="shared" ca="1" si="6"/>
        <v>8.9476022557458915E-2</v>
      </c>
      <c r="U18" s="326">
        <f t="shared" ca="1" si="6"/>
        <v>8.9738011278729449E-2</v>
      </c>
      <c r="V18" s="146">
        <v>0.09</v>
      </c>
      <c r="Y18" s="327" t="s">
        <v>154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8">
        <f>-SUM('Company fin forecasts'!B18:B19)</f>
        <v>-36.129215400000028</v>
      </c>
      <c r="M20" s="338">
        <f>-SUM('Company fin forecasts'!C18:C19)</f>
        <v>-40.455293523349013</v>
      </c>
      <c r="N20" s="338">
        <f>-SUM('Company fin forecasts'!D18:D19)</f>
        <v>-47.195257615808735</v>
      </c>
      <c r="O20" s="338">
        <f>-SUM('Company fin forecasts'!E18:E19)</f>
        <v>-51.829543587564167</v>
      </c>
      <c r="P20" s="338">
        <f>-SUM('Company fin forecasts'!F18:F19)</f>
        <v>-54.799912142159194</v>
      </c>
      <c r="Q20" s="104">
        <f t="shared" ref="Q20:V20" ca="1" si="8">Q22*Q40</f>
        <v>-53.583260118465944</v>
      </c>
      <c r="R20" s="104">
        <f t="shared" ca="1" si="8"/>
        <v>-52.366608094772729</v>
      </c>
      <c r="S20" s="104">
        <f t="shared" ca="1" si="8"/>
        <v>-51.149956071079529</v>
      </c>
      <c r="T20" s="104">
        <f t="shared" ca="1" si="8"/>
        <v>-49.933304047386343</v>
      </c>
      <c r="U20" s="104">
        <f t="shared" ca="1" si="8"/>
        <v>-48.716652023693172</v>
      </c>
      <c r="V20" s="104">
        <f t="shared" si="8"/>
        <v>-47.5</v>
      </c>
      <c r="Y20" s="327" t="s">
        <v>158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-2.2201714859269694E-2</v>
      </c>
      <c r="R21" s="6">
        <f t="shared" ca="1" si="9"/>
        <v>-2.2705823068685071E-2</v>
      </c>
      <c r="S21" s="6">
        <f t="shared" ca="1" si="9"/>
        <v>-2.3233355528609168E-2</v>
      </c>
      <c r="T21" s="6">
        <f t="shared" ca="1" si="9"/>
        <v>-2.3785983745567396E-2</v>
      </c>
      <c r="U21" s="6">
        <f t="shared" ca="1" si="9"/>
        <v>-2.4365542134735962E-2</v>
      </c>
      <c r="V21" s="6">
        <f t="shared" ca="1" si="9"/>
        <v>-2.4974048362384482E-2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39">
        <f>L20/L40</f>
        <v>1.0035893166666674</v>
      </c>
      <c r="M22" s="339">
        <f t="shared" ref="M22:P22" si="11">M20/M40</f>
        <v>0.79324104947743168</v>
      </c>
      <c r="N22" s="339">
        <f t="shared" si="11"/>
        <v>0.94390515231617467</v>
      </c>
      <c r="O22" s="339">
        <f t="shared" si="11"/>
        <v>1.0365908717512833</v>
      </c>
      <c r="P22" s="339">
        <f t="shared" si="11"/>
        <v>1.0959982428431838</v>
      </c>
      <c r="Q22" s="339">
        <f ca="1">AVERAGE(P22:R22)</f>
        <v>1.0716652023693189</v>
      </c>
      <c r="R22" s="339">
        <f t="shared" ref="R22:U22" ca="1" si="12">AVERAGE(Q22:S22)</f>
        <v>1.0473321618954545</v>
      </c>
      <c r="S22" s="339">
        <f t="shared" ca="1" si="12"/>
        <v>1.0229991214215906</v>
      </c>
      <c r="T22" s="339">
        <f t="shared" ca="1" si="12"/>
        <v>0.99866608094772691</v>
      </c>
      <c r="U22" s="339">
        <f t="shared" ca="1" si="12"/>
        <v>0.97433304047386338</v>
      </c>
      <c r="V22" s="146">
        <v>0.95</v>
      </c>
      <c r="X22" s="212"/>
      <c r="Y22" s="327" t="s">
        <v>159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3.6414714514667296E-2</v>
      </c>
      <c r="R23" s="118">
        <f t="shared" ca="1" si="13"/>
        <v>3.4958633054813934E-2</v>
      </c>
      <c r="S23" s="118">
        <f t="shared" ca="1" si="13"/>
        <v>3.3608687701040599E-2</v>
      </c>
      <c r="T23" s="118">
        <f t="shared" ca="1" si="13"/>
        <v>3.2356284025319322E-2</v>
      </c>
      <c r="U23" s="118">
        <f t="shared" ca="1" si="13"/>
        <v>3.1193582631993004E-2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80.879931564191779</v>
      </c>
      <c r="S25" s="104">
        <f t="shared" ca="1" si="14"/>
        <v>84.627255828317274</v>
      </c>
      <c r="T25" s="104">
        <f t="shared" ca="1" si="14"/>
        <v>88.149098610973397</v>
      </c>
      <c r="U25" s="104">
        <f t="shared" ca="1" si="14"/>
        <v>91.431900976446741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5.1457369794597252E-2</v>
      </c>
      <c r="S26" s="6">
        <f t="shared" ca="1" si="15"/>
        <v>4.6331941578750868E-2</v>
      </c>
      <c r="T26" s="6">
        <f t="shared" ca="1" si="15"/>
        <v>4.1615939784232836E-2</v>
      </c>
      <c r="U26" s="6">
        <f t="shared" ca="1" si="15"/>
        <v>3.7241474016215026E-2</v>
      </c>
      <c r="V26" s="6">
        <f t="shared" ca="1" si="15"/>
        <v>3.3154628158220012E-2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5.399341206010403E-2</v>
      </c>
      <c r="S27" s="6">
        <f ca="1">IF(ISERROR(S25/S$11),"n.a.",S25/S$11)</f>
        <v>5.5605346135147823E-2</v>
      </c>
      <c r="T27" s="6">
        <f ca="1">IF(ISERROR(T25/T$11),"n.a.",T25/T$11)</f>
        <v>5.71197385321396E-2</v>
      </c>
      <c r="U27" s="6">
        <f ca="1">IF(ISERROR(U25/U$11),"n.a.",U25/U$11)</f>
        <v>5.8544428646736438E-2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>
        <f>M29</f>
        <v>0.17</v>
      </c>
      <c r="O29" s="326">
        <f t="shared" ref="O29:V29" si="17">N29</f>
        <v>0.17</v>
      </c>
      <c r="P29" s="326">
        <f t="shared" si="17"/>
        <v>0.17</v>
      </c>
      <c r="Q29" s="326">
        <f t="shared" si="17"/>
        <v>0.17</v>
      </c>
      <c r="R29" s="326">
        <f t="shared" si="17"/>
        <v>0.17</v>
      </c>
      <c r="S29" s="326">
        <f t="shared" si="17"/>
        <v>0.17</v>
      </c>
      <c r="T29" s="326">
        <f t="shared" si="17"/>
        <v>0.17</v>
      </c>
      <c r="U29" s="326">
        <f t="shared" si="17"/>
        <v>0.17</v>
      </c>
      <c r="V29" s="326">
        <f t="shared" si="17"/>
        <v>0.17</v>
      </c>
      <c r="Y29" s="327" t="s">
        <v>155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151</v>
      </c>
      <c r="C31" s="33" t="s">
        <v>152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8">IF(ISERROR(F31/E31-1),"n.a.",F31/E31-1)</f>
        <v>n.a.</v>
      </c>
      <c r="G32" s="6">
        <f t="shared" si="18"/>
        <v>0.18558558558558547</v>
      </c>
      <c r="H32" s="6">
        <f t="shared" si="18"/>
        <v>-1.3677811550151797E-2</v>
      </c>
      <c r="I32" s="6">
        <f t="shared" si="18"/>
        <v>-8.3204930662557852E-2</v>
      </c>
      <c r="J32" s="6">
        <f t="shared" si="18"/>
        <v>-1.8487394957983239E-2</v>
      </c>
      <c r="K32" s="6">
        <f t="shared" si="18"/>
        <v>-0.17294520547945214</v>
      </c>
      <c r="L32" s="6">
        <f t="shared" si="18"/>
        <v>-7.9015003043886201E-2</v>
      </c>
      <c r="M32" s="6">
        <f t="shared" si="18"/>
        <v>-0.10308222119070343</v>
      </c>
      <c r="N32" s="6">
        <f t="shared" si="18"/>
        <v>0.25861169264250194</v>
      </c>
      <c r="O32" s="6">
        <f t="shared" si="18"/>
        <v>0.13163180457279799</v>
      </c>
      <c r="P32" s="6">
        <f t="shared" si="18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9">IF(ISERROR(F31/F$11),"n.a.",F31/F$11)</f>
        <v>5.9061402575289981E-2</v>
      </c>
      <c r="G33" s="6">
        <f t="shared" si="19"/>
        <v>6.5479152154443221E-2</v>
      </c>
      <c r="H33" s="6">
        <f t="shared" si="19"/>
        <v>6.35340186000979E-2</v>
      </c>
      <c r="I33" s="6">
        <f t="shared" si="19"/>
        <v>5.4337899543378997E-2</v>
      </c>
      <c r="J33" s="6">
        <f t="shared" si="19"/>
        <v>5.1449211523213814E-2</v>
      </c>
      <c r="K33" s="6">
        <f>IF(ISERROR(K31/K$11),"n.a.",K31/K$11)</f>
        <v>4.2420516423678202E-2</v>
      </c>
      <c r="L33" s="6">
        <f t="shared" si="19"/>
        <v>3.8707246029229668E-2</v>
      </c>
      <c r="M33" s="6">
        <f t="shared" si="19"/>
        <v>3.1775359820388191E-2</v>
      </c>
      <c r="N33" s="6">
        <f t="shared" si="19"/>
        <v>3.709177171870244E-2</v>
      </c>
      <c r="O33" s="6">
        <f t="shared" si="19"/>
        <v>3.9272455317999319E-2</v>
      </c>
      <c r="P33" s="6">
        <f t="shared" si="19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8">
        <f>'Company fin forecasts'!B23</f>
        <v>-36</v>
      </c>
      <c r="M40" s="338">
        <f>'Company fin forecasts'!C23</f>
        <v>-51</v>
      </c>
      <c r="N40" s="338">
        <f>'Company fin forecasts'!D23</f>
        <v>-50</v>
      </c>
      <c r="O40" s="338">
        <f>'Company fin forecasts'!E23</f>
        <v>-50</v>
      </c>
      <c r="P40" s="338">
        <f>'Company fin forecasts'!F23</f>
        <v>-50</v>
      </c>
      <c r="Q40" s="328">
        <f>P40</f>
        <v>-50</v>
      </c>
      <c r="R40" s="328">
        <f t="shared" ref="R40:V40" si="20">Q40</f>
        <v>-50</v>
      </c>
      <c r="S40" s="328">
        <f t="shared" si="20"/>
        <v>-50</v>
      </c>
      <c r="T40" s="328">
        <f t="shared" si="20"/>
        <v>-50</v>
      </c>
      <c r="U40" s="328">
        <f t="shared" si="20"/>
        <v>-50</v>
      </c>
      <c r="V40" s="328">
        <f t="shared" si="20"/>
        <v>-50</v>
      </c>
      <c r="Y40" s="327" t="s">
        <v>162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21">IF(ISERROR(F40/E40-1),"n.a.",F40/E40-1)</f>
        <v>n.a.</v>
      </c>
      <c r="G41" s="6">
        <f>IF(ISERROR(G40/F40-1),"n.a.",G40/F40-1)</f>
        <v>0.23355263157894735</v>
      </c>
      <c r="H41" s="6">
        <f t="shared" ref="H41:V41" si="22">IF(ISERROR(H40/G40-1),"n.a.",H40/G40-1)</f>
        <v>7.4666666666666659E-2</v>
      </c>
      <c r="I41" s="6">
        <f t="shared" si="22"/>
        <v>-0.10421836228287829</v>
      </c>
      <c r="J41" s="6">
        <f t="shared" si="22"/>
        <v>3.3240997229916802E-2</v>
      </c>
      <c r="K41" s="6">
        <f t="shared" si="22"/>
        <v>-0.16890080428954413</v>
      </c>
      <c r="L41" s="6">
        <f t="shared" si="22"/>
        <v>0.16129032258064524</v>
      </c>
      <c r="M41" s="6">
        <f t="shared" si="22"/>
        <v>0.41666666666666674</v>
      </c>
      <c r="N41" s="6">
        <f t="shared" si="22"/>
        <v>-1.9607843137254943E-2</v>
      </c>
      <c r="O41" s="6">
        <f t="shared" si="22"/>
        <v>0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6">
        <f t="shared" si="22"/>
        <v>0</v>
      </c>
      <c r="V41" s="6">
        <f t="shared" si="22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3">IF(ISERROR(-F40/F$11),"n.a.",-F40/F$11)</f>
        <v>3.2350750239438113E-2</v>
      </c>
      <c r="G42" s="118">
        <f t="shared" si="23"/>
        <v>3.7317145984675094E-2</v>
      </c>
      <c r="H42" s="118">
        <f t="shared" si="23"/>
        <v>3.9451786588350461E-2</v>
      </c>
      <c r="I42" s="118">
        <f t="shared" si="23"/>
        <v>3.2968036529680368E-2</v>
      </c>
      <c r="J42" s="118">
        <f t="shared" si="23"/>
        <v>3.2860540921504713E-2</v>
      </c>
      <c r="K42" s="118">
        <f t="shared" si="23"/>
        <v>2.7226418408571932E-2</v>
      </c>
      <c r="L42" s="118">
        <f t="shared" si="23"/>
        <v>3.1325289075688233E-2</v>
      </c>
      <c r="M42" s="118">
        <f t="shared" si="23"/>
        <v>4.0617045948380379E-2</v>
      </c>
      <c r="N42" s="118">
        <f t="shared" si="23"/>
        <v>3.6932057370415751E-2</v>
      </c>
      <c r="O42" s="118">
        <f t="shared" si="23"/>
        <v>3.4554835728332456E-2</v>
      </c>
      <c r="P42" s="118">
        <f t="shared" si="23"/>
        <v>3.4659153551726836E-2</v>
      </c>
      <c r="Q42" s="118">
        <f t="shared" si="23"/>
        <v>3.3979562305614552E-2</v>
      </c>
      <c r="R42" s="118">
        <f t="shared" ca="1" si="23"/>
        <v>3.3378744897460261E-2</v>
      </c>
      <c r="S42" s="118">
        <f t="shared" ca="1" si="23"/>
        <v>3.2853095371516004E-2</v>
      </c>
      <c r="T42" s="118">
        <f t="shared" ca="1" si="23"/>
        <v>3.239950233877318E-2</v>
      </c>
      <c r="U42" s="118">
        <f t="shared" ca="1" si="23"/>
        <v>3.2015318516574284E-2</v>
      </c>
      <c r="V42" s="118">
        <f t="shared" ca="1" si="23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24">(F15+F40)/F15</f>
        <v>0.69930761622156279</v>
      </c>
      <c r="G43" s="6">
        <f t="shared" si="24"/>
        <v>0.65878070973612379</v>
      </c>
      <c r="H43" s="6">
        <f t="shared" si="24"/>
        <v>0.64834205933682376</v>
      </c>
      <c r="I43" s="6">
        <f t="shared" si="24"/>
        <v>0.66789328426862915</v>
      </c>
      <c r="J43" s="6">
        <f t="shared" si="24"/>
        <v>0.65936073059360734</v>
      </c>
      <c r="K43" s="6">
        <f t="shared" si="24"/>
        <v>0.68431771894093685</v>
      </c>
      <c r="L43" s="6">
        <f t="shared" si="24"/>
        <v>0.61762010654500032</v>
      </c>
      <c r="M43" s="6">
        <f t="shared" si="24"/>
        <v>0.44939452613666453</v>
      </c>
      <c r="N43" s="6">
        <f t="shared" si="24"/>
        <v>0.55275975236058583</v>
      </c>
      <c r="O43" s="6">
        <f t="shared" si="24"/>
        <v>0.59805439360848589</v>
      </c>
      <c r="P43" s="6">
        <f t="shared" si="24"/>
        <v>0.60805257353199449</v>
      </c>
      <c r="Q43" s="6">
        <f t="shared" ca="1" si="24"/>
        <v>0.61687292028773189</v>
      </c>
      <c r="R43" s="6">
        <f t="shared" ca="1" si="24"/>
        <v>0.62475573378512028</v>
      </c>
      <c r="S43" s="6">
        <f t="shared" ca="1" si="24"/>
        <v>0.63174969274632653</v>
      </c>
      <c r="T43" s="6">
        <f t="shared" ca="1" si="24"/>
        <v>0.63789737839579141</v>
      </c>
      <c r="U43" s="6">
        <f t="shared" ca="1" si="24"/>
        <v>0.64323570290483068</v>
      </c>
      <c r="V43" s="6">
        <f t="shared" ca="1" si="24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8">
        <f>'Company fin forecasts'!B27</f>
        <v>6</v>
      </c>
      <c r="M45" s="338">
        <f>'Company fin forecasts'!C27</f>
        <v>16.111954440903407</v>
      </c>
      <c r="N45" s="338">
        <f>'Company fin forecasts'!D27</f>
        <v>15.168892666804709</v>
      </c>
      <c r="O45" s="338">
        <f>'Company fin forecasts'!E27</f>
        <v>11.110216900668604</v>
      </c>
      <c r="P45" s="338">
        <f>'Company fin forecasts'!F27</f>
        <v>3.9548595532390358</v>
      </c>
      <c r="Q45" s="104">
        <f t="shared" ref="Q45:V45" si="25">Q47*Q11</f>
        <v>0</v>
      </c>
      <c r="R45" s="104">
        <f t="shared" ca="1" si="25"/>
        <v>0</v>
      </c>
      <c r="S45" s="104">
        <f t="shared" ca="1" si="25"/>
        <v>0</v>
      </c>
      <c r="T45" s="104">
        <f t="shared" ca="1" si="25"/>
        <v>0</v>
      </c>
      <c r="U45" s="104">
        <f t="shared" ca="1" si="25"/>
        <v>0</v>
      </c>
      <c r="V45" s="104">
        <f t="shared" ca="1" si="25"/>
        <v>0</v>
      </c>
      <c r="Y45" s="327" t="s">
        <v>160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6">IF(ISERROR(F45/E45-1),"n.a.",F45/E45-1)</f>
        <v>n.a.</v>
      </c>
      <c r="G46" s="6">
        <f t="shared" si="26"/>
        <v>-5.7358490566037723</v>
      </c>
      <c r="H46" s="6">
        <f t="shared" si="26"/>
        <v>-1.4462151394422311</v>
      </c>
      <c r="I46" s="6">
        <f t="shared" si="26"/>
        <v>0.45535714285714324</v>
      </c>
      <c r="J46" s="6">
        <f t="shared" si="26"/>
        <v>-0.22699386503067509</v>
      </c>
      <c r="K46" s="6">
        <f t="shared" si="26"/>
        <v>-0.17460317460317465</v>
      </c>
      <c r="L46" s="6">
        <f t="shared" si="26"/>
        <v>-1.5769230769230771</v>
      </c>
      <c r="M46" s="6">
        <f t="shared" si="26"/>
        <v>1.6853257401505677</v>
      </c>
      <c r="N46" s="6">
        <f t="shared" si="26"/>
        <v>-5.8531804912788754E-2</v>
      </c>
      <c r="O46" s="6">
        <f t="shared" si="26"/>
        <v>-0.26756572515131749</v>
      </c>
      <c r="P46" s="6">
        <f t="shared" si="26"/>
        <v>-0.64403399244158455</v>
      </c>
      <c r="Q46" s="6">
        <f t="shared" si="26"/>
        <v>-1</v>
      </c>
      <c r="R46" s="6" t="str">
        <f t="shared" ca="1" si="26"/>
        <v>n.a.</v>
      </c>
      <c r="S46" s="6" t="str">
        <f t="shared" ca="1" si="26"/>
        <v>n.a.</v>
      </c>
      <c r="T46" s="6" t="str">
        <f t="shared" ca="1" si="26"/>
        <v>n.a.</v>
      </c>
      <c r="U46" s="6" t="str">
        <f t="shared" ca="1" si="26"/>
        <v>n.a.</v>
      </c>
      <c r="V46" s="6" t="str">
        <f t="shared" ca="1" si="26"/>
        <v>n.a.</v>
      </c>
    </row>
    <row r="47" spans="2:34">
      <c r="C47" s="14" t="s">
        <v>24</v>
      </c>
      <c r="D47" s="14"/>
      <c r="E47" s="6"/>
      <c r="F47" s="6">
        <f t="shared" ref="F47:P47" si="27">IF(ISERROR(F45/F$11),"n.a.",F45/F$11)</f>
        <v>-5.6400979035862511E-3</v>
      </c>
      <c r="G47" s="6">
        <f t="shared" si="27"/>
        <v>2.4977609712409192E-2</v>
      </c>
      <c r="H47" s="6">
        <f t="shared" si="27"/>
        <v>-1.0964268232990699E-2</v>
      </c>
      <c r="I47" s="6">
        <f t="shared" si="27"/>
        <v>-1.4885844748858451E-2</v>
      </c>
      <c r="J47" s="6">
        <f t="shared" si="27"/>
        <v>-1.1100343582063256E-2</v>
      </c>
      <c r="K47" s="6">
        <f t="shared" si="27"/>
        <v>-9.1340242402950991E-3</v>
      </c>
      <c r="L47" s="6">
        <f t="shared" si="27"/>
        <v>5.2208815126147052E-3</v>
      </c>
      <c r="M47" s="6">
        <f t="shared" si="27"/>
        <v>1.2831764585184018E-2</v>
      </c>
      <c r="N47" s="6">
        <f t="shared" si="27"/>
        <v>1.1204368284322206E-2</v>
      </c>
      <c r="O47" s="6">
        <f t="shared" si="27"/>
        <v>7.6782343981749305E-3</v>
      </c>
      <c r="P47" s="6">
        <f t="shared" si="27"/>
        <v>2.741441690624511E-3</v>
      </c>
      <c r="Q47" s="119">
        <v>0</v>
      </c>
      <c r="R47" s="6">
        <f t="shared" ref="R47:V47" si="28">Q47</f>
        <v>0</v>
      </c>
      <c r="S47" s="6">
        <f t="shared" si="28"/>
        <v>0</v>
      </c>
      <c r="T47" s="6">
        <f t="shared" si="28"/>
        <v>0</v>
      </c>
      <c r="U47" s="6">
        <f t="shared" si="28"/>
        <v>0</v>
      </c>
      <c r="V47" s="6">
        <f t="shared" si="28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8">
        <f>'Company fin forecasts'!B29</f>
        <v>0</v>
      </c>
      <c r="M49" s="338">
        <f>'Company fin forecasts'!C29</f>
        <v>0</v>
      </c>
      <c r="N49" s="338">
        <f>'Company fin forecasts'!D29</f>
        <v>-5</v>
      </c>
      <c r="O49" s="338">
        <f>'Company fin forecasts'!E29</f>
        <v>-5</v>
      </c>
      <c r="P49" s="338">
        <f>'Company fin forecasts'!F29</f>
        <v>-5</v>
      </c>
      <c r="Q49" s="328">
        <f>P49</f>
        <v>-5</v>
      </c>
      <c r="R49" s="328">
        <f t="shared" ref="R49:V49" si="29">Q49</f>
        <v>-5</v>
      </c>
      <c r="S49" s="328">
        <f t="shared" si="29"/>
        <v>-5</v>
      </c>
      <c r="T49" s="328">
        <f t="shared" si="29"/>
        <v>-5</v>
      </c>
      <c r="U49" s="328">
        <f t="shared" si="29"/>
        <v>-5</v>
      </c>
      <c r="V49" s="328">
        <f t="shared" si="29"/>
        <v>-5</v>
      </c>
      <c r="Y49" s="327" t="s">
        <v>161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30">IF(ISERROR(F49/E49-1),"n.a.",F49/E49-1)</f>
        <v>n.a.</v>
      </c>
      <c r="G50" s="6" t="str">
        <f>IF(ISERROR(G49/F49-1),"n.a.",G49/F49-1)</f>
        <v>n.a.</v>
      </c>
      <c r="H50" s="6" t="str">
        <f t="shared" ref="H50" si="31">IF(ISERROR(H49/G49-1),"n.a.",H49/G49-1)</f>
        <v>n.a.</v>
      </c>
      <c r="I50" s="6" t="str">
        <f t="shared" ref="I50" si="32">IF(ISERROR(I49/H49-1),"n.a.",I49/H49-1)</f>
        <v>n.a.</v>
      </c>
      <c r="J50" s="6" t="str">
        <f t="shared" ref="J50" si="33">IF(ISERROR(J49/I49-1),"n.a.",J49/I49-1)</f>
        <v>n.a.</v>
      </c>
      <c r="K50" s="6">
        <f t="shared" ref="K50" si="34">IF(ISERROR(K49/J49-1),"n.a.",K49/J49-1)</f>
        <v>-1.4933333333333334</v>
      </c>
      <c r="L50" s="6">
        <f t="shared" ref="L50" si="35">IF(ISERROR(L49/K49-1),"n.a.",L49/K49-1)</f>
        <v>-1</v>
      </c>
      <c r="M50" s="6" t="str">
        <f t="shared" ref="M50" si="36">IF(ISERROR(M49/L49-1),"n.a.",M49/L49-1)</f>
        <v>n.a.</v>
      </c>
      <c r="N50" s="6" t="str">
        <f t="shared" ref="N50" si="37">IF(ISERROR(N49/M49-1),"n.a.",N49/M49-1)</f>
        <v>n.a.</v>
      </c>
      <c r="O50" s="6">
        <f t="shared" ref="O50" si="38">IF(ISERROR(O49/N49-1),"n.a.",O49/N49-1)</f>
        <v>0</v>
      </c>
      <c r="P50" s="6">
        <f t="shared" ref="P50" si="39">IF(ISERROR(P49/O49-1),"n.a.",P49/O49-1)</f>
        <v>0</v>
      </c>
      <c r="Q50" s="6">
        <f t="shared" ref="Q50" si="40">IF(ISERROR(Q49/P49-1),"n.a.",Q49/P49-1)</f>
        <v>0</v>
      </c>
      <c r="R50" s="6">
        <f t="shared" ref="R50" si="41">IF(ISERROR(R49/Q49-1),"n.a.",R49/Q49-1)</f>
        <v>0</v>
      </c>
      <c r="S50" s="6">
        <f t="shared" ref="S50" si="42">IF(ISERROR(S49/R49-1),"n.a.",S49/R49-1)</f>
        <v>0</v>
      </c>
      <c r="T50" s="6">
        <f t="shared" ref="T50" si="43">IF(ISERROR(T49/S49-1),"n.a.",T49/S49-1)</f>
        <v>0</v>
      </c>
      <c r="U50" s="6">
        <f t="shared" ref="U50" si="44">IF(ISERROR(U49/T49-1),"n.a.",U49/T49-1)</f>
        <v>0</v>
      </c>
      <c r="V50" s="6">
        <f t="shared" ref="V50" si="45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6">IF(ISERROR(-F49/F$11),"n.a.",-F49/F$11)</f>
        <v>0</v>
      </c>
      <c r="G51" s="118">
        <f t="shared" si="46"/>
        <v>0</v>
      </c>
      <c r="H51" s="118">
        <f t="shared" si="46"/>
        <v>0</v>
      </c>
      <c r="I51" s="118">
        <f t="shared" si="46"/>
        <v>0</v>
      </c>
      <c r="J51" s="118">
        <f t="shared" si="46"/>
        <v>1.3214694740551493E-3</v>
      </c>
      <c r="K51" s="118">
        <f t="shared" si="46"/>
        <v>-6.4992095555945904E-4</v>
      </c>
      <c r="L51" s="118">
        <f t="shared" si="46"/>
        <v>0</v>
      </c>
      <c r="M51" s="118">
        <f t="shared" si="46"/>
        <v>0</v>
      </c>
      <c r="N51" s="118">
        <f t="shared" si="46"/>
        <v>3.6932057370415751E-3</v>
      </c>
      <c r="O51" s="118">
        <f t="shared" si="46"/>
        <v>3.4554835728332453E-3</v>
      </c>
      <c r="P51" s="118">
        <f t="shared" si="46"/>
        <v>3.4659153551726838E-3</v>
      </c>
      <c r="Q51" s="118">
        <f t="shared" si="46"/>
        <v>3.3979562305614551E-3</v>
      </c>
      <c r="R51" s="118">
        <f t="shared" ca="1" si="46"/>
        <v>3.3378744897460265E-3</v>
      </c>
      <c r="S51" s="118">
        <f t="shared" ca="1" si="46"/>
        <v>3.2853095371516007E-3</v>
      </c>
      <c r="T51" s="118">
        <f t="shared" ca="1" si="46"/>
        <v>3.2399502338773178E-3</v>
      </c>
      <c r="U51" s="118">
        <f t="shared" ca="1" si="46"/>
        <v>3.2015318516574287E-3</v>
      </c>
      <c r="V51" s="118">
        <f t="shared" ca="1" si="46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8">
        <f>'Company fin forecasts'!B15+'Company fin forecasts'!B22</f>
        <v>0</v>
      </c>
      <c r="M53" s="338">
        <f>'Company fin forecasts'!C15+'Company fin forecasts'!C22</f>
        <v>-18.004468664734777</v>
      </c>
      <c r="N53" s="338">
        <f>'Company fin forecasts'!D15+'Company fin forecasts'!D22</f>
        <v>-6.7527180429793674</v>
      </c>
      <c r="O53" s="338">
        <f>'Company fin forecasts'!E15+'Company fin forecasts'!E22</f>
        <v>25.138454026318882</v>
      </c>
      <c r="P53" s="338">
        <f>'Company fin forecasts'!F15+'Company fin forecasts'!F22</f>
        <v>-4.8650405710493061</v>
      </c>
      <c r="Q53" s="107">
        <v>0</v>
      </c>
      <c r="R53" s="107">
        <f t="shared" ref="R53:V53" si="47">+Q53</f>
        <v>0</v>
      </c>
      <c r="S53" s="107">
        <f t="shared" si="47"/>
        <v>0</v>
      </c>
      <c r="T53" s="107">
        <f t="shared" si="47"/>
        <v>0</v>
      </c>
      <c r="U53" s="107">
        <f t="shared" si="47"/>
        <v>0</v>
      </c>
      <c r="V53" s="107">
        <f t="shared" si="47"/>
        <v>0</v>
      </c>
      <c r="Y53" s="327" t="s">
        <v>158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8">IF(ISERROR(F53/E53-1),"n.a.",F53/E53-1)</f>
        <v>n.a.</v>
      </c>
      <c r="G54" s="6" t="str">
        <f>IF(ISERROR(G53/F53-1),"n.a.",G53/F53-1)</f>
        <v>n.a.</v>
      </c>
      <c r="H54" s="6" t="str">
        <f t="shared" ref="H54" si="49">IF(ISERROR(H53/G53-1),"n.a.",H53/G53-1)</f>
        <v>n.a.</v>
      </c>
      <c r="I54" s="6" t="str">
        <f t="shared" ref="I54" si="50">IF(ISERROR(I53/H53-1),"n.a.",I53/H53-1)</f>
        <v>n.a.</v>
      </c>
      <c r="J54" s="6" t="str">
        <f t="shared" ref="J54" si="51">IF(ISERROR(J53/I53-1),"n.a.",J53/I53-1)</f>
        <v>n.a.</v>
      </c>
      <c r="K54" s="6" t="str">
        <f t="shared" ref="K54" si="52">IF(ISERROR(K53/J53-1),"n.a.",K53/J53-1)</f>
        <v>n.a.</v>
      </c>
      <c r="L54" s="6" t="str">
        <f t="shared" ref="L54" si="53">IF(ISERROR(L53/K53-1),"n.a.",L53/K53-1)</f>
        <v>n.a.</v>
      </c>
      <c r="M54" s="6" t="str">
        <f t="shared" ref="M54" si="54">IF(ISERROR(M53/L53-1),"n.a.",M53/L53-1)</f>
        <v>n.a.</v>
      </c>
      <c r="N54" s="6">
        <f t="shared" ref="N54" si="55">IF(ISERROR(N53/M53-1),"n.a.",N53/M53-1)</f>
        <v>-0.62494210916616122</v>
      </c>
      <c r="O54" s="6">
        <f t="shared" ref="O54" si="56">IF(ISERROR(O53/N53-1),"n.a.",O53/N53-1)</f>
        <v>-4.722716373809611</v>
      </c>
      <c r="P54" s="6">
        <f t="shared" ref="P54" si="57">IF(ISERROR(P53/O53-1),"n.a.",P53/O53-1)</f>
        <v>-1.1935298235108578</v>
      </c>
      <c r="Q54" s="6">
        <f t="shared" ref="Q54" si="58">IF(ISERROR(Q53/P53-1),"n.a.",Q53/P53-1)</f>
        <v>-1</v>
      </c>
      <c r="R54" s="6" t="str">
        <f t="shared" ref="R54" si="59">IF(ISERROR(R53/Q53-1),"n.a.",R53/Q53-1)</f>
        <v>n.a.</v>
      </c>
      <c r="S54" s="6" t="str">
        <f t="shared" ref="S54" si="60">IF(ISERROR(S53/R53-1),"n.a.",S53/R53-1)</f>
        <v>n.a.</v>
      </c>
      <c r="T54" s="6" t="str">
        <f t="shared" ref="T54" si="61">IF(ISERROR(T53/S53-1),"n.a.",T53/S53-1)</f>
        <v>n.a.</v>
      </c>
      <c r="U54" s="6" t="str">
        <f t="shared" ref="U54" si="62">IF(ISERROR(U53/T53-1),"n.a.",U53/T53-1)</f>
        <v>n.a.</v>
      </c>
      <c r="V54" s="6" t="str">
        <f t="shared" ref="V54" si="63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4">IF(ISERROR(-F53/F$11),"n.a.",-F53/F$11)</f>
        <v>0</v>
      </c>
      <c r="G55" s="118">
        <f t="shared" si="64"/>
        <v>0</v>
      </c>
      <c r="H55" s="118">
        <f t="shared" si="64"/>
        <v>0</v>
      </c>
      <c r="I55" s="118">
        <f t="shared" si="64"/>
        <v>0</v>
      </c>
      <c r="J55" s="118">
        <f t="shared" si="64"/>
        <v>0</v>
      </c>
      <c r="K55" s="118">
        <f t="shared" si="64"/>
        <v>0</v>
      </c>
      <c r="L55" s="118">
        <f t="shared" si="64"/>
        <v>0</v>
      </c>
      <c r="M55" s="118">
        <f t="shared" si="64"/>
        <v>1.433898688297465E-2</v>
      </c>
      <c r="N55" s="118">
        <f t="shared" si="64"/>
        <v>4.9878354033911108E-3</v>
      </c>
      <c r="O55" s="118">
        <f t="shared" si="64"/>
        <v>-1.737310298687373E-2</v>
      </c>
      <c r="P55" s="118">
        <f t="shared" si="64"/>
        <v>3.3723637637475745E-3</v>
      </c>
      <c r="Q55" s="118">
        <f t="shared" si="64"/>
        <v>0</v>
      </c>
      <c r="R55" s="118">
        <f t="shared" ca="1" si="64"/>
        <v>0</v>
      </c>
      <c r="S55" s="118">
        <f t="shared" ca="1" si="64"/>
        <v>0</v>
      </c>
      <c r="T55" s="118">
        <f t="shared" ca="1" si="64"/>
        <v>0</v>
      </c>
      <c r="U55" s="118">
        <f t="shared" ca="1" si="64"/>
        <v>0</v>
      </c>
      <c r="V55" s="118">
        <f t="shared" ca="1" si="64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5">F9</f>
        <v>41729</v>
      </c>
      <c r="G58" s="205">
        <f t="shared" si="65"/>
        <v>42094</v>
      </c>
      <c r="H58" s="205">
        <f t="shared" si="65"/>
        <v>42460</v>
      </c>
      <c r="I58" s="205">
        <f t="shared" si="65"/>
        <v>42825</v>
      </c>
      <c r="J58" s="205">
        <f t="shared" si="65"/>
        <v>43190</v>
      </c>
      <c r="K58" s="205">
        <f t="shared" si="65"/>
        <v>43555</v>
      </c>
      <c r="L58" s="206">
        <f t="shared" si="65"/>
        <v>43921</v>
      </c>
      <c r="M58" s="206">
        <f t="shared" si="65"/>
        <v>44286</v>
      </c>
      <c r="N58" s="206">
        <f t="shared" si="65"/>
        <v>44651</v>
      </c>
      <c r="O58" s="206">
        <f t="shared" si="65"/>
        <v>45016</v>
      </c>
      <c r="P58" s="206">
        <f t="shared" si="65"/>
        <v>45382</v>
      </c>
      <c r="Q58" s="206">
        <f t="shared" si="65"/>
        <v>45747</v>
      </c>
      <c r="R58" s="206">
        <f t="shared" si="65"/>
        <v>46112</v>
      </c>
      <c r="S58" s="206">
        <f t="shared" si="65"/>
        <v>46477</v>
      </c>
      <c r="T58" s="206">
        <f t="shared" si="65"/>
        <v>46843</v>
      </c>
      <c r="U58" s="206">
        <f t="shared" si="65"/>
        <v>47208</v>
      </c>
      <c r="V58" s="206">
        <f t="shared" si="65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6">F11</f>
        <v>939.7</v>
      </c>
      <c r="G60" s="208">
        <f t="shared" si="66"/>
        <v>1004.9</v>
      </c>
      <c r="H60" s="208">
        <f t="shared" si="66"/>
        <v>1021.5</v>
      </c>
      <c r="I60" s="208">
        <f t="shared" si="66"/>
        <v>1095</v>
      </c>
      <c r="J60" s="208">
        <f t="shared" si="66"/>
        <v>1135.0999999999999</v>
      </c>
      <c r="K60" s="208">
        <f t="shared" si="66"/>
        <v>1138.5999999999999</v>
      </c>
      <c r="L60" s="208">
        <f t="shared" si="66"/>
        <v>1149.2312142121568</v>
      </c>
      <c r="M60" s="208">
        <f t="shared" si="66"/>
        <v>1255.6304578332745</v>
      </c>
      <c r="N60" s="208">
        <f t="shared" si="66"/>
        <v>1353.8373857301615</v>
      </c>
      <c r="O60" s="208">
        <f t="shared" si="66"/>
        <v>1446.9754795854415</v>
      </c>
      <c r="P60" s="208">
        <f t="shared" ref="P60:V60" si="67">P11</f>
        <v>1442.6203434361953</v>
      </c>
      <c r="Q60" s="208">
        <f t="shared" si="67"/>
        <v>1471.4727503049191</v>
      </c>
      <c r="R60" s="208">
        <f t="shared" ca="1" si="67"/>
        <v>1497.9592598104077</v>
      </c>
      <c r="S60" s="208">
        <f t="shared" ca="1" si="67"/>
        <v>1521.9266079673744</v>
      </c>
      <c r="T60" s="208">
        <f t="shared" ca="1" si="67"/>
        <v>1543.2335804789177</v>
      </c>
      <c r="U60" s="208">
        <f t="shared" ca="1" si="67"/>
        <v>1561.7523834446647</v>
      </c>
      <c r="V60" s="208">
        <f t="shared" ca="1" si="67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8">IF(ISERROR(G60/F60-1),"n.a.",G60/F60-1)</f>
        <v>6.9383845908268516E-2</v>
      </c>
      <c r="H61" s="209">
        <f t="shared" si="68"/>
        <v>1.6519056622549488E-2</v>
      </c>
      <c r="I61" s="209">
        <f t="shared" si="68"/>
        <v>7.1953010279001361E-2</v>
      </c>
      <c r="J61" s="209">
        <f t="shared" si="68"/>
        <v>3.6621004566209869E-2</v>
      </c>
      <c r="K61" s="209">
        <f t="shared" si="68"/>
        <v>3.0834287727954379E-3</v>
      </c>
      <c r="L61" s="209">
        <f t="shared" si="68"/>
        <v>9.3370931074625574E-3</v>
      </c>
      <c r="M61" s="209">
        <f t="shared" si="68"/>
        <v>9.2582973996280238E-2</v>
      </c>
      <c r="N61" s="209">
        <f t="shared" si="68"/>
        <v>7.8213241232100827E-2</v>
      </c>
      <c r="O61" s="209">
        <f t="shared" si="68"/>
        <v>6.879562851268739E-2</v>
      </c>
      <c r="P61" s="209">
        <f t="shared" si="68"/>
        <v>-3.0098202842344657E-3</v>
      </c>
      <c r="Q61" s="209">
        <f t="shared" si="68"/>
        <v>2.0000000000000018E-2</v>
      </c>
      <c r="R61" s="209">
        <f t="shared" ca="1" si="68"/>
        <v>1.8000000000000016E-2</v>
      </c>
      <c r="S61" s="209">
        <f t="shared" ca="1" si="68"/>
        <v>1.6000000000000014E-2</v>
      </c>
      <c r="T61" s="209">
        <f t="shared" ca="1" si="68"/>
        <v>1.4000000000000012E-2</v>
      </c>
      <c r="U61" s="209">
        <f t="shared" ca="1" si="68"/>
        <v>1.2000000000000011E-2</v>
      </c>
      <c r="V61" s="209">
        <f t="shared" ca="1" si="68"/>
        <v>1.0000000000000009E-2</v>
      </c>
    </row>
    <row r="62" spans="2:34">
      <c r="C62" s="203" t="s">
        <v>3</v>
      </c>
      <c r="D62" s="203"/>
      <c r="E62" s="203"/>
      <c r="F62" s="208">
        <f t="shared" ref="F62:P62" si="69">F15</f>
        <v>101.1</v>
      </c>
      <c r="G62" s="208">
        <f t="shared" si="69"/>
        <v>109.9</v>
      </c>
      <c r="H62" s="208">
        <f t="shared" si="69"/>
        <v>114.6</v>
      </c>
      <c r="I62" s="208">
        <f t="shared" si="69"/>
        <v>108.7</v>
      </c>
      <c r="J62" s="208">
        <f t="shared" si="69"/>
        <v>109.5</v>
      </c>
      <c r="K62" s="208">
        <f t="shared" si="69"/>
        <v>98.2</v>
      </c>
      <c r="L62" s="208">
        <f t="shared" si="69"/>
        <v>94.147209662938664</v>
      </c>
      <c r="M62" s="208">
        <f t="shared" si="69"/>
        <v>92.625305088518957</v>
      </c>
      <c r="N62" s="208">
        <f t="shared" si="69"/>
        <v>111.79673623719195</v>
      </c>
      <c r="O62" s="208">
        <f t="shared" si="69"/>
        <v>124.39494101920255</v>
      </c>
      <c r="P62" s="208">
        <f t="shared" si="69"/>
        <v>127.56812935492377</v>
      </c>
      <c r="Q62" s="208">
        <f t="shared" ref="Q62:V62" ca="1" si="70">Q15</f>
        <v>130.5050012062589</v>
      </c>
      <c r="R62" s="208">
        <f t="shared" ca="1" si="70"/>
        <v>133.24653965896451</v>
      </c>
      <c r="S62" s="208">
        <f t="shared" ca="1" si="70"/>
        <v>135.7772118993968</v>
      </c>
      <c r="T62" s="208">
        <f t="shared" ca="1" si="70"/>
        <v>138.08240265835974</v>
      </c>
      <c r="U62" s="208">
        <f t="shared" ca="1" si="70"/>
        <v>140.14855300013991</v>
      </c>
      <c r="V62" s="208">
        <f t="shared" ca="1" si="70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71">IF(ISERROR(G62/F62-1),"n.a.",G62/F62-1)</f>
        <v>8.7042532146389906E-2</v>
      </c>
      <c r="H63" s="209">
        <f t="shared" si="71"/>
        <v>4.2766151046405687E-2</v>
      </c>
      <c r="I63" s="209">
        <f t="shared" si="71"/>
        <v>-5.148342059336819E-2</v>
      </c>
      <c r="J63" s="209">
        <f t="shared" si="71"/>
        <v>7.3597056117755688E-3</v>
      </c>
      <c r="K63" s="209">
        <f t="shared" si="71"/>
        <v>-0.10319634703196345</v>
      </c>
      <c r="L63" s="209">
        <f t="shared" si="71"/>
        <v>-4.1270777363150102E-2</v>
      </c>
      <c r="M63" s="209">
        <f t="shared" si="71"/>
        <v>-1.6165158583757888E-2</v>
      </c>
      <c r="N63" s="209">
        <f t="shared" si="71"/>
        <v>0.20697833200496873</v>
      </c>
      <c r="O63" s="209">
        <f t="shared" si="71"/>
        <v>0.1126884845303695</v>
      </c>
      <c r="P63" s="209">
        <f t="shared" si="71"/>
        <v>2.5508982195918906E-2</v>
      </c>
      <c r="Q63" s="209">
        <f t="shared" ca="1" si="71"/>
        <v>2.3021987279942646E-2</v>
      </c>
      <c r="R63" s="209">
        <f t="shared" ca="1" si="71"/>
        <v>2.1007152426079756E-2</v>
      </c>
      <c r="S63" s="209">
        <f t="shared" ca="1" si="71"/>
        <v>1.8992404957827613E-2</v>
      </c>
      <c r="T63" s="209">
        <f t="shared" ca="1" si="71"/>
        <v>1.6977744105328707E-2</v>
      </c>
      <c r="U63" s="209">
        <f t="shared" ca="1" si="71"/>
        <v>1.4963169107740537E-2</v>
      </c>
      <c r="V63" s="209">
        <f t="shared" ca="1" si="71"/>
        <v>1.2948679213108383E-2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72">G62/G$60</f>
        <v>0.10936411583242114</v>
      </c>
      <c r="H64" s="211">
        <f>H62/H$60</f>
        <v>0.11218795888399412</v>
      </c>
      <c r="I64" s="211">
        <f t="shared" ref="I64" si="73">I62/I$60</f>
        <v>9.9269406392694062E-2</v>
      </c>
      <c r="J64" s="211">
        <f t="shared" ref="J64:V64" si="74">J62/J$60</f>
        <v>9.6467271606025903E-2</v>
      </c>
      <c r="K64" s="211">
        <f t="shared" si="74"/>
        <v>8.6246267345863353E-2</v>
      </c>
      <c r="L64" s="211">
        <f t="shared" si="74"/>
        <v>8.1921904398916168E-2</v>
      </c>
      <c r="M64" s="211">
        <f t="shared" si="74"/>
        <v>7.3767966132610302E-2</v>
      </c>
      <c r="N64" s="211">
        <f t="shared" si="74"/>
        <v>8.2577669530744205E-2</v>
      </c>
      <c r="O64" s="211">
        <f t="shared" si="74"/>
        <v>8.5968935047082973E-2</v>
      </c>
      <c r="P64" s="211">
        <f t="shared" si="74"/>
        <v>8.8428067672377098E-2</v>
      </c>
      <c r="Q64" s="211">
        <f t="shared" ca="1" si="74"/>
        <v>8.8690056393647521E-2</v>
      </c>
      <c r="R64" s="211">
        <f t="shared" ca="1" si="74"/>
        <v>8.8952045114917958E-2</v>
      </c>
      <c r="S64" s="211">
        <f t="shared" ca="1" si="74"/>
        <v>8.9214033836188422E-2</v>
      </c>
      <c r="T64" s="211">
        <f t="shared" ca="1" si="74"/>
        <v>8.9476022557458929E-2</v>
      </c>
      <c r="U64" s="211">
        <f t="shared" ca="1" si="74"/>
        <v>8.9738011278729449E-2</v>
      </c>
      <c r="V64" s="211">
        <f t="shared" ca="1" si="74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5">+G68-G62</f>
        <v>-25.300000000000011</v>
      </c>
      <c r="H65" s="210">
        <f t="shared" si="75"/>
        <v>-30.099999999999994</v>
      </c>
      <c r="I65" s="210">
        <f t="shared" si="75"/>
        <v>-31.600000000000009</v>
      </c>
      <c r="J65" s="210">
        <f t="shared" si="75"/>
        <v>-34.900000000000006</v>
      </c>
      <c r="K65" s="210">
        <f t="shared" si="75"/>
        <v>-36</v>
      </c>
      <c r="L65" s="210">
        <f t="shared" si="75"/>
        <v>-36.129215400000028</v>
      </c>
      <c r="M65" s="210">
        <f t="shared" si="75"/>
        <v>-40.455293523349013</v>
      </c>
      <c r="N65" s="210">
        <f t="shared" si="75"/>
        <v>-47.195257615808728</v>
      </c>
      <c r="O65" s="210">
        <f t="shared" si="75"/>
        <v>-51.82954358756416</v>
      </c>
      <c r="P65" s="210">
        <f t="shared" si="75"/>
        <v>-54.799912142159201</v>
      </c>
      <c r="Q65" s="210">
        <f t="shared" ca="1" si="75"/>
        <v>-53.583260118465944</v>
      </c>
      <c r="R65" s="210">
        <f t="shared" ca="1" si="75"/>
        <v>-52.366608094772729</v>
      </c>
      <c r="S65" s="210">
        <f t="shared" ca="1" si="75"/>
        <v>-51.149956071079529</v>
      </c>
      <c r="T65" s="210">
        <f t="shared" ca="1" si="75"/>
        <v>-49.933304047386343</v>
      </c>
      <c r="U65" s="210">
        <f t="shared" ca="1" si="75"/>
        <v>-48.716652023693172</v>
      </c>
      <c r="V65" s="210">
        <f t="shared" ca="1" si="75"/>
        <v>-47.5</v>
      </c>
    </row>
    <row r="66" spans="3:22">
      <c r="C66" s="200" t="s">
        <v>84</v>
      </c>
      <c r="D66" s="199"/>
      <c r="E66" s="202"/>
      <c r="F66" s="211">
        <f t="shared" ref="F66:V66" si="76">+F65/F60</f>
        <v>-2.4795147387464082E-2</v>
      </c>
      <c r="G66" s="211">
        <f t="shared" si="76"/>
        <v>-2.5176634490994141E-2</v>
      </c>
      <c r="H66" s="211">
        <f t="shared" si="76"/>
        <v>-2.9466470876162502E-2</v>
      </c>
      <c r="I66" s="211">
        <f t="shared" si="76"/>
        <v>-2.8858447488584484E-2</v>
      </c>
      <c r="J66" s="211">
        <f t="shared" si="76"/>
        <v>-3.0746189763016483E-2</v>
      </c>
      <c r="K66" s="211">
        <f t="shared" si="76"/>
        <v>-3.1617776216406115E-2</v>
      </c>
      <c r="L66" s="211">
        <f t="shared" si="76"/>
        <v>-3.1437725457855774E-2</v>
      </c>
      <c r="M66" s="211">
        <f t="shared" si="76"/>
        <v>-3.2219108154766314E-2</v>
      </c>
      <c r="N66" s="211">
        <f t="shared" si="76"/>
        <v>-3.4860359237571976E-2</v>
      </c>
      <c r="O66" s="211">
        <f t="shared" si="76"/>
        <v>-3.5819227290854523E-2</v>
      </c>
      <c r="P66" s="211">
        <f t="shared" si="76"/>
        <v>-3.7986371391124714E-2</v>
      </c>
      <c r="Q66" s="211">
        <f t="shared" ca="1" si="76"/>
        <v>-3.6414714514667296E-2</v>
      </c>
      <c r="R66" s="211">
        <f t="shared" ca="1" si="76"/>
        <v>-3.4958633054813934E-2</v>
      </c>
      <c r="S66" s="211">
        <f t="shared" ca="1" si="76"/>
        <v>-3.3608687701040599E-2</v>
      </c>
      <c r="T66" s="211">
        <f t="shared" ca="1" si="76"/>
        <v>-3.2356284025319322E-2</v>
      </c>
      <c r="U66" s="211">
        <f t="shared" ca="1" si="76"/>
        <v>-3.1193582631993004E-2</v>
      </c>
      <c r="V66" s="211">
        <f t="shared" ca="1" si="76"/>
        <v>-3.0113418406678784E-2</v>
      </c>
    </row>
    <row r="67" spans="3:22">
      <c r="C67" s="200" t="s">
        <v>37</v>
      </c>
      <c r="D67" s="199"/>
      <c r="E67" s="202"/>
      <c r="F67" s="211">
        <f t="shared" ref="F67:V67" si="77">+F65/F72</f>
        <v>0.76644736842105254</v>
      </c>
      <c r="G67" s="211">
        <f t="shared" si="77"/>
        <v>0.67466666666666697</v>
      </c>
      <c r="H67" s="211">
        <f t="shared" si="77"/>
        <v>0.74689826302729523</v>
      </c>
      <c r="I67" s="211">
        <f t="shared" si="77"/>
        <v>0.87534626038781183</v>
      </c>
      <c r="J67" s="211">
        <f t="shared" si="77"/>
        <v>0.93565683646112618</v>
      </c>
      <c r="K67" s="211">
        <f t="shared" si="77"/>
        <v>1.1612903225806452</v>
      </c>
      <c r="L67" s="211">
        <f t="shared" si="77"/>
        <v>1.0035893166666674</v>
      </c>
      <c r="M67" s="211">
        <f t="shared" si="77"/>
        <v>0.79324104947743168</v>
      </c>
      <c r="N67" s="211">
        <f t="shared" si="77"/>
        <v>0.94390515231617456</v>
      </c>
      <c r="O67" s="211">
        <f t="shared" si="77"/>
        <v>1.0365908717512833</v>
      </c>
      <c r="P67" s="211">
        <f t="shared" si="77"/>
        <v>1.095998242843184</v>
      </c>
      <c r="Q67" s="211">
        <f t="shared" ca="1" si="77"/>
        <v>1.0716652023693189</v>
      </c>
      <c r="R67" s="211">
        <f t="shared" ca="1" si="77"/>
        <v>1.0473321618954545</v>
      </c>
      <c r="S67" s="211">
        <f t="shared" ca="1" si="77"/>
        <v>1.0229991214215906</v>
      </c>
      <c r="T67" s="211">
        <f t="shared" ca="1" si="77"/>
        <v>0.99866608094772691</v>
      </c>
      <c r="U67" s="211">
        <f t="shared" ca="1" si="77"/>
        <v>0.97433304047386349</v>
      </c>
      <c r="V67" s="211">
        <f t="shared" ca="1" si="77"/>
        <v>0.95</v>
      </c>
    </row>
    <row r="68" spans="3:22">
      <c r="C68" s="203" t="s">
        <v>5</v>
      </c>
      <c r="D68" s="203"/>
      <c r="E68" s="203"/>
      <c r="F68" s="208">
        <f t="shared" ref="F68:V68" si="78">F25</f>
        <v>77.8</v>
      </c>
      <c r="G68" s="208">
        <f t="shared" si="78"/>
        <v>84.6</v>
      </c>
      <c r="H68" s="208">
        <f t="shared" si="78"/>
        <v>84.5</v>
      </c>
      <c r="I68" s="208">
        <f t="shared" si="78"/>
        <v>77.099999999999994</v>
      </c>
      <c r="J68" s="208">
        <f t="shared" si="78"/>
        <v>74.599999999999994</v>
      </c>
      <c r="K68" s="208">
        <f t="shared" si="78"/>
        <v>62.2</v>
      </c>
      <c r="L68" s="208">
        <f t="shared" si="78"/>
        <v>58.017994262938636</v>
      </c>
      <c r="M68" s="208">
        <f t="shared" si="78"/>
        <v>52.170011565169943</v>
      </c>
      <c r="N68" s="208">
        <f t="shared" si="78"/>
        <v>64.601478621383222</v>
      </c>
      <c r="O68" s="208">
        <f t="shared" si="78"/>
        <v>72.565397431638388</v>
      </c>
      <c r="P68" s="208">
        <f t="shared" si="78"/>
        <v>72.768217212764569</v>
      </c>
      <c r="Q68" s="208">
        <f t="shared" ca="1" si="78"/>
        <v>76.921741087792952</v>
      </c>
      <c r="R68" s="208">
        <f t="shared" ca="1" si="78"/>
        <v>80.879931564191779</v>
      </c>
      <c r="S68" s="208">
        <f t="shared" ca="1" si="78"/>
        <v>84.627255828317274</v>
      </c>
      <c r="T68" s="208">
        <f t="shared" ca="1" si="78"/>
        <v>88.149098610973397</v>
      </c>
      <c r="U68" s="208">
        <f t="shared" ca="1" si="78"/>
        <v>91.431900976446741</v>
      </c>
      <c r="V68" s="208">
        <f t="shared" ca="1" si="78"/>
        <v>94.463291655120031</v>
      </c>
    </row>
    <row r="69" spans="3:22">
      <c r="C69" s="200" t="s">
        <v>0</v>
      </c>
      <c r="D69" s="199"/>
      <c r="E69" s="201"/>
      <c r="F69" s="211" t="str">
        <f t="shared" ref="F69" si="79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80">IF(ISERROR(I68/H68-1),"n.a.",I68/H68-1)</f>
        <v>-8.7573964497041468E-2</v>
      </c>
      <c r="J69" s="211">
        <f t="shared" si="80"/>
        <v>-3.2425421530479892E-2</v>
      </c>
      <c r="K69" s="211">
        <f t="shared" si="80"/>
        <v>-0.16621983914209104</v>
      </c>
      <c r="L69" s="211">
        <f t="shared" si="80"/>
        <v>-6.723481892381622E-2</v>
      </c>
      <c r="M69" s="211">
        <f t="shared" si="80"/>
        <v>-0.10079601634047408</v>
      </c>
      <c r="N69" s="211">
        <f t="shared" si="80"/>
        <v>0.23828760399418525</v>
      </c>
      <c r="O69" s="211">
        <f t="shared" si="80"/>
        <v>0.12327765525198209</v>
      </c>
      <c r="P69" s="211">
        <f t="shared" si="80"/>
        <v>2.7949930449600036E-3</v>
      </c>
      <c r="Q69" s="211">
        <f t="shared" ca="1" si="80"/>
        <v>5.7078818667276598E-2</v>
      </c>
      <c r="R69" s="211">
        <f t="shared" ca="1" si="80"/>
        <v>5.1457369794597252E-2</v>
      </c>
      <c r="S69" s="211">
        <f t="shared" ca="1" si="80"/>
        <v>4.6331941578750868E-2</v>
      </c>
      <c r="T69" s="211">
        <f t="shared" ca="1" si="80"/>
        <v>4.1615939784232836E-2</v>
      </c>
      <c r="U69" s="211">
        <f t="shared" ca="1" si="80"/>
        <v>3.7241474016215026E-2</v>
      </c>
      <c r="V69" s="211">
        <f t="shared" ca="1" si="80"/>
        <v>3.3154628158220012E-2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81">G68/G$60</f>
        <v>8.4187481341427006E-2</v>
      </c>
      <c r="H70" s="313">
        <f>H68/H$60</f>
        <v>8.272148800783162E-2</v>
      </c>
      <c r="I70" s="313">
        <f t="shared" ref="I70:V70" si="82">I68/I$60</f>
        <v>7.0410958904109588E-2</v>
      </c>
      <c r="J70" s="313">
        <f t="shared" si="82"/>
        <v>6.5721081843009427E-2</v>
      </c>
      <c r="K70" s="313">
        <f t="shared" si="82"/>
        <v>5.4628491129457238E-2</v>
      </c>
      <c r="L70" s="313">
        <f t="shared" si="82"/>
        <v>5.0484178941060394E-2</v>
      </c>
      <c r="M70" s="313">
        <f t="shared" si="82"/>
        <v>4.1548857977843988E-2</v>
      </c>
      <c r="N70" s="313">
        <f t="shared" si="82"/>
        <v>4.7717310293172235E-2</v>
      </c>
      <c r="O70" s="313">
        <f t="shared" si="82"/>
        <v>5.0149707756228443E-2</v>
      </c>
      <c r="P70" s="313">
        <f t="shared" si="82"/>
        <v>5.0441696281252384E-2</v>
      </c>
      <c r="Q70" s="313">
        <f t="shared" ca="1" si="82"/>
        <v>5.2275341878980225E-2</v>
      </c>
      <c r="R70" s="313">
        <f t="shared" ca="1" si="82"/>
        <v>5.399341206010403E-2</v>
      </c>
      <c r="S70" s="313">
        <f t="shared" ca="1" si="82"/>
        <v>5.5605346135147823E-2</v>
      </c>
      <c r="T70" s="313">
        <f t="shared" ca="1" si="82"/>
        <v>5.71197385321396E-2</v>
      </c>
      <c r="U70" s="313">
        <f t="shared" ca="1" si="82"/>
        <v>5.8544428646736438E-2</v>
      </c>
      <c r="V70" s="313">
        <f t="shared" ca="1" si="82"/>
        <v>5.988658159332122E-2</v>
      </c>
    </row>
    <row r="71" spans="3:22">
      <c r="C71" s="199" t="s">
        <v>3</v>
      </c>
      <c r="D71" s="199"/>
      <c r="E71" s="199"/>
      <c r="F71" s="210">
        <f t="shared" ref="F71:V71" si="83">F15</f>
        <v>101.1</v>
      </c>
      <c r="G71" s="210">
        <f t="shared" si="83"/>
        <v>109.9</v>
      </c>
      <c r="H71" s="210">
        <f t="shared" si="83"/>
        <v>114.6</v>
      </c>
      <c r="I71" s="210">
        <f t="shared" si="83"/>
        <v>108.7</v>
      </c>
      <c r="J71" s="210">
        <f t="shared" si="83"/>
        <v>109.5</v>
      </c>
      <c r="K71" s="210">
        <f t="shared" si="83"/>
        <v>98.2</v>
      </c>
      <c r="L71" s="210">
        <f t="shared" si="83"/>
        <v>94.147209662938664</v>
      </c>
      <c r="M71" s="210">
        <f t="shared" si="83"/>
        <v>92.625305088518957</v>
      </c>
      <c r="N71" s="210">
        <f t="shared" si="83"/>
        <v>111.79673623719195</v>
      </c>
      <c r="O71" s="210">
        <f t="shared" si="83"/>
        <v>124.39494101920255</v>
      </c>
      <c r="P71" s="210">
        <f t="shared" si="83"/>
        <v>127.56812935492377</v>
      </c>
      <c r="Q71" s="210">
        <f t="shared" ca="1" si="83"/>
        <v>130.5050012062589</v>
      </c>
      <c r="R71" s="210">
        <f t="shared" ca="1" si="83"/>
        <v>133.24653965896451</v>
      </c>
      <c r="S71" s="210">
        <f t="shared" ca="1" si="83"/>
        <v>135.7772118993968</v>
      </c>
      <c r="T71" s="210">
        <f t="shared" ca="1" si="83"/>
        <v>138.08240265835974</v>
      </c>
      <c r="U71" s="210">
        <f t="shared" ca="1" si="83"/>
        <v>140.14855300013991</v>
      </c>
      <c r="V71" s="210">
        <f t="shared" ca="1" si="83"/>
        <v>141.96329165512003</v>
      </c>
    </row>
    <row r="72" spans="3:22">
      <c r="C72" s="203" t="s">
        <v>7</v>
      </c>
      <c r="D72" s="203"/>
      <c r="E72" s="204"/>
      <c r="F72" s="208">
        <f t="shared" ref="F72:V72" si="84">F40</f>
        <v>-30.4</v>
      </c>
      <c r="G72" s="208">
        <f t="shared" si="84"/>
        <v>-37.5</v>
      </c>
      <c r="H72" s="208">
        <f t="shared" si="84"/>
        <v>-40.299999999999997</v>
      </c>
      <c r="I72" s="208">
        <f t="shared" si="84"/>
        <v>-36.1</v>
      </c>
      <c r="J72" s="208">
        <f t="shared" si="84"/>
        <v>-37.299999999999997</v>
      </c>
      <c r="K72" s="208">
        <f t="shared" si="84"/>
        <v>-31</v>
      </c>
      <c r="L72" s="208">
        <f t="shared" si="84"/>
        <v>-36</v>
      </c>
      <c r="M72" s="208">
        <f t="shared" si="84"/>
        <v>-51</v>
      </c>
      <c r="N72" s="208">
        <f t="shared" si="84"/>
        <v>-50</v>
      </c>
      <c r="O72" s="208">
        <f t="shared" si="84"/>
        <v>-50</v>
      </c>
      <c r="P72" s="208">
        <f t="shared" si="84"/>
        <v>-50</v>
      </c>
      <c r="Q72" s="208">
        <f t="shared" si="84"/>
        <v>-50</v>
      </c>
      <c r="R72" s="208">
        <f t="shared" si="84"/>
        <v>-50</v>
      </c>
      <c r="S72" s="208">
        <f t="shared" si="84"/>
        <v>-50</v>
      </c>
      <c r="T72" s="208">
        <f t="shared" si="84"/>
        <v>-50</v>
      </c>
      <c r="U72" s="208">
        <f t="shared" si="84"/>
        <v>-50</v>
      </c>
      <c r="V72" s="208">
        <f t="shared" si="84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5">IF(ISERROR(-G72/G$60),"n.a.",-G72/G$60)</f>
        <v>3.7317145984675094E-2</v>
      </c>
      <c r="H73" s="209">
        <f t="shared" si="85"/>
        <v>3.9451786588350461E-2</v>
      </c>
      <c r="I73" s="209">
        <f t="shared" si="85"/>
        <v>3.2968036529680368E-2</v>
      </c>
      <c r="J73" s="209">
        <f t="shared" si="85"/>
        <v>3.2860540921504713E-2</v>
      </c>
      <c r="K73" s="209">
        <f t="shared" si="85"/>
        <v>2.7226418408571932E-2</v>
      </c>
      <c r="L73" s="209">
        <f t="shared" si="85"/>
        <v>3.1325289075688233E-2</v>
      </c>
      <c r="M73" s="209">
        <f t="shared" si="85"/>
        <v>4.0617045948380379E-2</v>
      </c>
      <c r="N73" s="209">
        <f t="shared" si="85"/>
        <v>3.6932057370415751E-2</v>
      </c>
      <c r="O73" s="209">
        <f t="shared" si="85"/>
        <v>3.4554835728332456E-2</v>
      </c>
      <c r="P73" s="209">
        <f t="shared" si="85"/>
        <v>3.4659153551726836E-2</v>
      </c>
      <c r="Q73" s="209">
        <f t="shared" si="85"/>
        <v>3.3979562305614552E-2</v>
      </c>
      <c r="R73" s="209">
        <f t="shared" ca="1" si="85"/>
        <v>3.3378744897460261E-2</v>
      </c>
      <c r="S73" s="209">
        <f t="shared" ca="1" si="85"/>
        <v>3.2853095371516004E-2</v>
      </c>
      <c r="T73" s="209">
        <f t="shared" ca="1" si="85"/>
        <v>3.239950233877318E-2</v>
      </c>
      <c r="U73" s="209">
        <f t="shared" ca="1" si="85"/>
        <v>3.2015318516574284E-2</v>
      </c>
      <c r="V73" s="209">
        <f t="shared" ca="1" si="85"/>
        <v>3.1698335164925033E-2</v>
      </c>
    </row>
    <row r="74" spans="3:22">
      <c r="C74" s="199" t="s">
        <v>75</v>
      </c>
      <c r="D74" s="199"/>
      <c r="E74" s="201"/>
      <c r="F74" s="210">
        <f t="shared" ref="F74:V74" si="86">F45</f>
        <v>-5.3000000000000007</v>
      </c>
      <c r="G74" s="210">
        <f t="shared" si="86"/>
        <v>25.099999999999998</v>
      </c>
      <c r="H74" s="210">
        <f t="shared" si="86"/>
        <v>-11.2</v>
      </c>
      <c r="I74" s="210">
        <f t="shared" si="86"/>
        <v>-16.300000000000004</v>
      </c>
      <c r="J74" s="210">
        <f t="shared" si="86"/>
        <v>-12.6</v>
      </c>
      <c r="K74" s="210">
        <f t="shared" si="86"/>
        <v>-10.399999999999999</v>
      </c>
      <c r="L74" s="210">
        <f t="shared" si="86"/>
        <v>6</v>
      </c>
      <c r="M74" s="210">
        <f t="shared" si="86"/>
        <v>16.111954440903407</v>
      </c>
      <c r="N74" s="210">
        <f t="shared" si="86"/>
        <v>15.168892666804709</v>
      </c>
      <c r="O74" s="210">
        <f t="shared" si="86"/>
        <v>11.110216900668604</v>
      </c>
      <c r="P74" s="210">
        <f t="shared" si="86"/>
        <v>3.9548595532390358</v>
      </c>
      <c r="Q74" s="210">
        <f t="shared" si="86"/>
        <v>0</v>
      </c>
      <c r="R74" s="210">
        <f t="shared" ca="1" si="86"/>
        <v>0</v>
      </c>
      <c r="S74" s="210">
        <f t="shared" ca="1" si="86"/>
        <v>0</v>
      </c>
      <c r="T74" s="210">
        <f t="shared" ca="1" si="86"/>
        <v>0</v>
      </c>
      <c r="U74" s="210">
        <f t="shared" ca="1" si="86"/>
        <v>0</v>
      </c>
      <c r="V74" s="210">
        <f t="shared" ca="1" si="86"/>
        <v>0</v>
      </c>
    </row>
    <row r="75" spans="3:22">
      <c r="C75" s="200" t="s">
        <v>135</v>
      </c>
      <c r="D75" s="199"/>
      <c r="E75" s="201"/>
      <c r="F75" s="211">
        <f t="shared" ref="F75:V75" si="87">+F74/F60</f>
        <v>-5.6400979035862511E-3</v>
      </c>
      <c r="G75" s="211">
        <f t="shared" si="87"/>
        <v>2.4977609712409192E-2</v>
      </c>
      <c r="H75" s="211">
        <f t="shared" si="87"/>
        <v>-1.0964268232990699E-2</v>
      </c>
      <c r="I75" s="211">
        <f t="shared" si="87"/>
        <v>-1.4885844748858451E-2</v>
      </c>
      <c r="J75" s="211">
        <f t="shared" si="87"/>
        <v>-1.1100343582063256E-2</v>
      </c>
      <c r="K75" s="211">
        <f t="shared" si="87"/>
        <v>-9.1340242402950991E-3</v>
      </c>
      <c r="L75" s="211">
        <f t="shared" si="87"/>
        <v>5.2208815126147052E-3</v>
      </c>
      <c r="M75" s="211">
        <f t="shared" si="87"/>
        <v>1.2831764585184018E-2</v>
      </c>
      <c r="N75" s="211">
        <f t="shared" si="87"/>
        <v>1.1204368284322206E-2</v>
      </c>
      <c r="O75" s="211">
        <f t="shared" si="87"/>
        <v>7.6782343981749305E-3</v>
      </c>
      <c r="P75" s="211">
        <f t="shared" si="87"/>
        <v>2.741441690624511E-3</v>
      </c>
      <c r="Q75" s="211">
        <f t="shared" si="87"/>
        <v>0</v>
      </c>
      <c r="R75" s="211">
        <f t="shared" ca="1" si="87"/>
        <v>0</v>
      </c>
      <c r="S75" s="211">
        <f t="shared" ca="1" si="87"/>
        <v>0</v>
      </c>
      <c r="T75" s="211">
        <f t="shared" ca="1" si="87"/>
        <v>0</v>
      </c>
      <c r="U75" s="211">
        <f t="shared" ca="1" si="87"/>
        <v>0</v>
      </c>
      <c r="V75" s="211">
        <f t="shared" ca="1" si="87"/>
        <v>0</v>
      </c>
    </row>
    <row r="76" spans="3:22">
      <c r="C76" s="308" t="s">
        <v>130</v>
      </c>
      <c r="D76" s="199"/>
      <c r="E76" s="201"/>
      <c r="F76" s="210">
        <f t="shared" ref="F76:V76" si="88">+F49</f>
        <v>0</v>
      </c>
      <c r="G76" s="210">
        <f t="shared" si="88"/>
        <v>0</v>
      </c>
      <c r="H76" s="210">
        <f t="shared" si="88"/>
        <v>0</v>
      </c>
      <c r="I76" s="210">
        <f t="shared" si="88"/>
        <v>0</v>
      </c>
      <c r="J76" s="210">
        <f t="shared" si="88"/>
        <v>-1.5</v>
      </c>
      <c r="K76" s="210">
        <f t="shared" si="88"/>
        <v>0.74</v>
      </c>
      <c r="L76" s="210">
        <f t="shared" si="88"/>
        <v>0</v>
      </c>
      <c r="M76" s="210">
        <f t="shared" si="88"/>
        <v>0</v>
      </c>
      <c r="N76" s="210">
        <f t="shared" si="88"/>
        <v>-5</v>
      </c>
      <c r="O76" s="210">
        <f t="shared" si="88"/>
        <v>-5</v>
      </c>
      <c r="P76" s="210">
        <f t="shared" si="88"/>
        <v>-5</v>
      </c>
      <c r="Q76" s="210">
        <f t="shared" si="88"/>
        <v>-5</v>
      </c>
      <c r="R76" s="210">
        <f t="shared" si="88"/>
        <v>-5</v>
      </c>
      <c r="S76" s="210">
        <f t="shared" si="88"/>
        <v>-5</v>
      </c>
      <c r="T76" s="210">
        <f t="shared" si="88"/>
        <v>-5</v>
      </c>
      <c r="U76" s="210">
        <f t="shared" si="88"/>
        <v>-5</v>
      </c>
      <c r="V76" s="210">
        <f t="shared" si="88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9">IF(ISERROR(-G76/G$60),"n.a.",-G76/G$60)</f>
        <v>0</v>
      </c>
      <c r="H77" s="209">
        <f t="shared" si="89"/>
        <v>0</v>
      </c>
      <c r="I77" s="209">
        <f t="shared" si="89"/>
        <v>0</v>
      </c>
      <c r="J77" s="209">
        <f t="shared" si="89"/>
        <v>1.3214694740551493E-3</v>
      </c>
      <c r="K77" s="209">
        <f t="shared" si="89"/>
        <v>-6.4992095555945904E-4</v>
      </c>
      <c r="L77" s="209">
        <f t="shared" si="89"/>
        <v>0</v>
      </c>
      <c r="M77" s="209">
        <f t="shared" si="89"/>
        <v>0</v>
      </c>
      <c r="N77" s="209">
        <f t="shared" si="89"/>
        <v>3.6932057370415751E-3</v>
      </c>
      <c r="O77" s="209">
        <f t="shared" si="89"/>
        <v>3.4554835728332453E-3</v>
      </c>
      <c r="P77" s="209">
        <f t="shared" si="89"/>
        <v>3.4659153551726838E-3</v>
      </c>
      <c r="Q77" s="209">
        <f t="shared" si="89"/>
        <v>3.3979562305614551E-3</v>
      </c>
      <c r="R77" s="209">
        <f t="shared" ca="1" si="89"/>
        <v>3.3378744897460265E-3</v>
      </c>
      <c r="S77" s="209">
        <f t="shared" ca="1" si="89"/>
        <v>3.2853095371516007E-3</v>
      </c>
      <c r="T77" s="209">
        <f t="shared" ca="1" si="89"/>
        <v>3.2399502338773178E-3</v>
      </c>
      <c r="U77" s="209">
        <f t="shared" ca="1" si="89"/>
        <v>3.2015318516574287E-3</v>
      </c>
      <c r="V77" s="209">
        <f t="shared" ca="1" si="89"/>
        <v>3.1698335164925037E-3</v>
      </c>
    </row>
    <row r="78" spans="3:22">
      <c r="C78" s="308" t="s">
        <v>131</v>
      </c>
      <c r="D78" s="199"/>
      <c r="E78" s="201"/>
      <c r="F78" s="210">
        <f t="shared" ref="F78:V78" si="90">+F53</f>
        <v>0</v>
      </c>
      <c r="G78" s="210">
        <f t="shared" si="90"/>
        <v>0</v>
      </c>
      <c r="H78" s="210">
        <f t="shared" si="90"/>
        <v>0</v>
      </c>
      <c r="I78" s="210">
        <f t="shared" si="90"/>
        <v>0</v>
      </c>
      <c r="J78" s="210">
        <f t="shared" si="90"/>
        <v>0</v>
      </c>
      <c r="K78" s="210">
        <f t="shared" si="90"/>
        <v>0</v>
      </c>
      <c r="L78" s="210">
        <f t="shared" si="90"/>
        <v>0</v>
      </c>
      <c r="M78" s="210">
        <f t="shared" si="90"/>
        <v>-18.004468664734777</v>
      </c>
      <c r="N78" s="210">
        <f t="shared" si="90"/>
        <v>-6.7527180429793674</v>
      </c>
      <c r="O78" s="210">
        <f t="shared" si="90"/>
        <v>25.138454026318882</v>
      </c>
      <c r="P78" s="210">
        <f t="shared" si="90"/>
        <v>-4.8650405710493061</v>
      </c>
      <c r="Q78" s="210">
        <f t="shared" si="90"/>
        <v>0</v>
      </c>
      <c r="R78" s="210">
        <f t="shared" si="90"/>
        <v>0</v>
      </c>
      <c r="S78" s="210">
        <f t="shared" si="90"/>
        <v>0</v>
      </c>
      <c r="T78" s="210">
        <f t="shared" si="90"/>
        <v>0</v>
      </c>
      <c r="U78" s="210">
        <f t="shared" si="90"/>
        <v>0</v>
      </c>
      <c r="V78" s="210">
        <f t="shared" si="90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91">IF(ISERROR(-G78/G$60),"n.a.",-G78/G$60)</f>
        <v>0</v>
      </c>
      <c r="H79" s="318">
        <f t="shared" si="91"/>
        <v>0</v>
      </c>
      <c r="I79" s="318">
        <f t="shared" si="91"/>
        <v>0</v>
      </c>
      <c r="J79" s="318">
        <f t="shared" si="91"/>
        <v>0</v>
      </c>
      <c r="K79" s="318">
        <f t="shared" si="91"/>
        <v>0</v>
      </c>
      <c r="L79" s="318">
        <f t="shared" si="91"/>
        <v>0</v>
      </c>
      <c r="M79" s="318">
        <f t="shared" si="91"/>
        <v>1.433898688297465E-2</v>
      </c>
      <c r="N79" s="318">
        <f t="shared" si="91"/>
        <v>4.9878354033911108E-3</v>
      </c>
      <c r="O79" s="318">
        <f t="shared" si="91"/>
        <v>-1.737310298687373E-2</v>
      </c>
      <c r="P79" s="318">
        <f t="shared" si="91"/>
        <v>3.3723637637475745E-3</v>
      </c>
      <c r="Q79" s="318">
        <f t="shared" si="91"/>
        <v>0</v>
      </c>
      <c r="R79" s="318">
        <f t="shared" ca="1" si="91"/>
        <v>0</v>
      </c>
      <c r="S79" s="318">
        <f t="shared" ca="1" si="91"/>
        <v>0</v>
      </c>
      <c r="T79" s="318">
        <f t="shared" ca="1" si="91"/>
        <v>0</v>
      </c>
      <c r="U79" s="318">
        <f t="shared" ca="1" si="91"/>
        <v>0</v>
      </c>
      <c r="V79" s="318">
        <f t="shared" ca="1" si="91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A98" zoomScaleNormal="100" zoomScaleSheetLayoutView="100" workbookViewId="0">
      <selection activeCell="K74" sqref="K74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5" width="20.6640625" customWidth="1"/>
    <col min="6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1" t="s">
        <v>156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>
        <v>8.5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1" t="s">
        <v>157</v>
      </c>
      <c r="I13" s="331"/>
      <c r="J13" s="331"/>
      <c r="K13" s="331"/>
      <c r="L13" s="342" t="s">
        <v>163</v>
      </c>
      <c r="M13" s="342"/>
      <c r="N13" s="342"/>
      <c r="O13" s="342"/>
      <c r="P13" s="342"/>
      <c r="Q13" s="348" t="s">
        <v>167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>
        <f>' Financials'!I11</f>
        <v>1095</v>
      </c>
      <c r="G24" s="332">
        <f>' Financials'!J11</f>
        <v>1135.0999999999999</v>
      </c>
      <c r="H24" s="332">
        <f>' Financials'!K11</f>
        <v>1138.5999999999999</v>
      </c>
      <c r="I24" s="332">
        <f>' Financials'!L11</f>
        <v>1149.2312142121568</v>
      </c>
      <c r="J24" s="332">
        <f>' Financials'!M11</f>
        <v>1255.6304578332745</v>
      </c>
      <c r="K24" s="332">
        <f>' Financials'!N11</f>
        <v>1353.8373857301615</v>
      </c>
      <c r="L24" s="332">
        <f>' Financials'!O11</f>
        <v>1446.9754795854415</v>
      </c>
      <c r="M24" s="332">
        <f>' Financials'!P11</f>
        <v>1442.6203434361953</v>
      </c>
      <c r="N24" s="332">
        <f>' Financials'!Q11</f>
        <v>1471.4727503049191</v>
      </c>
      <c r="O24" s="332">
        <f ca="1">' Financials'!R11</f>
        <v>1497.9592598104077</v>
      </c>
      <c r="P24" s="332">
        <f ca="1">' Financials'!S11</f>
        <v>1521.9266079673744</v>
      </c>
      <c r="Q24" s="332">
        <f ca="1">' Financials'!T11</f>
        <v>1543.2335804789177</v>
      </c>
      <c r="R24" s="332">
        <f ca="1">' Financials'!U11</f>
        <v>1561.7523834446647</v>
      </c>
      <c r="S24" s="332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50">
        <f>IFERROR(F24/E24-1,0)</f>
        <v>0</v>
      </c>
      <c r="G25" s="350">
        <f t="shared" ref="G25:S25" si="4">IFERROR(G24/F24-1,0)</f>
        <v>3.6621004566209869E-2</v>
      </c>
      <c r="H25" s="350">
        <f t="shared" si="4"/>
        <v>3.0834287727954379E-3</v>
      </c>
      <c r="I25" s="350">
        <f t="shared" si="4"/>
        <v>9.3370931074625574E-3</v>
      </c>
      <c r="J25" s="350">
        <f t="shared" si="4"/>
        <v>9.2582973996280238E-2</v>
      </c>
      <c r="K25" s="350">
        <f t="shared" si="4"/>
        <v>7.8213241232100827E-2</v>
      </c>
      <c r="L25" s="350">
        <f t="shared" si="4"/>
        <v>6.879562851268739E-2</v>
      </c>
      <c r="M25" s="350">
        <f t="shared" si="4"/>
        <v>-3.0098202842344657E-3</v>
      </c>
      <c r="N25" s="350">
        <f t="shared" si="4"/>
        <v>2.0000000000000018E-2</v>
      </c>
      <c r="O25" s="350">
        <f t="shared" ca="1" si="4"/>
        <v>1.8000000000000016E-2</v>
      </c>
      <c r="P25" s="350">
        <f t="shared" ca="1" si="4"/>
        <v>1.6000000000000014E-2</v>
      </c>
      <c r="Q25" s="350">
        <f t="shared" ca="1" si="4"/>
        <v>1.4000000000000012E-2</v>
      </c>
      <c r="R25" s="350">
        <f t="shared" ca="1" si="4"/>
        <v>1.2000000000000011E-2</v>
      </c>
      <c r="S25" s="350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>
        <f>' Financials'!I15</f>
        <v>108.7</v>
      </c>
      <c r="G27" s="332">
        <f>' Financials'!J15</f>
        <v>109.5</v>
      </c>
      <c r="H27" s="332">
        <f>' Financials'!K15</f>
        <v>98.2</v>
      </c>
      <c r="I27" s="332">
        <f>' Financials'!L15</f>
        <v>94.147209662938664</v>
      </c>
      <c r="J27" s="332">
        <f>' Financials'!M15</f>
        <v>92.625305088518957</v>
      </c>
      <c r="K27" s="332">
        <f>' Financials'!N15</f>
        <v>111.79673623719195</v>
      </c>
      <c r="L27" s="332">
        <f>' Financials'!O15</f>
        <v>124.39494101920255</v>
      </c>
      <c r="M27" s="332">
        <f>' Financials'!P15</f>
        <v>127.56812935492377</v>
      </c>
      <c r="N27" s="332">
        <f ca="1">' Financials'!Q15</f>
        <v>130.5050012062589</v>
      </c>
      <c r="O27" s="332">
        <f ca="1">' Financials'!R15</f>
        <v>133.24653965896451</v>
      </c>
      <c r="P27" s="332">
        <f ca="1">' Financials'!S15</f>
        <v>135.7772118993968</v>
      </c>
      <c r="Q27" s="332">
        <f ca="1">' Financials'!T15</f>
        <v>138.08240265835974</v>
      </c>
      <c r="R27" s="332">
        <f ca="1">' Financials'!U15</f>
        <v>140.14855300013991</v>
      </c>
      <c r="S27" s="332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41">
        <f>F27/F24</f>
        <v>9.9269406392694062E-2</v>
      </c>
      <c r="G28" s="341">
        <f t="shared" ref="G28:S28" si="5">G27/G24</f>
        <v>9.6467271606025903E-2</v>
      </c>
      <c r="H28" s="341">
        <f t="shared" si="5"/>
        <v>8.6246267345863353E-2</v>
      </c>
      <c r="I28" s="341">
        <f t="shared" si="5"/>
        <v>8.1921904398916168E-2</v>
      </c>
      <c r="J28" s="341">
        <f t="shared" si="5"/>
        <v>7.3767966132610302E-2</v>
      </c>
      <c r="K28" s="341">
        <f t="shared" si="5"/>
        <v>8.2577669530744205E-2</v>
      </c>
      <c r="L28" s="341">
        <f t="shared" si="5"/>
        <v>8.5968935047082973E-2</v>
      </c>
      <c r="M28" s="341">
        <f t="shared" si="5"/>
        <v>8.8428067672377098E-2</v>
      </c>
      <c r="N28" s="341">
        <f t="shared" ca="1" si="5"/>
        <v>8.8690056393647521E-2</v>
      </c>
      <c r="O28" s="341">
        <f t="shared" ca="1" si="5"/>
        <v>8.8952045114917958E-2</v>
      </c>
      <c r="P28" s="341">
        <f t="shared" ca="1" si="5"/>
        <v>8.9214033836188422E-2</v>
      </c>
      <c r="Q28" s="341">
        <f t="shared" ca="1" si="5"/>
        <v>8.9476022557458929E-2</v>
      </c>
      <c r="R28" s="341">
        <f t="shared" ca="1" si="5"/>
        <v>8.9738011278729449E-2</v>
      </c>
      <c r="S28" s="341">
        <f t="shared" ca="1" si="5"/>
        <v>0.09</v>
      </c>
      <c r="T28" s="54"/>
    </row>
    <row r="29" spans="3:21">
      <c r="C29" s="53"/>
      <c r="D29" s="53" t="s">
        <v>0</v>
      </c>
      <c r="E29" s="53"/>
      <c r="F29" s="350">
        <f>IFERROR(F27/E27-1,0)</f>
        <v>0</v>
      </c>
      <c r="G29" s="350">
        <f t="shared" ref="G29:S29" si="6">IFERROR(G27/F27-1,0)</f>
        <v>7.3597056117755688E-3</v>
      </c>
      <c r="H29" s="350">
        <f t="shared" si="6"/>
        <v>-0.10319634703196345</v>
      </c>
      <c r="I29" s="350">
        <f t="shared" si="6"/>
        <v>-4.1270777363150102E-2</v>
      </c>
      <c r="J29" s="350">
        <f t="shared" si="6"/>
        <v>-1.6165158583757888E-2</v>
      </c>
      <c r="K29" s="350">
        <f t="shared" si="6"/>
        <v>0.20697833200496873</v>
      </c>
      <c r="L29" s="350">
        <f t="shared" si="6"/>
        <v>0.1126884845303695</v>
      </c>
      <c r="M29" s="350">
        <f t="shared" si="6"/>
        <v>2.5508982195918906E-2</v>
      </c>
      <c r="N29" s="350">
        <f t="shared" ca="1" si="6"/>
        <v>2.3021987279942646E-2</v>
      </c>
      <c r="O29" s="350">
        <f t="shared" ca="1" si="6"/>
        <v>2.1007152426079756E-2</v>
      </c>
      <c r="P29" s="350">
        <f t="shared" ca="1" si="6"/>
        <v>1.8992404957827613E-2</v>
      </c>
      <c r="Q29" s="350">
        <f t="shared" ca="1" si="6"/>
        <v>1.6977744105328707E-2</v>
      </c>
      <c r="R29" s="350">
        <f t="shared" ca="1" si="6"/>
        <v>1.4963169107740537E-2</v>
      </c>
      <c r="S29" s="350">
        <f t="shared" ca="1" si="6"/>
        <v>1.2948679213108383E-2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f>' Financials'!I20</f>
        <v>-31.600000000000009</v>
      </c>
      <c r="G31" s="332">
        <f>' Financials'!J20</f>
        <v>-34.900000000000006</v>
      </c>
      <c r="H31" s="332">
        <f>' Financials'!K20</f>
        <v>-36</v>
      </c>
      <c r="I31" s="332">
        <f>' Financials'!L20</f>
        <v>-36.129215400000028</v>
      </c>
      <c r="J31" s="332">
        <f>' Financials'!M20</f>
        <v>-40.455293523349013</v>
      </c>
      <c r="K31" s="332">
        <f>' Financials'!N20</f>
        <v>-47.195257615808735</v>
      </c>
      <c r="L31" s="332">
        <f>' Financials'!O20</f>
        <v>-51.829543587564167</v>
      </c>
      <c r="M31" s="332">
        <f>' Financials'!P20</f>
        <v>-54.799912142159194</v>
      </c>
      <c r="N31" s="332">
        <f ca="1">' Financials'!Q20</f>
        <v>-53.583260118465944</v>
      </c>
      <c r="O31" s="332">
        <f ca="1">' Financials'!R20</f>
        <v>-52.366608094772729</v>
      </c>
      <c r="P31" s="332">
        <f ca="1">' Financials'!S20</f>
        <v>-51.149956071079529</v>
      </c>
      <c r="Q31" s="332">
        <f ca="1">' Financials'!T20</f>
        <v>-49.933304047386343</v>
      </c>
      <c r="R31" s="332">
        <f ca="1">' Financials'!U20</f>
        <v>-48.716652023693172</v>
      </c>
      <c r="S31" s="332">
        <f>' Financials'!V20</f>
        <v>-47.5</v>
      </c>
      <c r="T31" s="129"/>
    </row>
    <row r="32" spans="3:21">
      <c r="C32" s="53"/>
      <c r="D32" s="53" t="s">
        <v>24</v>
      </c>
      <c r="E32" s="53"/>
      <c r="F32" s="341">
        <f>F31/F24</f>
        <v>-2.8858447488584484E-2</v>
      </c>
      <c r="G32" s="341">
        <f t="shared" ref="G32:S32" si="7">G31/G24</f>
        <v>-3.0746189763016483E-2</v>
      </c>
      <c r="H32" s="341">
        <f t="shared" si="7"/>
        <v>-3.1617776216406115E-2</v>
      </c>
      <c r="I32" s="341">
        <f t="shared" si="7"/>
        <v>-3.1437725457855774E-2</v>
      </c>
      <c r="J32" s="341">
        <f t="shared" si="7"/>
        <v>-3.2219108154766314E-2</v>
      </c>
      <c r="K32" s="341">
        <f t="shared" si="7"/>
        <v>-3.4860359237571983E-2</v>
      </c>
      <c r="L32" s="341">
        <f t="shared" si="7"/>
        <v>-3.581922729085453E-2</v>
      </c>
      <c r="M32" s="341">
        <f t="shared" si="7"/>
        <v>-3.7986371391124714E-2</v>
      </c>
      <c r="N32" s="341">
        <f t="shared" ca="1" si="7"/>
        <v>-3.6414714514667296E-2</v>
      </c>
      <c r="O32" s="341">
        <f t="shared" ca="1" si="7"/>
        <v>-3.4958633054813934E-2</v>
      </c>
      <c r="P32" s="341">
        <f t="shared" ca="1" si="7"/>
        <v>-3.3608687701040599E-2</v>
      </c>
      <c r="Q32" s="341">
        <f t="shared" ca="1" si="7"/>
        <v>-3.2356284025319322E-2</v>
      </c>
      <c r="R32" s="341">
        <f t="shared" ca="1" si="7"/>
        <v>-3.1193582631993004E-2</v>
      </c>
      <c r="S32" s="341">
        <f t="shared" ca="1" si="7"/>
        <v>-3.0113418406678784E-2</v>
      </c>
      <c r="T32" s="54"/>
    </row>
    <row r="33" spans="3:20">
      <c r="C33" s="53"/>
      <c r="D33" s="53" t="s">
        <v>37</v>
      </c>
      <c r="E33" s="53"/>
      <c r="F33" s="340">
        <f>F31/F48</f>
        <v>0.87534626038781183</v>
      </c>
      <c r="G33" s="340">
        <f t="shared" ref="G33:S33" si="8">G31/G48</f>
        <v>0.93565683646112618</v>
      </c>
      <c r="H33" s="340">
        <f t="shared" si="8"/>
        <v>1.1612903225806452</v>
      </c>
      <c r="I33" s="340">
        <f t="shared" si="8"/>
        <v>1.0035893166666674</v>
      </c>
      <c r="J33" s="340">
        <f t="shared" si="8"/>
        <v>0.79324104947743168</v>
      </c>
      <c r="K33" s="340">
        <f t="shared" si="8"/>
        <v>0.94390515231617467</v>
      </c>
      <c r="L33" s="340">
        <f t="shared" si="8"/>
        <v>1.0365908717512833</v>
      </c>
      <c r="M33" s="340">
        <f t="shared" si="8"/>
        <v>1.0959982428431838</v>
      </c>
      <c r="N33" s="340">
        <f t="shared" ca="1" si="8"/>
        <v>1.0716652023693189</v>
      </c>
      <c r="O33" s="340">
        <f t="shared" ca="1" si="8"/>
        <v>1.0473321618954545</v>
      </c>
      <c r="P33" s="340">
        <f t="shared" ca="1" si="8"/>
        <v>1.0229991214215906</v>
      </c>
      <c r="Q33" s="340">
        <f t="shared" ca="1" si="8"/>
        <v>0.99866608094772691</v>
      </c>
      <c r="R33" s="340">
        <f t="shared" ca="1" si="8"/>
        <v>0.97433304047386349</v>
      </c>
      <c r="S33" s="340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80.879931564191779</v>
      </c>
      <c r="P35" s="40">
        <f t="shared" ca="1" si="10"/>
        <v>84.627255828317274</v>
      </c>
      <c r="Q35" s="40">
        <f t="shared" ca="1" si="10"/>
        <v>88.149098610973397</v>
      </c>
      <c r="R35" s="40">
        <f t="shared" ca="1" si="10"/>
        <v>91.431900976446741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41">
        <f>F35/F24</f>
        <v>7.0410958904109588E-2</v>
      </c>
      <c r="G36" s="341">
        <f t="shared" ref="G36:S36" si="12">G35/G24</f>
        <v>6.5721081843009427E-2</v>
      </c>
      <c r="H36" s="341">
        <f t="shared" si="12"/>
        <v>5.4628491129457238E-2</v>
      </c>
      <c r="I36" s="341">
        <f t="shared" si="12"/>
        <v>5.0484178941060394E-2</v>
      </c>
      <c r="J36" s="341">
        <f t="shared" si="12"/>
        <v>4.1548857977843988E-2</v>
      </c>
      <c r="K36" s="341">
        <f t="shared" si="12"/>
        <v>4.7717310293172235E-2</v>
      </c>
      <c r="L36" s="341">
        <f t="shared" si="12"/>
        <v>5.0149707756228443E-2</v>
      </c>
      <c r="M36" s="341">
        <f t="shared" si="12"/>
        <v>5.0441696281252384E-2</v>
      </c>
      <c r="N36" s="341">
        <f t="shared" ca="1" si="12"/>
        <v>5.2275341878980225E-2</v>
      </c>
      <c r="O36" s="341">
        <f t="shared" ca="1" si="12"/>
        <v>5.399341206010403E-2</v>
      </c>
      <c r="P36" s="341">
        <f t="shared" ca="1" si="12"/>
        <v>5.5605346135147823E-2</v>
      </c>
      <c r="Q36" s="341">
        <f t="shared" ca="1" si="12"/>
        <v>5.71197385321396E-2</v>
      </c>
      <c r="R36" s="341">
        <f t="shared" ca="1" si="12"/>
        <v>5.8544428646736438E-2</v>
      </c>
      <c r="S36" s="341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50">
        <f>IFERROR(F35/E35-1,0)</f>
        <v>0</v>
      </c>
      <c r="G37" s="350">
        <f t="shared" ref="G37:S37" si="13">IFERROR(G35/F35-1,0)</f>
        <v>-3.2425421530479892E-2</v>
      </c>
      <c r="H37" s="350">
        <f t="shared" si="13"/>
        <v>-0.16621983914209104</v>
      </c>
      <c r="I37" s="350">
        <f t="shared" si="13"/>
        <v>-6.723481892381622E-2</v>
      </c>
      <c r="J37" s="350">
        <f t="shared" si="13"/>
        <v>-0.10079601634047408</v>
      </c>
      <c r="K37" s="350">
        <f t="shared" si="13"/>
        <v>0.23828760399418525</v>
      </c>
      <c r="L37" s="350">
        <f t="shared" si="13"/>
        <v>0.12327765525198209</v>
      </c>
      <c r="M37" s="350">
        <f t="shared" si="13"/>
        <v>2.7949930449600036E-3</v>
      </c>
      <c r="N37" s="350">
        <f t="shared" ca="1" si="13"/>
        <v>5.7078818667276598E-2</v>
      </c>
      <c r="O37" s="350">
        <f t="shared" ca="1" si="13"/>
        <v>5.1457369794597252E-2</v>
      </c>
      <c r="P37" s="350">
        <f t="shared" ca="1" si="13"/>
        <v>4.6331941578750868E-2</v>
      </c>
      <c r="Q37" s="350">
        <f t="shared" ca="1" si="13"/>
        <v>4.1615939784232836E-2</v>
      </c>
      <c r="R37" s="350">
        <f t="shared" ca="1" si="13"/>
        <v>3.7241474016215026E-2</v>
      </c>
      <c r="S37" s="350">
        <f t="shared" ca="1" si="13"/>
        <v>3.3154628158220012E-2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3">
        <f>I35*I40</f>
        <v>11.023418909958341</v>
      </c>
      <c r="J39" s="343">
        <f t="shared" ref="J39:S39" si="14">J35*J40</f>
        <v>8.8689019660788908</v>
      </c>
      <c r="K39" s="343">
        <f t="shared" si="14"/>
        <v>10.982251365635149</v>
      </c>
      <c r="L39" s="343">
        <f t="shared" si="14"/>
        <v>12.336117563378528</v>
      </c>
      <c r="M39" s="343">
        <f t="shared" si="14"/>
        <v>12.370596926169977</v>
      </c>
      <c r="N39" s="343">
        <f t="shared" ca="1" si="14"/>
        <v>13.076695984924802</v>
      </c>
      <c r="O39" s="343">
        <f t="shared" ca="1" si="14"/>
        <v>13.749588365912603</v>
      </c>
      <c r="P39" s="343">
        <f t="shared" ca="1" si="14"/>
        <v>14.386633490813937</v>
      </c>
      <c r="Q39" s="343">
        <f t="shared" ca="1" si="14"/>
        <v>14.985346763865479</v>
      </c>
      <c r="R39" s="343">
        <f t="shared" ca="1" si="14"/>
        <v>15.543423165995947</v>
      </c>
      <c r="S39" s="343">
        <f t="shared" ca="1" si="14"/>
        <v>16.058759581370406</v>
      </c>
      <c r="T39" s="343" t="s">
        <v>164</v>
      </c>
    </row>
    <row r="40" spans="3:20">
      <c r="C40" s="53"/>
      <c r="D40" s="53" t="s">
        <v>6</v>
      </c>
      <c r="E40" s="53"/>
      <c r="F40" s="113"/>
      <c r="G40" s="113"/>
      <c r="H40" s="247"/>
      <c r="I40" s="333">
        <f>' Financials'!L29</f>
        <v>0.19</v>
      </c>
      <c r="J40" s="333">
        <f>' Financials'!M29</f>
        <v>0.17</v>
      </c>
      <c r="K40" s="333">
        <f>' Financials'!N29</f>
        <v>0.17</v>
      </c>
      <c r="L40" s="333">
        <f>' Financials'!O29</f>
        <v>0.17</v>
      </c>
      <c r="M40" s="333">
        <f>' Financials'!P29</f>
        <v>0.17</v>
      </c>
      <c r="N40" s="333">
        <f>' Financials'!Q29</f>
        <v>0.17</v>
      </c>
      <c r="O40" s="333">
        <f>' Financials'!R29</f>
        <v>0.17</v>
      </c>
      <c r="P40" s="333">
        <f>' Financials'!S29</f>
        <v>0.17</v>
      </c>
      <c r="Q40" s="333">
        <f>' Financials'!T29</f>
        <v>0.17</v>
      </c>
      <c r="R40" s="333">
        <f>' Financials'!U29</f>
        <v>0.17</v>
      </c>
      <c r="S40" s="333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3">
        <f>I35-I39</f>
        <v>46.994575352980291</v>
      </c>
      <c r="J42" s="343">
        <f t="shared" ref="J42:S42" si="15">J35-J39</f>
        <v>43.301109599091049</v>
      </c>
      <c r="K42" s="343">
        <f t="shared" si="15"/>
        <v>53.619227255748072</v>
      </c>
      <c r="L42" s="343">
        <f t="shared" si="15"/>
        <v>60.229279868259859</v>
      </c>
      <c r="M42" s="343">
        <f t="shared" si="15"/>
        <v>60.397620286594588</v>
      </c>
      <c r="N42" s="343">
        <f t="shared" ca="1" si="15"/>
        <v>63.845045102868148</v>
      </c>
      <c r="O42" s="343">
        <f t="shared" ca="1" si="15"/>
        <v>67.130343198279178</v>
      </c>
      <c r="P42" s="343">
        <f t="shared" ca="1" si="15"/>
        <v>70.240622337503339</v>
      </c>
      <c r="Q42" s="343">
        <f t="shared" ca="1" si="15"/>
        <v>73.163751847107918</v>
      </c>
      <c r="R42" s="343">
        <f t="shared" ca="1" si="15"/>
        <v>75.888477810450794</v>
      </c>
      <c r="S42" s="343">
        <f t="shared" ca="1" si="15"/>
        <v>78.404532073749621</v>
      </c>
      <c r="T42" s="343" t="s">
        <v>165</v>
      </c>
    </row>
    <row r="43" spans="3:20">
      <c r="C43" s="53"/>
      <c r="D43" s="53" t="s">
        <v>1</v>
      </c>
      <c r="E43" s="53"/>
      <c r="F43" s="54"/>
      <c r="G43" s="54"/>
      <c r="H43" s="73"/>
      <c r="I43" s="341">
        <f>I42/I24</f>
        <v>4.0892184942258915E-2</v>
      </c>
      <c r="J43" s="341">
        <f t="shared" ref="J43:S43" si="16">J42/J24</f>
        <v>3.4485552121610502E-2</v>
      </c>
      <c r="K43" s="341">
        <f t="shared" si="16"/>
        <v>3.9605367543332951E-2</v>
      </c>
      <c r="L43" s="341">
        <f t="shared" si="16"/>
        <v>4.1624257437669607E-2</v>
      </c>
      <c r="M43" s="341">
        <f t="shared" si="16"/>
        <v>4.1866607913439477E-2</v>
      </c>
      <c r="N43" s="341">
        <f t="shared" ca="1" si="16"/>
        <v>4.3388533759553587E-2</v>
      </c>
      <c r="O43" s="341">
        <f t="shared" ca="1" si="16"/>
        <v>4.4814532009886346E-2</v>
      </c>
      <c r="P43" s="341">
        <f t="shared" ca="1" si="16"/>
        <v>4.6152437292172693E-2</v>
      </c>
      <c r="Q43" s="341">
        <f t="shared" ca="1" si="16"/>
        <v>4.7409382981675866E-2</v>
      </c>
      <c r="R43" s="341">
        <f t="shared" ca="1" si="16"/>
        <v>4.8591875776791242E-2</v>
      </c>
      <c r="S43" s="341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49">
        <f>IFERROR(I42/H42-1,0)</f>
        <v>0</v>
      </c>
      <c r="J44" s="349">
        <f t="shared" ref="J44:S44" si="17">IFERROR(J42/I42-1,0)</f>
        <v>-7.8593448842708025E-2</v>
      </c>
      <c r="K44" s="349">
        <f t="shared" si="17"/>
        <v>0.23828760399418525</v>
      </c>
      <c r="L44" s="349">
        <f t="shared" si="17"/>
        <v>0.12327765525198209</v>
      </c>
      <c r="M44" s="349">
        <f t="shared" si="17"/>
        <v>2.7949930449600036E-3</v>
      </c>
      <c r="N44" s="349">
        <f t="shared" ca="1" si="17"/>
        <v>5.7078818667276598E-2</v>
      </c>
      <c r="O44" s="349">
        <f t="shared" ca="1" si="17"/>
        <v>5.1457369794597252E-2</v>
      </c>
      <c r="P44" s="349">
        <f t="shared" ca="1" si="17"/>
        <v>4.6331941578750868E-2</v>
      </c>
      <c r="Q44" s="349">
        <f t="shared" ca="1" si="17"/>
        <v>4.1615939784232836E-2</v>
      </c>
      <c r="R44" s="349">
        <f t="shared" ca="1" si="17"/>
        <v>3.7241474016215026E-2</v>
      </c>
      <c r="S44" s="349">
        <f t="shared" ca="1" si="17"/>
        <v>3.3154628158220012E-2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18">-I31</f>
        <v>36.129215400000028</v>
      </c>
      <c r="J46" s="343">
        <f>-' Financials'!M20</f>
        <v>40.455293523349013</v>
      </c>
      <c r="K46" s="343">
        <f>-' Financials'!N20</f>
        <v>47.195257615808735</v>
      </c>
      <c r="L46" s="343">
        <f>-' Financials'!O20</f>
        <v>51.829543587564167</v>
      </c>
      <c r="M46" s="343">
        <f>-' Financials'!P20</f>
        <v>54.799912142159194</v>
      </c>
      <c r="N46" s="343">
        <f ca="1">-' Financials'!Q20</f>
        <v>53.583260118465944</v>
      </c>
      <c r="O46" s="343">
        <f ca="1">-' Financials'!R20</f>
        <v>52.366608094772729</v>
      </c>
      <c r="P46" s="343">
        <f ca="1">-' Financials'!S20</f>
        <v>51.149956071079529</v>
      </c>
      <c r="Q46" s="343">
        <f ca="1">-' Financials'!T20</f>
        <v>49.933304047386343</v>
      </c>
      <c r="R46" s="343">
        <f ca="1">-' Financials'!U20</f>
        <v>48.716652023693172</v>
      </c>
      <c r="S46" s="343">
        <f>-' Financials'!V20</f>
        <v>47.5</v>
      </c>
      <c r="T46" s="344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5"/>
    </row>
    <row r="48" spans="3:20" s="53" customFormat="1">
      <c r="C48"/>
      <c r="D48" t="s">
        <v>7</v>
      </c>
      <c r="E48"/>
      <c r="F48" s="332">
        <f>' Financials'!I40</f>
        <v>-36.1</v>
      </c>
      <c r="G48" s="332">
        <f>' Financials'!J40</f>
        <v>-37.299999999999997</v>
      </c>
      <c r="H48" s="332">
        <f>' Financials'!K40</f>
        <v>-31</v>
      </c>
      <c r="I48" s="332">
        <f>' Financials'!L40</f>
        <v>-36</v>
      </c>
      <c r="J48" s="332">
        <f>' Financials'!M40</f>
        <v>-51</v>
      </c>
      <c r="K48" s="332">
        <f>' Financials'!N40</f>
        <v>-50</v>
      </c>
      <c r="L48" s="332">
        <f>' Financials'!O40</f>
        <v>-50</v>
      </c>
      <c r="M48" s="332">
        <f>' Financials'!P40</f>
        <v>-50</v>
      </c>
      <c r="N48" s="332">
        <f>' Financials'!Q40</f>
        <v>-50</v>
      </c>
      <c r="O48" s="332">
        <f>' Financials'!R40</f>
        <v>-50</v>
      </c>
      <c r="P48" s="332">
        <f>' Financials'!S40</f>
        <v>-50</v>
      </c>
      <c r="Q48" s="332">
        <f>' Financials'!T40</f>
        <v>-50</v>
      </c>
      <c r="R48" s="332">
        <f>' Financials'!U40</f>
        <v>-50</v>
      </c>
      <c r="S48" s="332">
        <f>' Financials'!V40</f>
        <v>-50</v>
      </c>
      <c r="T48" s="344"/>
    </row>
    <row r="49" spans="3:20">
      <c r="C49" s="53"/>
      <c r="D49" s="53" t="s">
        <v>24</v>
      </c>
      <c r="E49" s="53"/>
      <c r="F49" s="341">
        <f>F48/F24</f>
        <v>-3.2968036529680368E-2</v>
      </c>
      <c r="G49" s="341">
        <f t="shared" ref="G49:S49" si="19">G48/G24</f>
        <v>-3.2860540921504713E-2</v>
      </c>
      <c r="H49" s="341">
        <f t="shared" si="19"/>
        <v>-2.7226418408571932E-2</v>
      </c>
      <c r="I49" s="341">
        <f t="shared" si="19"/>
        <v>-3.1325289075688233E-2</v>
      </c>
      <c r="J49" s="341">
        <f t="shared" si="19"/>
        <v>-4.0617045948380379E-2</v>
      </c>
      <c r="K49" s="341">
        <f t="shared" si="19"/>
        <v>-3.6932057370415751E-2</v>
      </c>
      <c r="L49" s="341">
        <f t="shared" si="19"/>
        <v>-3.4554835728332456E-2</v>
      </c>
      <c r="M49" s="341">
        <f t="shared" si="19"/>
        <v>-3.4659153551726836E-2</v>
      </c>
      <c r="N49" s="341">
        <f t="shared" si="19"/>
        <v>-3.3979562305614552E-2</v>
      </c>
      <c r="O49" s="341">
        <f t="shared" ca="1" si="19"/>
        <v>-3.3378744897460261E-2</v>
      </c>
      <c r="P49" s="341">
        <f t="shared" ca="1" si="19"/>
        <v>-3.2853095371516004E-2</v>
      </c>
      <c r="Q49" s="341">
        <f t="shared" ca="1" si="19"/>
        <v>-3.239950233877318E-2</v>
      </c>
      <c r="R49" s="341">
        <f t="shared" ca="1" si="19"/>
        <v>-3.2015318516574284E-2</v>
      </c>
      <c r="S49" s="341">
        <f t="shared" ca="1" si="19"/>
        <v>-3.1698335164925033E-2</v>
      </c>
      <c r="T49" s="346"/>
    </row>
    <row r="50" spans="3:20">
      <c r="C50" s="53"/>
      <c r="D50" s="53" t="s">
        <v>27</v>
      </c>
      <c r="E50" s="53"/>
      <c r="F50" s="341">
        <f>F48/F31</f>
        <v>1.1424050632911389</v>
      </c>
      <c r="G50" s="341">
        <f t="shared" ref="G50:S50" si="20">G48/G31</f>
        <v>1.0687679083094552</v>
      </c>
      <c r="H50" s="341">
        <f t="shared" si="20"/>
        <v>0.86111111111111116</v>
      </c>
      <c r="I50" s="341">
        <f t="shared" si="20"/>
        <v>0.99642352045098581</v>
      </c>
      <c r="J50" s="341">
        <f t="shared" si="20"/>
        <v>1.2606508458668098</v>
      </c>
      <c r="K50" s="341">
        <f t="shared" si="20"/>
        <v>1.0594284791710042</v>
      </c>
      <c r="L50" s="341">
        <f t="shared" si="20"/>
        <v>0.96470075827557278</v>
      </c>
      <c r="M50" s="341">
        <f t="shared" si="20"/>
        <v>0.91241022194146038</v>
      </c>
      <c r="N50" s="341">
        <f t="shared" ca="1" si="20"/>
        <v>0.9331272470069234</v>
      </c>
      <c r="O50" s="341">
        <f t="shared" ca="1" si="20"/>
        <v>0.95480692409006784</v>
      </c>
      <c r="P50" s="341">
        <f t="shared" ca="1" si="20"/>
        <v>0.97751794606662978</v>
      </c>
      <c r="Q50" s="341">
        <f t="shared" ca="1" si="20"/>
        <v>1.0013357007689769</v>
      </c>
      <c r="R50" s="341">
        <f t="shared" ca="1" si="20"/>
        <v>1.0263431069869637</v>
      </c>
      <c r="S50" s="341">
        <f t="shared" si="20"/>
        <v>1.0526315789473684</v>
      </c>
      <c r="T50" s="346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6"/>
    </row>
    <row r="52" spans="3:20">
      <c r="D52" t="s">
        <v>39</v>
      </c>
      <c r="F52" s="332">
        <f>' Financials'!I45</f>
        <v>-16.300000000000004</v>
      </c>
      <c r="G52" s="332">
        <f>' Financials'!J45</f>
        <v>-12.6</v>
      </c>
      <c r="H52" s="332">
        <f>' Financials'!K45</f>
        <v>-10.399999999999999</v>
      </c>
      <c r="I52" s="332">
        <f>' Financials'!L45</f>
        <v>6</v>
      </c>
      <c r="J52" s="332">
        <f>' Financials'!M45</f>
        <v>16.111954440903407</v>
      </c>
      <c r="K52" s="332">
        <f>' Financials'!N45</f>
        <v>15.168892666804709</v>
      </c>
      <c r="L52" s="332">
        <f>' Financials'!O45</f>
        <v>11.110216900668604</v>
      </c>
      <c r="M52" s="332">
        <f>' Financials'!P45</f>
        <v>3.9548595532390358</v>
      </c>
      <c r="N52" s="332">
        <f>' Financials'!Q45</f>
        <v>0</v>
      </c>
      <c r="O52" s="332">
        <f ca="1">' Financials'!R45</f>
        <v>0</v>
      </c>
      <c r="P52" s="332">
        <f ca="1">' Financials'!S45</f>
        <v>0</v>
      </c>
      <c r="Q52" s="332">
        <f ca="1">' Financials'!T45</f>
        <v>0</v>
      </c>
      <c r="R52" s="332">
        <f ca="1">' Financials'!U45</f>
        <v>0</v>
      </c>
      <c r="S52" s="332">
        <f ca="1">' Financials'!V45</f>
        <v>0</v>
      </c>
      <c r="T52" s="344"/>
    </row>
    <row r="53" spans="3:20">
      <c r="C53" s="53"/>
      <c r="D53" s="53" t="s">
        <v>24</v>
      </c>
      <c r="E53" s="53"/>
      <c r="F53" s="341">
        <f>F52/F24</f>
        <v>-1.4885844748858451E-2</v>
      </c>
      <c r="G53" s="341">
        <f t="shared" ref="G53:S53" si="21">G52/G24</f>
        <v>-1.1100343582063256E-2</v>
      </c>
      <c r="H53" s="341">
        <f t="shared" si="21"/>
        <v>-9.1340242402950991E-3</v>
      </c>
      <c r="I53" s="341">
        <f t="shared" si="21"/>
        <v>5.2208815126147052E-3</v>
      </c>
      <c r="J53" s="341">
        <f t="shared" si="21"/>
        <v>1.2831764585184018E-2</v>
      </c>
      <c r="K53" s="341">
        <f t="shared" si="21"/>
        <v>1.1204368284322206E-2</v>
      </c>
      <c r="L53" s="341">
        <f t="shared" si="21"/>
        <v>7.6782343981749305E-3</v>
      </c>
      <c r="M53" s="341">
        <f t="shared" si="21"/>
        <v>2.741441690624511E-3</v>
      </c>
      <c r="N53" s="341">
        <f t="shared" si="21"/>
        <v>0</v>
      </c>
      <c r="O53" s="341">
        <f t="shared" ca="1" si="21"/>
        <v>0</v>
      </c>
      <c r="P53" s="341">
        <f t="shared" ca="1" si="21"/>
        <v>0</v>
      </c>
      <c r="Q53" s="341">
        <f t="shared" ca="1" si="21"/>
        <v>0</v>
      </c>
      <c r="R53" s="341">
        <f t="shared" ca="1" si="21"/>
        <v>0</v>
      </c>
      <c r="S53" s="341">
        <f t="shared" ca="1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>
        <f>' Financials'!I49</f>
        <v>0</v>
      </c>
      <c r="G55" s="332">
        <f>' Financials'!J49</f>
        <v>-1.5</v>
      </c>
      <c r="H55" s="332">
        <f>' Financials'!K49</f>
        <v>0.74</v>
      </c>
      <c r="I55" s="332">
        <f>' Financials'!L49</f>
        <v>0</v>
      </c>
      <c r="J55" s="332">
        <f>' Financials'!M49</f>
        <v>0</v>
      </c>
      <c r="K55" s="332">
        <f>' Financials'!N49</f>
        <v>-5</v>
      </c>
      <c r="L55" s="332">
        <f>' Financials'!O49</f>
        <v>-5</v>
      </c>
      <c r="M55" s="332">
        <f>' Financials'!P49</f>
        <v>-5</v>
      </c>
      <c r="N55" s="332">
        <f>' Financials'!Q49</f>
        <v>-5</v>
      </c>
      <c r="O55" s="332">
        <f>' Financials'!R49</f>
        <v>-5</v>
      </c>
      <c r="P55" s="332">
        <f>' Financials'!S49</f>
        <v>-5</v>
      </c>
      <c r="Q55" s="332">
        <f>' Financials'!T49</f>
        <v>-5</v>
      </c>
      <c r="R55" s="332">
        <f>' Financials'!U49</f>
        <v>-5</v>
      </c>
      <c r="S55" s="332">
        <f>' Financials'!V49</f>
        <v>-5</v>
      </c>
      <c r="T55" s="54"/>
    </row>
    <row r="56" spans="3:20">
      <c r="C56" s="53"/>
      <c r="D56" s="53" t="s">
        <v>24</v>
      </c>
      <c r="E56" s="53"/>
      <c r="F56" s="341">
        <f>F55/F24</f>
        <v>0</v>
      </c>
      <c r="G56" s="341">
        <f t="shared" ref="G56:S56" si="22">G55/G24</f>
        <v>-1.3214694740551493E-3</v>
      </c>
      <c r="H56" s="341">
        <f t="shared" si="22"/>
        <v>6.4992095555945904E-4</v>
      </c>
      <c r="I56" s="341">
        <f t="shared" si="22"/>
        <v>0</v>
      </c>
      <c r="J56" s="341">
        <f t="shared" si="22"/>
        <v>0</v>
      </c>
      <c r="K56" s="341">
        <f t="shared" si="22"/>
        <v>-3.6932057370415751E-3</v>
      </c>
      <c r="L56" s="341">
        <f t="shared" si="22"/>
        <v>-3.4554835728332453E-3</v>
      </c>
      <c r="M56" s="341">
        <f t="shared" si="22"/>
        <v>-3.4659153551726838E-3</v>
      </c>
      <c r="N56" s="341">
        <f t="shared" si="22"/>
        <v>-3.3979562305614551E-3</v>
      </c>
      <c r="O56" s="341">
        <f t="shared" ca="1" si="22"/>
        <v>-3.3378744897460265E-3</v>
      </c>
      <c r="P56" s="341">
        <f t="shared" ca="1" si="22"/>
        <v>-3.2853095371516007E-3</v>
      </c>
      <c r="Q56" s="341">
        <f t="shared" ca="1" si="22"/>
        <v>-3.2399502338773178E-3</v>
      </c>
      <c r="R56" s="341">
        <f t="shared" ca="1" si="22"/>
        <v>-3.2015318516574287E-3</v>
      </c>
      <c r="S56" s="341">
        <f t="shared" ca="1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>
        <f>' Financials'!I53</f>
        <v>0</v>
      </c>
      <c r="G58" s="332">
        <f>' Financials'!J53</f>
        <v>0</v>
      </c>
      <c r="H58" s="332">
        <f>' Financials'!K53</f>
        <v>0</v>
      </c>
      <c r="I58" s="332">
        <f>' Financials'!L53</f>
        <v>0</v>
      </c>
      <c r="J58" s="332">
        <f>' Financials'!M53</f>
        <v>-18.004468664734777</v>
      </c>
      <c r="K58" s="332">
        <f>' Financials'!N53</f>
        <v>-6.7527180429793674</v>
      </c>
      <c r="L58" s="332">
        <f>' Financials'!O53</f>
        <v>25.138454026318882</v>
      </c>
      <c r="M58" s="332">
        <f>' Financials'!P53</f>
        <v>-4.8650405710493061</v>
      </c>
      <c r="N58" s="332">
        <f>' Financials'!Q53</f>
        <v>0</v>
      </c>
      <c r="O58" s="332">
        <f>' Financials'!R53</f>
        <v>0</v>
      </c>
      <c r="P58" s="332">
        <f>' Financials'!S53</f>
        <v>0</v>
      </c>
      <c r="Q58" s="332">
        <f>' Financials'!T53</f>
        <v>0</v>
      </c>
      <c r="R58" s="332">
        <f>' Financials'!U53</f>
        <v>0</v>
      </c>
      <c r="S58" s="332">
        <f>' Financials'!V53</f>
        <v>0</v>
      </c>
      <c r="T58" s="54"/>
    </row>
    <row r="59" spans="3:20">
      <c r="C59" s="53"/>
      <c r="D59" s="53" t="s">
        <v>24</v>
      </c>
      <c r="E59" s="53"/>
      <c r="F59" s="341">
        <f>F58/F24</f>
        <v>0</v>
      </c>
      <c r="G59" s="341">
        <f t="shared" ref="G59:S59" si="23">G58/G24</f>
        <v>0</v>
      </c>
      <c r="H59" s="341">
        <f t="shared" si="23"/>
        <v>0</v>
      </c>
      <c r="I59" s="341">
        <f t="shared" si="23"/>
        <v>0</v>
      </c>
      <c r="J59" s="341">
        <f t="shared" si="23"/>
        <v>-1.433898688297465E-2</v>
      </c>
      <c r="K59" s="341">
        <f t="shared" si="23"/>
        <v>-4.9878354033911108E-3</v>
      </c>
      <c r="L59" s="341">
        <f t="shared" si="23"/>
        <v>1.737310298687373E-2</v>
      </c>
      <c r="M59" s="341">
        <f t="shared" si="23"/>
        <v>-3.3723637637475745E-3</v>
      </c>
      <c r="N59" s="341">
        <f t="shared" si="23"/>
        <v>0</v>
      </c>
      <c r="O59" s="341">
        <f t="shared" ca="1" si="23"/>
        <v>0</v>
      </c>
      <c r="P59" s="341">
        <f t="shared" ca="1" si="23"/>
        <v>0</v>
      </c>
      <c r="Q59" s="341">
        <f t="shared" ca="1" si="23"/>
        <v>0</v>
      </c>
      <c r="R59" s="341">
        <f t="shared" ca="1" si="23"/>
        <v>0</v>
      </c>
      <c r="S59" s="341">
        <f t="shared" ca="1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7">
        <f>I42+I46+I48+I52+I55+I58</f>
        <v>53.123790752980312</v>
      </c>
      <c r="J61" s="347">
        <f t="shared" ref="J61:S61" si="24">J42+J46+J48+J52+J55+J58</f>
        <v>30.863888898608689</v>
      </c>
      <c r="K61" s="347">
        <f t="shared" si="24"/>
        <v>54.230659495382142</v>
      </c>
      <c r="L61" s="347">
        <f t="shared" si="24"/>
        <v>93.307494382811512</v>
      </c>
      <c r="M61" s="347">
        <f t="shared" si="24"/>
        <v>59.287351410943515</v>
      </c>
      <c r="N61" s="347">
        <f t="shared" ca="1" si="24"/>
        <v>62.428305221334085</v>
      </c>
      <c r="O61" s="347">
        <f t="shared" ca="1" si="24"/>
        <v>64.496951293051907</v>
      </c>
      <c r="P61" s="347">
        <f t="shared" ca="1" si="24"/>
        <v>66.390578408582869</v>
      </c>
      <c r="Q61" s="347">
        <f t="shared" ca="1" si="24"/>
        <v>68.097055894494261</v>
      </c>
      <c r="R61" s="347">
        <f t="shared" ca="1" si="24"/>
        <v>69.605129834143966</v>
      </c>
      <c r="S61" s="347">
        <f t="shared" ca="1" si="24"/>
        <v>70.904532073749621</v>
      </c>
      <c r="T61" s="130" t="s">
        <v>166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5">-I18*I61</f>
        <v>-53.123790752980312</v>
      </c>
      <c r="J63" s="2">
        <f t="shared" si="25"/>
        <v>-2.1125180628753123E-2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6">J63+J61</f>
        <v>30.842763717979935</v>
      </c>
      <c r="K64" s="130">
        <f t="shared" si="26"/>
        <v>54.230659495382142</v>
      </c>
      <c r="L64" s="130">
        <f t="shared" si="26"/>
        <v>93.307494382811512</v>
      </c>
      <c r="M64" s="130">
        <f>M63+M61</f>
        <v>59.287351410943515</v>
      </c>
      <c r="N64" s="130">
        <f t="shared" ca="1" si="26"/>
        <v>62.428305221334085</v>
      </c>
      <c r="O64" s="130">
        <f t="shared" ca="1" si="26"/>
        <v>64.496951293051907</v>
      </c>
      <c r="P64" s="130">
        <f ca="1">P63+P61</f>
        <v>66.390578408582869</v>
      </c>
      <c r="Q64" s="130">
        <f ca="1">Q63+Q61</f>
        <v>68.097055894494261</v>
      </c>
      <c r="R64" s="130">
        <f ca="1">R63+R61</f>
        <v>69.605129834143966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409.09917140627022</v>
      </c>
      <c r="I75" s="52">
        <f ca="1">H75/$H$77</f>
        <v>0.50942561575847267</v>
      </c>
      <c r="L75" t="s">
        <v>50</v>
      </c>
      <c r="N75" s="40">
        <f ca="1">SUMPRODUCT($G$64:$T$64,$G$67:$T$67)</f>
        <v>409.09917140627022</v>
      </c>
      <c r="O75" s="52">
        <f ca="1">N75/$N$77</f>
        <v>0.4139991799995098</v>
      </c>
    </row>
    <row r="76" spans="4:20">
      <c r="F76" t="s">
        <v>51</v>
      </c>
      <c r="H76" s="310">
        <f ca="1">T69*S67</f>
        <v>393.96050747770471</v>
      </c>
      <c r="I76" s="52">
        <f ca="1">H76/$H$77</f>
        <v>0.49057438424152738</v>
      </c>
      <c r="L76" t="s">
        <v>51</v>
      </c>
      <c r="N76" s="40">
        <f ca="1">T70*R67</f>
        <v>579.0650356019529</v>
      </c>
      <c r="O76" s="52">
        <f ca="1">N76/$N$77</f>
        <v>0.58600082000049025</v>
      </c>
    </row>
    <row r="77" spans="4:20">
      <c r="F77" s="24" t="s">
        <v>52</v>
      </c>
      <c r="G77" s="55"/>
      <c r="H77" s="311">
        <f ca="1">SUM(H75:H76)</f>
        <v>803.05967888397493</v>
      </c>
      <c r="I77" s="57">
        <f ca="1">SUM(I75:I76)</f>
        <v>1</v>
      </c>
      <c r="L77" s="24" t="s">
        <v>52</v>
      </c>
      <c r="M77" s="55"/>
      <c r="N77" s="48">
        <f ca="1">SUM(N75:N76)</f>
        <v>988.16420700822312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718.44286534438993</v>
      </c>
      <c r="I79" s="57"/>
      <c r="L79" s="24" t="s">
        <v>68</v>
      </c>
      <c r="M79" s="55"/>
      <c r="N79" s="48">
        <f ca="1">N77+N78</f>
        <v>903.54739346863812</v>
      </c>
      <c r="O79" s="57"/>
    </row>
    <row r="80" spans="4:20">
      <c r="F80" s="56" t="s">
        <v>64</v>
      </c>
      <c r="G80" s="56"/>
      <c r="H80" s="62">
        <f ca="1">H79/Assumptions!$D$17*100</f>
        <v>361.02656549969345</v>
      </c>
      <c r="I80" s="83"/>
      <c r="L80" s="56" t="s">
        <v>64</v>
      </c>
      <c r="M80" s="56"/>
      <c r="N80" s="82">
        <f ca="1">N79/Assumptions!$D$17*100</f>
        <v>454.04391631589851</v>
      </c>
      <c r="O80" s="83"/>
    </row>
    <row r="81" spans="4:20">
      <c r="F81" s="84" t="s">
        <v>28</v>
      </c>
      <c r="G81" s="41"/>
      <c r="H81" s="312">
        <f ca="1">H80/Assumptions!$D$16-1</f>
        <v>1.1880397909072329</v>
      </c>
      <c r="I81" s="86"/>
      <c r="L81" s="84" t="s">
        <v>28</v>
      </c>
      <c r="M81" s="41"/>
      <c r="N81" s="85">
        <f ca="1">N80/Assumptions!$D$16-1</f>
        <v>1.7517813110054457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4">
        <v>5.0000000000000001E-3</v>
      </c>
      <c r="G87" s="26" t="s">
        <v>54</v>
      </c>
      <c r="I87" s="336">
        <v>2.5000000000000001E-3</v>
      </c>
      <c r="L87" s="26" t="s">
        <v>55</v>
      </c>
      <c r="M87" s="337">
        <v>8.5</v>
      </c>
      <c r="N87" s="26" t="s">
        <v>56</v>
      </c>
      <c r="P87" s="337">
        <v>0.5</v>
      </c>
    </row>
    <row r="88" spans="4:20">
      <c r="E88" s="26" t="s">
        <v>35</v>
      </c>
      <c r="F88" s="335">
        <v>8.5000000000000006E-2</v>
      </c>
      <c r="G88" s="26" t="s">
        <v>57</v>
      </c>
      <c r="I88" s="336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803.05967888397493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988.16420700822312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888.00433692519709</v>
      </c>
      <c r="G95" s="256">
        <v>905.0078459298328</v>
      </c>
      <c r="H95" s="257">
        <v>923.22589129194262</v>
      </c>
      <c r="I95" s="256">
        <v>942.79342149568993</v>
      </c>
      <c r="J95" s="258">
        <v>963.86614633049498</v>
      </c>
      <c r="L95" s="27">
        <f>L96-$I$88</f>
        <v>7.4999999999999997E-2</v>
      </c>
      <c r="M95" s="281">
        <f t="dataTable" ref="M95:Q99" dt2D="1" dtr="1" r1="F10" r2="F11" ca="1"/>
        <v>984.64782441108082</v>
      </c>
      <c r="N95" s="282">
        <v>1021.6706777556863</v>
      </c>
      <c r="O95" s="282">
        <v>1058.6935311002917</v>
      </c>
      <c r="P95" s="282">
        <v>1095.7163844448969</v>
      </c>
      <c r="Q95" s="283">
        <v>1132.7392377895023</v>
      </c>
    </row>
    <row r="96" spans="4:20" ht="12.75" customHeight="1">
      <c r="E96" s="27">
        <f>E97-$I$88</f>
        <v>0.08</v>
      </c>
      <c r="F96" s="259">
        <v>829.55517627946267</v>
      </c>
      <c r="G96" s="260">
        <v>843.85756294673388</v>
      </c>
      <c r="H96" s="257">
        <v>859.11344205848991</v>
      </c>
      <c r="I96" s="260">
        <v>875.42145076416</v>
      </c>
      <c r="J96" s="261">
        <v>892.89431723452094</v>
      </c>
      <c r="L96" s="27">
        <f>L97-$I$88</f>
        <v>0.08</v>
      </c>
      <c r="M96" s="284">
        <v>951.65113228422604</v>
      </c>
      <c r="N96" s="285">
        <v>987.15962729475393</v>
      </c>
      <c r="O96" s="286">
        <v>1022.6681223052818</v>
      </c>
      <c r="P96" s="285">
        <v>1058.1766173158098</v>
      </c>
      <c r="Q96" s="287">
        <v>1093.6851123263377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778.04082312668436</v>
      </c>
      <c r="G97" s="257">
        <v>790.17117743324945</v>
      </c>
      <c r="H97" s="260">
        <v>803.05967888397493</v>
      </c>
      <c r="I97" s="257">
        <v>816.77969655732784</v>
      </c>
      <c r="J97" s="261">
        <v>831.41438207557098</v>
      </c>
      <c r="L97" s="150">
        <f>$M$88</f>
        <v>8.5000000000000006E-2</v>
      </c>
      <c r="M97" s="284">
        <v>920.03890870211103</v>
      </c>
      <c r="N97" s="286">
        <v>954.10155785516702</v>
      </c>
      <c r="O97" s="285">
        <v>988.16420700822312</v>
      </c>
      <c r="P97" s="286">
        <v>1022.2268561612791</v>
      </c>
      <c r="Q97" s="287">
        <v>1056.2895053143352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732.30330432666415</v>
      </c>
      <c r="G98" s="260">
        <v>742.66724599661916</v>
      </c>
      <c r="H98" s="257">
        <v>753.64083129421897</v>
      </c>
      <c r="I98" s="260">
        <v>765.27948236743055</v>
      </c>
      <c r="J98" s="261">
        <v>777.64554913271809</v>
      </c>
      <c r="L98" s="127">
        <f>L97+$I$88</f>
        <v>9.0000000000000011E-2</v>
      </c>
      <c r="M98" s="284">
        <v>889.74501010600557</v>
      </c>
      <c r="N98" s="285">
        <v>922.42693168080154</v>
      </c>
      <c r="O98" s="286">
        <v>955.1088532555973</v>
      </c>
      <c r="P98" s="285">
        <v>987.79077483039327</v>
      </c>
      <c r="Q98" s="287">
        <v>1020.4726964051893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691.42853088726361</v>
      </c>
      <c r="G99" s="263">
        <v>700.34148341428727</v>
      </c>
      <c r="H99" s="263">
        <v>709.74959997059022</v>
      </c>
      <c r="I99" s="263">
        <v>719.69532318725317</v>
      </c>
      <c r="J99" s="264">
        <v>730.22608894607288</v>
      </c>
      <c r="L99" s="128">
        <f>L98+$I$88</f>
        <v>9.5000000000000015E-2</v>
      </c>
      <c r="M99" s="288">
        <v>860.70678237887932</v>
      </c>
      <c r="N99" s="289">
        <v>892.06988307192046</v>
      </c>
      <c r="O99" s="289">
        <v>923.43298376496136</v>
      </c>
      <c r="P99" s="289">
        <v>954.79608445800227</v>
      </c>
      <c r="Q99" s="290">
        <v>986.1591851510434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361.02656549969345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454.04391631589851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403.71232330935277</v>
      </c>
      <c r="G104" s="266">
        <f>(G95-SUM(Assumptions!$D$19:$D$22))/Assumptions!$D$17*100</f>
        <v>412.25680019610439</v>
      </c>
      <c r="H104" s="267">
        <f>(H95-SUM(Assumptions!$D$19:$D$22))/Assumptions!$D$17*100</f>
        <v>421.41159686048121</v>
      </c>
      <c r="I104" s="266">
        <f>(I95-SUM(Assumptions!$D$19:$D$22))/Assumptions!$D$17*100</f>
        <v>431.24452661110803</v>
      </c>
      <c r="J104" s="268">
        <f>(J95-SUM(Assumptions!$D$19:$D$22))/Assumptions!$D$17*100</f>
        <v>441.83383557332155</v>
      </c>
      <c r="L104" s="27">
        <f>L105-$I$88</f>
        <v>7.4999999999999997E-2</v>
      </c>
      <c r="M104" s="61">
        <f>(M95-SUM(Assumptions!$D$19:$D$22))/Assumptions!$D$17*100</f>
        <v>452.27688988517383</v>
      </c>
      <c r="N104" s="62">
        <f>(N95-SUM(Assumptions!$D$19:$D$22))/Assumptions!$D$17*100</f>
        <v>470.88133880206095</v>
      </c>
      <c r="O104" s="66">
        <f>(O95-SUM(Assumptions!$D$19:$D$22))/Assumptions!$D$17*100</f>
        <v>489.48578771894813</v>
      </c>
      <c r="P104" s="62">
        <f>(P95-SUM(Assumptions!$D$19:$D$22))/Assumptions!$D$17*100</f>
        <v>508.09023663583514</v>
      </c>
      <c r="Q104" s="63">
        <f>(Q95-SUM(Assumptions!$D$19:$D$22))/Assumptions!$D$17*100</f>
        <v>526.69468555272238</v>
      </c>
    </row>
    <row r="105" spans="4:20">
      <c r="E105" s="27">
        <f>E106-$I$88</f>
        <v>0.08</v>
      </c>
      <c r="F105" s="269">
        <f>(F96-SUM(Assumptions!$D$19:$D$22))/Assumptions!$D$17*100</f>
        <v>374.34088579893353</v>
      </c>
      <c r="G105" s="270">
        <f>(G96-SUM(Assumptions!$D$19:$D$22))/Assumptions!$D$17*100</f>
        <v>381.52801477746175</v>
      </c>
      <c r="H105" s="267">
        <f>(H96-SUM(Assumptions!$D$19:$D$22))/Assumptions!$D$17*100</f>
        <v>389.19428568789192</v>
      </c>
      <c r="I105" s="270">
        <f>(I96-SUM(Assumptions!$D$19:$D$22))/Assumptions!$D$17*100</f>
        <v>397.38926493697238</v>
      </c>
      <c r="J105" s="271">
        <f>(J96-SUM(Assumptions!$D$19:$D$22))/Assumptions!$D$17*100</f>
        <v>406.16959984670149</v>
      </c>
      <c r="L105" s="27">
        <f>L106-$I$88</f>
        <v>0.08</v>
      </c>
      <c r="M105" s="64">
        <f>(M96-SUM(Assumptions!$D$19:$D$22))/Assumptions!$D$17*100</f>
        <v>435.6956375601211</v>
      </c>
      <c r="N105" s="65">
        <f>(N96-SUM(Assumptions!$D$19:$D$22))/Assumptions!$D$17*100</f>
        <v>453.5391023895321</v>
      </c>
      <c r="O105" s="66">
        <f>(O96-SUM(Assumptions!$D$19:$D$22))/Assumptions!$D$17*100</f>
        <v>471.38256721894311</v>
      </c>
      <c r="P105" s="65">
        <f>(P96-SUM(Assumptions!$D$19:$D$22))/Assumptions!$D$17*100</f>
        <v>489.22603204835423</v>
      </c>
      <c r="Q105" s="67">
        <f>(Q96-SUM(Assumptions!$D$19:$D$22))/Assumptions!$D$17*100</f>
        <v>507.06949687776523</v>
      </c>
    </row>
    <row r="106" spans="4:20">
      <c r="E106" s="150">
        <f>$F$88</f>
        <v>8.5000000000000006E-2</v>
      </c>
      <c r="F106" s="269">
        <f>(F97-SUM(Assumptions!$D$19:$D$22))/Assumptions!$D$17*100</f>
        <v>348.45427617442175</v>
      </c>
      <c r="G106" s="267">
        <f>(G97-SUM(Assumptions!$D$19:$D$22))/Assumptions!$D$17*100</f>
        <v>354.54993160485651</v>
      </c>
      <c r="H106" s="270">
        <f>(H97-SUM(Assumptions!$D$19:$D$22))/Assumptions!$D$17*100</f>
        <v>361.02656549969345</v>
      </c>
      <c r="I106" s="267">
        <f>(I97-SUM(Assumptions!$D$19:$D$22))/Assumptions!$D$17*100</f>
        <v>367.92104674258434</v>
      </c>
      <c r="J106" s="271">
        <f>(J97-SUM(Assumptions!$D$19:$D$22))/Assumptions!$D$17*100</f>
        <v>375.27516006833469</v>
      </c>
      <c r="L106" s="150">
        <f>$M$88</f>
        <v>8.5000000000000006E-2</v>
      </c>
      <c r="M106" s="64">
        <f>(M97-SUM(Assumptions!$D$19:$D$22))/Assumptions!$D$17*100</f>
        <v>419.81009807162116</v>
      </c>
      <c r="N106" s="66">
        <f>(N97-SUM(Assumptions!$D$19:$D$22))/Assumptions!$D$17*100</f>
        <v>436.92700719375983</v>
      </c>
      <c r="O106" s="65">
        <f>(O97-SUM(Assumptions!$D$19:$D$22))/Assumptions!$D$17*100</f>
        <v>454.04391631589851</v>
      </c>
      <c r="P106" s="66">
        <f>(P97-SUM(Assumptions!$D$19:$D$22))/Assumptions!$D$17*100</f>
        <v>471.16082543803725</v>
      </c>
      <c r="Q106" s="67">
        <f>(Q97-SUM(Assumptions!$D$19:$D$22))/Assumptions!$D$17*100</f>
        <v>488.27773456017599</v>
      </c>
    </row>
    <row r="107" spans="4:20">
      <c r="E107" s="127">
        <f>E106+$I$88</f>
        <v>9.0000000000000011E-2</v>
      </c>
      <c r="F107" s="269">
        <f>(F98-SUM(Assumptions!$D$19:$D$22))/Assumptions!$D$17*100</f>
        <v>325.47059838546693</v>
      </c>
      <c r="G107" s="270">
        <f>(G98-SUM(Assumptions!$D$19:$D$22))/Assumptions!$D$17*100</f>
        <v>330.67860927489153</v>
      </c>
      <c r="H107" s="267">
        <f>(H98-SUM(Assumptions!$D$19:$D$22))/Assumptions!$D$17*100</f>
        <v>336.19297374604724</v>
      </c>
      <c r="I107" s="270">
        <f>(I98-SUM(Assumptions!$D$19:$D$22))/Assumptions!$D$17*100</f>
        <v>342.04154212454551</v>
      </c>
      <c r="J107" s="271">
        <f>(J98-SUM(Assumptions!$D$19:$D$22))/Assumptions!$D$17*100</f>
        <v>348.25564602670005</v>
      </c>
      <c r="L107" s="127">
        <f>L106+$I$88</f>
        <v>9.0000000000000011E-2</v>
      </c>
      <c r="M107" s="64">
        <f>(M98-SUM(Assumptions!$D$19:$D$22))/Assumptions!$D$17*100</f>
        <v>404.58703345046257</v>
      </c>
      <c r="N107" s="65">
        <f>(N98-SUM(Assumptions!$D$19:$D$22))/Assumptions!$D$17*100</f>
        <v>421.01010961870185</v>
      </c>
      <c r="O107" s="66">
        <f>(O98-SUM(Assumptions!$D$19:$D$22))/Assumptions!$D$17*100</f>
        <v>437.43318578694084</v>
      </c>
      <c r="P107" s="65">
        <f>(P98-SUM(Assumptions!$D$19:$D$22))/Assumptions!$D$17*100</f>
        <v>453.85626195518006</v>
      </c>
      <c r="Q107" s="67">
        <f>(Q98-SUM(Assumptions!$D$19:$D$22))/Assumptions!$D$17*100</f>
        <v>470.27933812341922</v>
      </c>
    </row>
    <row r="108" spans="4:20">
      <c r="E108" s="128">
        <f>E107+$I$88</f>
        <v>9.5000000000000015E-2</v>
      </c>
      <c r="F108" s="272">
        <f>(F99-SUM(Assumptions!$D$19:$D$22))/Assumptions!$D$17*100</f>
        <v>304.93051122998924</v>
      </c>
      <c r="G108" s="273">
        <f>(G99-SUM(Assumptions!$D$19:$D$22))/Assumptions!$D$17*100</f>
        <v>309.40938184658404</v>
      </c>
      <c r="H108" s="273">
        <f>(H99-SUM(Assumptions!$D$19:$D$22))/Assumptions!$D$17*100</f>
        <v>314.13707860854532</v>
      </c>
      <c r="I108" s="273">
        <f>(I99-SUM(Assumptions!$D$19:$D$22))/Assumptions!$D$17*100</f>
        <v>319.13492947119005</v>
      </c>
      <c r="J108" s="274">
        <f>(J99-SUM(Assumptions!$D$19:$D$22))/Assumptions!$D$17*100</f>
        <v>324.42677156104918</v>
      </c>
      <c r="L108" s="128">
        <f>L107+$I$88</f>
        <v>9.5000000000000015E-2</v>
      </c>
      <c r="M108" s="68">
        <f>(M99-SUM(Assumptions!$D$19:$D$22))/Assumptions!$D$17*100</f>
        <v>389.99495921572577</v>
      </c>
      <c r="N108" s="69">
        <f>(N99-SUM(Assumptions!$D$19:$D$22))/Assumptions!$D$17*100</f>
        <v>405.75531132278161</v>
      </c>
      <c r="O108" s="69">
        <f>(O99-SUM(Assumptions!$D$19:$D$22))/Assumptions!$D$17*100</f>
        <v>421.51566342983733</v>
      </c>
      <c r="P108" s="69">
        <f>(P99-SUM(Assumptions!$D$19:$D$22))/Assumptions!$D$17*100</f>
        <v>437.27601553689306</v>
      </c>
      <c r="Q108" s="70">
        <f>(Q99-SUM(Assumptions!$D$19:$D$22))/Assumptions!$D$17*100</f>
        <v>453.03636764394895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</v>
      </c>
      <c r="O112" s="115">
        <f t="shared" ca="1" si="30"/>
        <v>133.24653965896451</v>
      </c>
      <c r="P112" s="115">
        <f t="shared" ca="1" si="30"/>
        <v>135.7772118993968</v>
      </c>
      <c r="Q112" s="115">
        <f t="shared" ca="1" si="30"/>
        <v>138.08240265835974</v>
      </c>
      <c r="R112" s="115">
        <f t="shared" ca="1" si="30"/>
        <v>140.14855300013991</v>
      </c>
      <c r="S112" s="115">
        <f t="shared" ca="1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8.8690056393647521E-2</v>
      </c>
      <c r="O113" s="117">
        <f t="shared" ca="1" si="31"/>
        <v>8.8952045114917958E-2</v>
      </c>
      <c r="P113" s="117">
        <f t="shared" ca="1" si="31"/>
        <v>8.9214033836188422E-2</v>
      </c>
      <c r="Q113" s="117">
        <f t="shared" ca="1" si="31"/>
        <v>8.9476022557458929E-2</v>
      </c>
      <c r="R113" s="117">
        <f t="shared" ca="1" si="31"/>
        <v>8.9738011278729449E-2</v>
      </c>
      <c r="S113" s="117">
        <f t="shared" ref="S113" ca="1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47.195257615808735</v>
      </c>
      <c r="L114" s="116">
        <f t="shared" si="33"/>
        <v>51.829543587564167</v>
      </c>
      <c r="M114" s="116">
        <f t="shared" si="33"/>
        <v>54.799912142159194</v>
      </c>
      <c r="N114" s="116">
        <f t="shared" ca="1" si="33"/>
        <v>53.583260118465944</v>
      </c>
      <c r="O114" s="116">
        <f t="shared" ca="1" si="33"/>
        <v>52.366608094772729</v>
      </c>
      <c r="P114" s="116">
        <f t="shared" ca="1" si="33"/>
        <v>51.149956071079529</v>
      </c>
      <c r="Q114" s="116">
        <f t="shared" ca="1" si="33"/>
        <v>49.933304047386343</v>
      </c>
      <c r="R114" s="116">
        <f t="shared" ca="1" si="33"/>
        <v>48.716652023693172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>-F114/F48</f>
        <v>0</v>
      </c>
      <c r="G115" s="117">
        <f t="shared" ref="G115:S115" si="34">-G114/G48</f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0.94390515231617467</v>
      </c>
      <c r="L115" s="117">
        <f t="shared" si="34"/>
        <v>1.0365908717512833</v>
      </c>
      <c r="M115" s="117">
        <f t="shared" si="34"/>
        <v>1.0959982428431838</v>
      </c>
      <c r="N115" s="117">
        <f t="shared" ca="1" si="34"/>
        <v>1.0716652023693189</v>
      </c>
      <c r="O115" s="117">
        <f t="shared" ca="1" si="34"/>
        <v>1.0473321618954545</v>
      </c>
      <c r="P115" s="117">
        <f t="shared" ca="1" si="34"/>
        <v>1.0229991214215906</v>
      </c>
      <c r="Q115" s="117">
        <f t="shared" ca="1" si="34"/>
        <v>0.99866608094772691</v>
      </c>
      <c r="R115" s="117">
        <f t="shared" ca="1" si="34"/>
        <v>0.97433304047386349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76.921741087792952</v>
      </c>
      <c r="O116" s="115">
        <f t="shared" ca="1" si="35"/>
        <v>80.879931564191779</v>
      </c>
      <c r="P116" s="115">
        <f t="shared" ca="1" si="35"/>
        <v>84.627255828317274</v>
      </c>
      <c r="Q116" s="115">
        <f t="shared" ca="1" si="35"/>
        <v>88.149098610973397</v>
      </c>
      <c r="R116" s="115">
        <f t="shared" ca="1" si="35"/>
        <v>91.431900976446741</v>
      </c>
      <c r="S116" s="115">
        <f t="shared" ca="1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5.2275341878980225E-2</v>
      </c>
      <c r="O117" s="117">
        <f t="shared" ca="1" si="36"/>
        <v>5.399341206010403E-2</v>
      </c>
      <c r="P117" s="117">
        <f t="shared" ca="1" si="36"/>
        <v>5.5605346135147823E-2</v>
      </c>
      <c r="Q117" s="117">
        <f t="shared" ca="1" si="36"/>
        <v>5.71197385321396E-2</v>
      </c>
      <c r="R117" s="117">
        <f t="shared" ca="1" si="36"/>
        <v>5.8544428646736438E-2</v>
      </c>
      <c r="S117" s="117">
        <f t="shared" ref="S117" ca="1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11.023418909958341</v>
      </c>
      <c r="J118" s="116">
        <f t="shared" si="38"/>
        <v>8.8689019660788908</v>
      </c>
      <c r="K118" s="116">
        <f t="shared" si="38"/>
        <v>10.982251365635149</v>
      </c>
      <c r="L118" s="116">
        <f t="shared" si="38"/>
        <v>12.336117563378528</v>
      </c>
      <c r="M118" s="116">
        <f t="shared" si="38"/>
        <v>12.370596926169977</v>
      </c>
      <c r="N118" s="116">
        <f t="shared" ca="1" si="38"/>
        <v>13.076695984924802</v>
      </c>
      <c r="O118" s="116">
        <f t="shared" ca="1" si="38"/>
        <v>13.749588365912603</v>
      </c>
      <c r="P118" s="116">
        <f t="shared" ca="1" si="38"/>
        <v>14.386633490813937</v>
      </c>
      <c r="Q118" s="116">
        <f t="shared" ca="1" si="38"/>
        <v>14.985346763865479</v>
      </c>
      <c r="R118" s="116">
        <f t="shared" ca="1" si="38"/>
        <v>15.543423165995947</v>
      </c>
      <c r="S118" s="116">
        <f t="shared" ca="1" si="38"/>
        <v>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63.845045102868148</v>
      </c>
      <c r="O120" s="116">
        <f t="shared" ca="1" si="40"/>
        <v>67.130343198279178</v>
      </c>
      <c r="P120" s="116">
        <f t="shared" ca="1" si="40"/>
        <v>70.240622337503339</v>
      </c>
      <c r="Q120" s="116">
        <f t="shared" ca="1" si="40"/>
        <v>73.163751847107918</v>
      </c>
      <c r="R120" s="116">
        <f t="shared" ca="1" si="40"/>
        <v>75.888477810450794</v>
      </c>
      <c r="S120" s="116">
        <f t="shared" ca="1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47.195257615808735</v>
      </c>
      <c r="L121" s="116">
        <f t="shared" si="41"/>
        <v>51.829543587564167</v>
      </c>
      <c r="M121" s="116">
        <f t="shared" si="41"/>
        <v>54.799912142159194</v>
      </c>
      <c r="N121" s="116">
        <f t="shared" ca="1" si="41"/>
        <v>53.583260118465944</v>
      </c>
      <c r="O121" s="116">
        <f t="shared" ca="1" si="41"/>
        <v>52.366608094772729</v>
      </c>
      <c r="P121" s="116">
        <f t="shared" ca="1" si="41"/>
        <v>51.149956071079529</v>
      </c>
      <c r="Q121" s="116">
        <f t="shared" ca="1" si="41"/>
        <v>49.933304047386343</v>
      </c>
      <c r="R121" s="116">
        <f t="shared" ca="1" si="41"/>
        <v>48.716652023693172</v>
      </c>
      <c r="S121" s="116">
        <f t="shared" si="41"/>
        <v>47.5</v>
      </c>
      <c r="T121" s="116"/>
    </row>
    <row r="122" spans="4:20">
      <c r="D122" s="106" t="s">
        <v>132</v>
      </c>
      <c r="E122" s="95"/>
      <c r="F122" s="116">
        <f>F48</f>
        <v>-36.1</v>
      </c>
      <c r="G122" s="116">
        <f t="shared" ref="G122:S122" si="42">G48</f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6</v>
      </c>
      <c r="J123" s="115">
        <f t="shared" si="43"/>
        <v>16.111954440903407</v>
      </c>
      <c r="K123" s="115">
        <f t="shared" si="43"/>
        <v>15.168892666804709</v>
      </c>
      <c r="L123" s="115">
        <f t="shared" si="43"/>
        <v>11.110216900668604</v>
      </c>
      <c r="M123" s="115">
        <f t="shared" si="43"/>
        <v>3.9548595532390358</v>
      </c>
      <c r="N123" s="115">
        <f t="shared" si="43"/>
        <v>0</v>
      </c>
      <c r="O123" s="115">
        <f t="shared" ca="1" si="43"/>
        <v>0</v>
      </c>
      <c r="P123" s="115">
        <f t="shared" ca="1" si="43"/>
        <v>0</v>
      </c>
      <c r="Q123" s="115">
        <f t="shared" ca="1" si="43"/>
        <v>0</v>
      </c>
      <c r="R123" s="115">
        <f t="shared" ca="1" si="43"/>
        <v>0</v>
      </c>
      <c r="S123" s="115">
        <f t="shared" ca="1" si="43"/>
        <v>0</v>
      </c>
      <c r="T123" s="115"/>
    </row>
    <row r="124" spans="4:20">
      <c r="D124" s="106" t="s">
        <v>133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25.138454026318882</v>
      </c>
      <c r="M124" s="116">
        <f t="shared" si="44"/>
        <v>-4.8650405710493061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134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53.123790752980312</v>
      </c>
      <c r="J127" s="124">
        <f>SUM(J120:J125)</f>
        <v>30.863888898608689</v>
      </c>
      <c r="K127" s="124">
        <f t="shared" si="46"/>
        <v>54.230659495382142</v>
      </c>
      <c r="L127" s="124">
        <f t="shared" si="46"/>
        <v>93.307494382811512</v>
      </c>
      <c r="M127" s="124">
        <f t="shared" si="46"/>
        <v>59.287351410943515</v>
      </c>
      <c r="N127" s="124">
        <f t="shared" ca="1" si="46"/>
        <v>62.428305221334085</v>
      </c>
      <c r="O127" s="124">
        <f t="shared" ca="1" si="46"/>
        <v>64.496951293051907</v>
      </c>
      <c r="P127" s="124">
        <f t="shared" ca="1" si="46"/>
        <v>66.390578408582869</v>
      </c>
      <c r="Q127" s="124">
        <f t="shared" ca="1" si="46"/>
        <v>68.097055894494261</v>
      </c>
      <c r="R127" s="124">
        <f t="shared" ca="1" si="46"/>
        <v>69.605129834143966</v>
      </c>
      <c r="S127" s="124">
        <f t="shared" ca="1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32" zoomScaleNormal="100" workbookViewId="0">
      <selection activeCell="L3" sqref="L3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</v>
      </c>
      <c r="O11" s="213">
        <f ca="1">'DCF input'!O27</f>
        <v>133.24653965896451</v>
      </c>
      <c r="P11" s="213">
        <f ca="1">'DCF input'!P27</f>
        <v>135.7772118993968</v>
      </c>
      <c r="Q11" s="213">
        <f ca="1">'DCF input'!Q27</f>
        <v>138.08240265835974</v>
      </c>
      <c r="R11" s="213">
        <f ca="1">'DCF input'!R27</f>
        <v>140.14855300013991</v>
      </c>
      <c r="S11" s="213">
        <f ca="1"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8.8690056393647521E-2</v>
      </c>
      <c r="O12" s="215">
        <f t="shared" ca="1" si="11"/>
        <v>8.8952045114917958E-2</v>
      </c>
      <c r="P12" s="215">
        <f t="shared" ca="1" si="11"/>
        <v>8.9214033836188422E-2</v>
      </c>
      <c r="Q12" s="215">
        <f t="shared" ca="1" si="11"/>
        <v>8.9476022557458929E-2</v>
      </c>
      <c r="R12" s="215">
        <f t="shared" ca="1" si="11"/>
        <v>8.9738011278729449E-2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2.3021987279942646E-2</v>
      </c>
      <c r="O13" s="215">
        <f t="shared" ca="1" si="12"/>
        <v>2.1007152426079756E-2</v>
      </c>
      <c r="P13" s="215">
        <f t="shared" ca="1" si="12"/>
        <v>1.8992404957827613E-2</v>
      </c>
      <c r="Q13" s="215">
        <f t="shared" ca="1" si="12"/>
        <v>1.6977744105328707E-2</v>
      </c>
      <c r="R13" s="215">
        <f t="shared" ca="1" si="12"/>
        <v>1.4963169107740537E-2</v>
      </c>
      <c r="S13" s="215">
        <f t="shared" ca="1" si="12"/>
        <v>1.2948679213108383E-2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-53.583260118465944</v>
      </c>
      <c r="O14" s="217">
        <f ca="1">'DCF input'!O31</f>
        <v>-52.366608094772729</v>
      </c>
      <c r="P14" s="217">
        <f ca="1">'DCF input'!P31</f>
        <v>-51.149956071079529</v>
      </c>
      <c r="Q14" s="217">
        <f ca="1">'DCF input'!Q31</f>
        <v>-49.933304047386343</v>
      </c>
      <c r="R14" s="217">
        <f ca="1">'DCF input'!R31</f>
        <v>-48.716652023693172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3.6414714514667296E-2</v>
      </c>
      <c r="O15" s="215">
        <f t="shared" ca="1" si="13"/>
        <v>3.4958633054813934E-2</v>
      </c>
      <c r="P15" s="215">
        <f t="shared" ca="1" si="13"/>
        <v>3.3608687701040599E-2</v>
      </c>
      <c r="Q15" s="215">
        <f t="shared" ca="1" si="13"/>
        <v>3.2356284025319322E-2</v>
      </c>
      <c r="R15" s="215">
        <f t="shared" ca="1" si="13"/>
        <v>3.1193582631993004E-2</v>
      </c>
      <c r="S15" s="215">
        <f t="shared" ca="1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ca="1" si="14"/>
        <v>1.0716652023693189</v>
      </c>
      <c r="O16" s="215">
        <f t="shared" ca="1" si="14"/>
        <v>1.0473321618954545</v>
      </c>
      <c r="P16" s="215">
        <f t="shared" ca="1" si="14"/>
        <v>1.0229991214215906</v>
      </c>
      <c r="Q16" s="215">
        <f t="shared" ca="1" si="14"/>
        <v>0.99866608094772691</v>
      </c>
      <c r="R16" s="215">
        <f t="shared" ca="1" si="14"/>
        <v>0.97433304047386349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80.879931564191779</v>
      </c>
      <c r="P17" s="217">
        <f t="shared" ca="1" si="15"/>
        <v>84.627255828317274</v>
      </c>
      <c r="Q17" s="217">
        <f t="shared" ca="1" si="15"/>
        <v>88.149098610973397</v>
      </c>
      <c r="R17" s="217">
        <f t="shared" ca="1" si="15"/>
        <v>91.431900976446741</v>
      </c>
      <c r="S17" s="217">
        <f t="shared" ca="1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5.399341206010403E-2</v>
      </c>
      <c r="P18" s="215">
        <f t="shared" ca="1" si="16"/>
        <v>5.5605346135147823E-2</v>
      </c>
      <c r="Q18" s="215">
        <f t="shared" ca="1" si="16"/>
        <v>5.71197385321396E-2</v>
      </c>
      <c r="R18" s="215">
        <f t="shared" ca="1" si="16"/>
        <v>5.8544428646736438E-2</v>
      </c>
      <c r="S18" s="215">
        <f t="shared" ca="1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-13.749588365912603</v>
      </c>
      <c r="P19" s="217">
        <f t="shared" ca="1" si="17"/>
        <v>-14.386633490813937</v>
      </c>
      <c r="Q19" s="217">
        <f t="shared" ca="1" si="17"/>
        <v>-14.985346763865479</v>
      </c>
      <c r="R19" s="217">
        <f t="shared" ca="1" si="17"/>
        <v>-15.543423165995947</v>
      </c>
      <c r="S19" s="217">
        <f t="shared" ca="1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ca="1" si="22"/>
        <v>62.428305221334085</v>
      </c>
      <c r="O28" s="213">
        <f t="shared" ca="1" si="22"/>
        <v>64.496951293051907</v>
      </c>
      <c r="P28" s="213">
        <f t="shared" ca="1" si="22"/>
        <v>66.390578408582869</v>
      </c>
      <c r="Q28" s="213">
        <f t="shared" ca="1" si="22"/>
        <v>68.097055894494261</v>
      </c>
      <c r="R28" s="213">
        <f t="shared" ca="1" si="22"/>
        <v>69.605129834143966</v>
      </c>
      <c r="S28" s="213">
        <f t="shared" ca="1" si="22"/>
        <v>70.904532073749621</v>
      </c>
      <c r="T28" s="213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ca="1" si="25"/>
        <v>41.51765867110182</v>
      </c>
      <c r="O31" s="222">
        <f t="shared" ca="1" si="25"/>
        <v>39.533089652996644</v>
      </c>
      <c r="P31" s="222">
        <f t="shared" ca="1" si="25"/>
        <v>37.505787186052039</v>
      </c>
      <c r="Q31" s="222">
        <f t="shared" ca="1" si="25"/>
        <v>35.456056483727004</v>
      </c>
      <c r="R31" s="222">
        <f t="shared" ca="1" si="25"/>
        <v>33.402087105069612</v>
      </c>
      <c r="S31" s="222">
        <f t="shared" ca="1" si="25"/>
        <v>31.360040396235206</v>
      </c>
      <c r="T31" s="222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6" t="str">
        <f>"Value Based on "&amp;TEXT(K40,"#0.0%")&amp;" WACC &amp; "&amp;TEXT(N37,"#0.0%")&amp;" TGR"</f>
        <v>Value Based on 8.5% WACC &amp; 0.5% TGR</v>
      </c>
      <c r="D35" s="356"/>
      <c r="E35" s="356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7"/>
      <c r="D36" s="357"/>
      <c r="E36" s="357"/>
      <c r="F36" s="291" t="s">
        <v>143</v>
      </c>
      <c r="G36" s="171" t="s">
        <v>93</v>
      </c>
      <c r="H36" s="159"/>
      <c r="I36" s="38"/>
      <c r="J36" s="167"/>
      <c r="K36" s="182"/>
      <c r="L36" s="360" t="s">
        <v>94</v>
      </c>
      <c r="M36" s="360"/>
      <c r="N36" s="360"/>
      <c r="O36" s="360"/>
      <c r="P36" s="360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409.1186416188313</v>
      </c>
      <c r="G37" s="224">
        <f ca="1">F37/F$39</f>
        <v>0.50943750946477662</v>
      </c>
      <c r="H37" s="159"/>
      <c r="I37" s="38"/>
      <c r="J37" s="358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393.96050747770471</v>
      </c>
      <c r="G38" s="224">
        <f ca="1">F38/F$39</f>
        <v>0.49056249053522344</v>
      </c>
      <c r="H38" s="159"/>
      <c r="I38" s="38"/>
      <c r="J38" s="358"/>
      <c r="K38" s="236">
        <f>'DCF input'!E95</f>
        <v>7.4999999999999997E-2</v>
      </c>
      <c r="L38" s="237" t="str">
        <f>CONCATENATE(ROUND('DCF input'!F95,)," / ",ROUND('DCF input'!F104,0),"c")</f>
        <v>888 / 404c</v>
      </c>
      <c r="M38" s="238" t="str">
        <f>CONCATENATE(ROUND('DCF input'!G95,)," / ",ROUND('DCF input'!G104,0),"c")</f>
        <v>905 / 412c</v>
      </c>
      <c r="N38" s="238" t="str">
        <f>CONCATENATE(ROUND('DCF input'!H95,)," / ",ROUND('DCF input'!H104,0),"c")</f>
        <v>923 / 421c</v>
      </c>
      <c r="O38" s="238" t="str">
        <f>CONCATENATE(ROUND('DCF input'!I95,)," / ",ROUND('DCF input'!I104,0),"c")</f>
        <v>943 / 431c</v>
      </c>
      <c r="P38" s="238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803.07914909653596</v>
      </c>
      <c r="G39" s="226">
        <f ca="1">F39/F$39</f>
        <v>1</v>
      </c>
      <c r="H39" s="159"/>
      <c r="I39" s="38"/>
      <c r="J39" s="358"/>
      <c r="K39" s="236">
        <f>'DCF input'!E96</f>
        <v>0.08</v>
      </c>
      <c r="L39" s="238" t="str">
        <f>CONCATENATE(ROUND('DCF input'!F96,)," / ",ROUND('DCF input'!F105,0),"c")</f>
        <v>830 / 374c</v>
      </c>
      <c r="M39" s="239" t="str">
        <f>CONCATENATE(ROUND('DCF input'!G96,)," / ",ROUND('DCF input'!G105,0),"c")</f>
        <v>844 / 382c</v>
      </c>
      <c r="N39" s="239" t="str">
        <f>CONCATENATE(ROUND('DCF input'!H96,)," / ",ROUND('DCF input'!H105,0),"c")</f>
        <v>859 / 389c</v>
      </c>
      <c r="O39" s="239" t="str">
        <f>CONCATENATE(ROUND('DCF input'!I96,)," / ",ROUND('DCF input'!I105,0),"c")</f>
        <v>875 / 397c</v>
      </c>
      <c r="P39" s="238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58"/>
      <c r="K40" s="236">
        <f>'DCF input'!E97</f>
        <v>8.5000000000000006E-2</v>
      </c>
      <c r="L40" s="238" t="str">
        <f>CONCATENATE(ROUND('DCF input'!F97,)," / ",ROUND('DCF input'!F106,0),"c")</f>
        <v>778 / 348c</v>
      </c>
      <c r="M40" s="239" t="str">
        <f>CONCATENATE(ROUND('DCF input'!G97,)," / ",ROUND('DCF input'!G106,0),"c")</f>
        <v>790 / 355c</v>
      </c>
      <c r="N40" s="240" t="str">
        <f>CONCATENATE(ROUND('DCF input'!H97,)," / ",ROUND('DCF input'!H106,0),"c")</f>
        <v>803 / 361c</v>
      </c>
      <c r="O40" s="239" t="str">
        <f>CONCATENATE(ROUND('DCF input'!I97,)," / ",ROUND('DCF input'!I106,0),"c")</f>
        <v>817 / 368c</v>
      </c>
      <c r="P40" s="238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718.46233555695096</v>
      </c>
      <c r="G41" s="226"/>
      <c r="H41" s="159"/>
      <c r="I41" s="38"/>
      <c r="J41" s="358"/>
      <c r="K41" s="236">
        <f>'DCF input'!E98</f>
        <v>9.0000000000000011E-2</v>
      </c>
      <c r="L41" s="238" t="str">
        <f>CONCATENATE(ROUND('DCF input'!F98,)," / ",ROUND('DCF input'!F107,0),"c")</f>
        <v>732 / 325c</v>
      </c>
      <c r="M41" s="239" t="str">
        <f>CONCATENATE(ROUND('DCF input'!G98,)," / ",ROUND('DCF input'!G107,0),"c")</f>
        <v>743 / 331c</v>
      </c>
      <c r="N41" s="239" t="str">
        <f>CONCATENATE(ROUND('DCF input'!H98,)," / ",ROUND('DCF input'!H107,0),"c")</f>
        <v>754 / 336c</v>
      </c>
      <c r="O41" s="239" t="str">
        <f>CONCATENATE(ROUND('DCF input'!I98,)," / ",ROUND('DCF input'!I107,0),"c")</f>
        <v>765 / 342c</v>
      </c>
      <c r="P41" s="238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150</v>
      </c>
      <c r="D42" s="185"/>
      <c r="E42" s="185"/>
      <c r="F42" s="227">
        <f ca="1">+F41/Assumptions!D17*100</f>
        <v>361.03634952610599</v>
      </c>
      <c r="G42" s="229"/>
      <c r="H42" s="159"/>
      <c r="I42" s="38"/>
      <c r="J42" s="359"/>
      <c r="K42" s="241">
        <f>'DCF input'!E99</f>
        <v>9.5000000000000015E-2</v>
      </c>
      <c r="L42" s="242" t="str">
        <f>CONCATENATE(ROUND('DCF input'!F99,)," / ",ROUND('DCF input'!F108,0),"c")</f>
        <v>691 / 305c</v>
      </c>
      <c r="M42" s="242" t="str">
        <f>CONCATENATE(ROUND('DCF input'!G99,)," / ",ROUND('DCF input'!G108,0),"c")</f>
        <v>700 / 309c</v>
      </c>
      <c r="N42" s="242" t="str">
        <f>CONCATENATE(ROUND('DCF input'!H99,)," / ",ROUND('DCF input'!H108,0),"c")</f>
        <v>710 / 314c</v>
      </c>
      <c r="O42" s="242" t="str">
        <f>CONCATENATE(ROUND('DCF input'!I99,)," / ",ROUND('DCF input'!I108,0),"c")</f>
        <v>720 / 319c</v>
      </c>
      <c r="P42" s="242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1.1880990880370059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rohitdhole1201@gmail.com</cp:lastModifiedBy>
  <cp:lastPrinted>2019-02-04T16:32:05Z</cp:lastPrinted>
  <dcterms:created xsi:type="dcterms:W3CDTF">2010-12-03T17:25:22Z</dcterms:created>
  <dcterms:modified xsi:type="dcterms:W3CDTF">2025-06-25T07:51:27Z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