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NTS\2019\Q1\Federal Review\To Web\"/>
    </mc:Choice>
  </mc:AlternateContent>
  <bookViews>
    <workbookView xWindow="-120" yWindow="-120" windowWidth="20730" windowHeight="11760"/>
  </bookViews>
  <sheets>
    <sheet name="2-33" sheetId="1" r:id="rId1"/>
  </sheets>
  <externalReferences>
    <externalReference r:id="rId2"/>
  </externalReferences>
  <definedNames>
    <definedName name="Eno_TM">'[1]1997  Table 1a Modified'!#REF!</definedName>
    <definedName name="Eno_Tons">'[1]1997  Table 1a Modified'!#REF!</definedName>
    <definedName name="HTML_CodePage" hidden="1">1252</definedName>
    <definedName name="HTML_Control" hidden="1">{"'2-32'!$A$1:$K$88"}</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tasks\nts2000\nts2000\HTML\Ch2_web\2-32.htm"</definedName>
    <definedName name="HTML_Title" hidden="1">"Table 2-32"</definedName>
    <definedName name="Sum_T2">'[1]1997  Table 1a Modified'!#REF!</definedName>
    <definedName name="Sum_TTM">'[1]1997  Table 1a Modified'!#REF!</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59" i="1" l="1"/>
  <c r="AC59" i="1"/>
  <c r="AB27" i="1"/>
  <c r="AA27" i="1"/>
  <c r="AD27" i="1"/>
  <c r="AC27" i="1"/>
  <c r="Z27" i="1"/>
  <c r="Y27" i="1"/>
  <c r="AB59" i="1"/>
  <c r="AA59" i="1"/>
  <c r="Z59" i="1"/>
  <c r="Y59" i="1"/>
  <c r="AD58" i="1"/>
  <c r="AC58" i="1"/>
  <c r="AB58" i="1"/>
  <c r="AA58" i="1"/>
  <c r="Z58" i="1"/>
  <c r="Y58" i="1"/>
  <c r="AD57" i="1"/>
  <c r="AC57" i="1"/>
  <c r="AB57" i="1"/>
  <c r="AA57" i="1"/>
  <c r="Z57" i="1"/>
  <c r="Y57" i="1"/>
  <c r="AD56" i="1"/>
  <c r="AC56" i="1"/>
  <c r="AB56" i="1"/>
  <c r="AA56" i="1"/>
  <c r="Z56" i="1"/>
  <c r="Y56" i="1"/>
  <c r="AD55" i="1"/>
  <c r="AC55" i="1"/>
  <c r="AB55" i="1"/>
  <c r="AA55" i="1"/>
  <c r="Z55" i="1"/>
  <c r="Y55" i="1"/>
  <c r="AD54" i="1"/>
  <c r="AC54" i="1"/>
  <c r="AB54" i="1"/>
  <c r="AA54" i="1"/>
  <c r="Z54" i="1"/>
  <c r="Y54" i="1"/>
  <c r="AD53" i="1"/>
  <c r="AC53" i="1"/>
  <c r="AB19" i="1"/>
  <c r="AA19" i="1"/>
  <c r="Z53" i="1"/>
  <c r="Y53" i="1"/>
  <c r="AD19" i="1"/>
  <c r="AC19" i="1"/>
  <c r="Y19" i="1"/>
  <c r="Y52" i="1"/>
  <c r="AD51" i="1"/>
  <c r="AC51" i="1"/>
  <c r="AB51" i="1"/>
  <c r="AA51" i="1"/>
  <c r="Z51" i="1"/>
  <c r="Y51" i="1"/>
  <c r="AD50" i="1"/>
  <c r="AC50" i="1"/>
  <c r="AB50" i="1"/>
  <c r="AA50" i="1"/>
  <c r="Z50" i="1"/>
  <c r="Y50" i="1"/>
  <c r="AD49" i="1"/>
  <c r="AC49" i="1"/>
  <c r="AB49" i="1"/>
  <c r="AA49" i="1"/>
  <c r="Z49" i="1"/>
  <c r="Y49" i="1"/>
  <c r="AD48" i="1"/>
  <c r="AC48" i="1"/>
  <c r="AB48" i="1"/>
  <c r="AA48" i="1"/>
  <c r="Z48" i="1"/>
  <c r="Y48" i="1"/>
  <c r="AD47" i="1"/>
  <c r="AC47" i="1"/>
  <c r="AB47" i="1"/>
  <c r="AA47" i="1"/>
  <c r="Z47" i="1"/>
  <c r="Y47" i="1"/>
  <c r="AD46" i="1"/>
  <c r="AC46" i="1"/>
  <c r="AB46" i="1"/>
  <c r="AA46" i="1"/>
  <c r="Z46" i="1"/>
  <c r="Y46" i="1"/>
  <c r="AD45" i="1"/>
  <c r="AC45" i="1"/>
  <c r="AB11" i="1"/>
  <c r="AA11" i="1"/>
  <c r="Z45" i="1"/>
  <c r="Y45" i="1"/>
  <c r="AD11" i="1"/>
  <c r="AC11" i="1"/>
  <c r="Z11" i="1"/>
  <c r="Z44" i="1"/>
  <c r="Y11" i="1"/>
  <c r="Y44" i="1"/>
  <c r="AD43" i="1"/>
  <c r="AC43" i="1"/>
  <c r="AB43" i="1"/>
  <c r="AA43" i="1"/>
  <c r="Z43" i="1"/>
  <c r="Y43" i="1"/>
  <c r="AD42" i="1"/>
  <c r="AC42" i="1"/>
  <c r="AB42" i="1"/>
  <c r="AA42" i="1"/>
  <c r="Z42" i="1"/>
  <c r="Y42" i="1"/>
  <c r="AD41" i="1"/>
  <c r="AC41" i="1"/>
  <c r="AB41" i="1"/>
  <c r="AA41" i="1"/>
  <c r="Z41" i="1"/>
  <c r="Y41" i="1"/>
  <c r="AD40" i="1"/>
  <c r="AC40" i="1"/>
  <c r="AB40" i="1"/>
  <c r="AA40" i="1"/>
  <c r="Z40" i="1"/>
  <c r="Y40" i="1"/>
  <c r="AD39" i="1"/>
  <c r="AC39" i="1"/>
  <c r="AB39" i="1"/>
  <c r="AA39" i="1"/>
  <c r="Z39" i="1"/>
  <c r="Y39" i="1"/>
  <c r="AD38" i="1"/>
  <c r="AC38" i="1"/>
  <c r="AB38" i="1"/>
  <c r="AA38" i="1"/>
  <c r="Z38" i="1"/>
  <c r="Y38" i="1"/>
  <c r="AD37" i="1"/>
  <c r="AC37" i="1"/>
  <c r="AB3" i="1"/>
  <c r="AB36" i="1"/>
  <c r="AA3" i="1"/>
  <c r="Z37" i="1"/>
  <c r="Y37" i="1"/>
  <c r="AD3" i="1"/>
  <c r="AD36" i="1"/>
  <c r="AC3" i="1"/>
  <c r="Z3" i="1"/>
  <c r="Z36" i="1"/>
  <c r="Y3" i="1"/>
  <c r="Y36" i="1"/>
  <c r="AD44" i="1"/>
  <c r="AC52" i="1"/>
  <c r="AC44" i="1"/>
  <c r="AC36" i="1"/>
  <c r="AD52" i="1"/>
  <c r="AA44" i="1"/>
  <c r="AB44" i="1"/>
  <c r="AA52" i="1"/>
  <c r="AA36" i="1"/>
  <c r="AB52" i="1"/>
  <c r="AA45" i="1"/>
  <c r="AA53" i="1"/>
  <c r="Z19" i="1"/>
  <c r="Z52" i="1"/>
  <c r="AB37" i="1"/>
  <c r="AB45" i="1"/>
  <c r="AA37" i="1"/>
  <c r="AB53" i="1"/>
  <c r="X59" i="1"/>
  <c r="W59" i="1"/>
  <c r="V59" i="1"/>
  <c r="X58" i="1"/>
  <c r="W58" i="1"/>
  <c r="V58" i="1"/>
  <c r="X57" i="1"/>
  <c r="W57" i="1"/>
  <c r="V57" i="1"/>
  <c r="X56" i="1"/>
  <c r="W56" i="1"/>
  <c r="V56" i="1"/>
  <c r="X55" i="1"/>
  <c r="W55" i="1"/>
  <c r="V55" i="1"/>
  <c r="X54" i="1"/>
  <c r="W54" i="1"/>
  <c r="V54" i="1"/>
  <c r="X53" i="1"/>
  <c r="W53" i="1"/>
  <c r="V53" i="1"/>
  <c r="X51" i="1"/>
  <c r="W51" i="1"/>
  <c r="V51" i="1"/>
  <c r="X50" i="1"/>
  <c r="W50" i="1"/>
  <c r="V50" i="1"/>
  <c r="X49" i="1"/>
  <c r="W49" i="1"/>
  <c r="V49" i="1"/>
  <c r="X48" i="1"/>
  <c r="W48" i="1"/>
  <c r="V48" i="1"/>
  <c r="X47" i="1"/>
  <c r="W47" i="1"/>
  <c r="V47" i="1"/>
  <c r="X46" i="1"/>
  <c r="W46" i="1"/>
  <c r="V46" i="1"/>
  <c r="X45" i="1"/>
  <c r="W45" i="1"/>
  <c r="V45" i="1"/>
  <c r="X43" i="1"/>
  <c r="W43" i="1"/>
  <c r="V43" i="1"/>
  <c r="X42" i="1"/>
  <c r="W42" i="1"/>
  <c r="V42" i="1"/>
  <c r="X41" i="1"/>
  <c r="W41" i="1"/>
  <c r="V41" i="1"/>
  <c r="X40" i="1"/>
  <c r="W40" i="1"/>
  <c r="V40" i="1"/>
  <c r="X39" i="1"/>
  <c r="W39" i="1"/>
  <c r="V39" i="1"/>
  <c r="X38" i="1"/>
  <c r="W38" i="1"/>
  <c r="V38" i="1"/>
  <c r="X37" i="1"/>
  <c r="W37" i="1"/>
  <c r="V37" i="1"/>
  <c r="X27" i="1"/>
  <c r="W27" i="1"/>
  <c r="V27" i="1"/>
  <c r="X19" i="1"/>
  <c r="W19" i="1"/>
  <c r="V19" i="1"/>
  <c r="X11" i="1"/>
  <c r="W11" i="1"/>
  <c r="V11" i="1"/>
  <c r="X3" i="1"/>
  <c r="W3" i="1"/>
  <c r="W36" i="1"/>
  <c r="V3" i="1"/>
  <c r="V52" i="1"/>
  <c r="V44" i="1"/>
  <c r="X44" i="1"/>
  <c r="X36" i="1"/>
  <c r="V36" i="1"/>
  <c r="X52" i="1"/>
  <c r="W52" i="1"/>
  <c r="W44" i="1"/>
  <c r="U43" i="1"/>
  <c r="U59" i="1"/>
  <c r="T59" i="1"/>
  <c r="U58" i="1"/>
  <c r="T58" i="1"/>
  <c r="U57" i="1"/>
  <c r="T57" i="1"/>
  <c r="U56" i="1"/>
  <c r="T56" i="1"/>
  <c r="U55" i="1"/>
  <c r="T55" i="1"/>
  <c r="U54" i="1"/>
  <c r="T54" i="1"/>
  <c r="U53" i="1"/>
  <c r="T53" i="1"/>
  <c r="T52" i="1"/>
  <c r="U51" i="1"/>
  <c r="T51" i="1"/>
  <c r="U50" i="1"/>
  <c r="T50" i="1"/>
  <c r="U49" i="1"/>
  <c r="T49" i="1"/>
  <c r="U48" i="1"/>
  <c r="T48" i="1"/>
  <c r="U47" i="1"/>
  <c r="T47" i="1"/>
  <c r="U46" i="1"/>
  <c r="T46" i="1"/>
  <c r="U45" i="1"/>
  <c r="T45" i="1"/>
  <c r="T44" i="1"/>
  <c r="T43" i="1"/>
  <c r="U42" i="1"/>
  <c r="T42" i="1"/>
  <c r="U41" i="1"/>
  <c r="T41" i="1"/>
  <c r="U40" i="1"/>
  <c r="T40" i="1"/>
  <c r="U39" i="1"/>
  <c r="T39" i="1"/>
  <c r="U38" i="1"/>
  <c r="T38" i="1"/>
  <c r="U37" i="1"/>
  <c r="T37" i="1"/>
  <c r="T36" i="1"/>
  <c r="U27" i="1"/>
  <c r="U19" i="1"/>
  <c r="U52" i="1"/>
  <c r="U11" i="1"/>
  <c r="U44" i="1"/>
  <c r="U3" i="1"/>
  <c r="U36" i="1"/>
  <c r="Q19" i="1"/>
  <c r="R19" i="1"/>
  <c r="S19" i="1"/>
  <c r="S52" i="1"/>
  <c r="S59" i="1"/>
  <c r="S58" i="1"/>
  <c r="S57" i="1"/>
  <c r="S56" i="1"/>
  <c r="S55" i="1"/>
  <c r="S54" i="1"/>
  <c r="S53" i="1"/>
  <c r="S51" i="1"/>
  <c r="S50" i="1"/>
  <c r="S49" i="1"/>
  <c r="S48" i="1"/>
  <c r="S47" i="1"/>
  <c r="S46" i="1"/>
  <c r="S45" i="1"/>
  <c r="S43" i="1"/>
  <c r="S42" i="1"/>
  <c r="S41" i="1"/>
  <c r="S40" i="1"/>
  <c r="S39" i="1"/>
  <c r="S38" i="1"/>
  <c r="S37" i="1"/>
  <c r="S27" i="1"/>
  <c r="R27" i="1"/>
  <c r="R36" i="1"/>
  <c r="R37" i="1"/>
  <c r="R38" i="1"/>
  <c r="R39" i="1"/>
  <c r="R40" i="1"/>
  <c r="R41" i="1"/>
  <c r="R42" i="1"/>
  <c r="R43" i="1"/>
  <c r="R45" i="1"/>
  <c r="R46" i="1"/>
  <c r="R47" i="1"/>
  <c r="R48" i="1"/>
  <c r="R49" i="1"/>
  <c r="R50" i="1"/>
  <c r="R51" i="1"/>
  <c r="R53" i="1"/>
  <c r="R54" i="1"/>
  <c r="R55" i="1"/>
  <c r="R56" i="1"/>
  <c r="R57" i="1"/>
  <c r="R58" i="1"/>
  <c r="R59" i="1"/>
  <c r="Q27" i="1"/>
  <c r="Q36" i="1"/>
  <c r="Q37" i="1"/>
  <c r="Q38" i="1"/>
  <c r="Q39" i="1"/>
  <c r="Q40" i="1"/>
  <c r="Q41" i="1"/>
  <c r="Q42" i="1"/>
  <c r="Q43" i="1"/>
  <c r="Q45" i="1"/>
  <c r="Q46" i="1"/>
  <c r="Q47" i="1"/>
  <c r="Q48" i="1"/>
  <c r="Q49" i="1"/>
  <c r="Q50" i="1"/>
  <c r="Q51" i="1"/>
  <c r="Q53" i="1"/>
  <c r="Q54" i="1"/>
  <c r="Q55" i="1"/>
  <c r="Q56" i="1"/>
  <c r="Q57" i="1"/>
  <c r="Q58" i="1"/>
  <c r="Q59" i="1"/>
  <c r="P3" i="1"/>
  <c r="P11" i="1"/>
  <c r="P19" i="1"/>
  <c r="P27" i="1"/>
  <c r="P37" i="1"/>
  <c r="P38" i="1"/>
  <c r="P39" i="1"/>
  <c r="P40" i="1"/>
  <c r="P41" i="1"/>
  <c r="P42" i="1"/>
  <c r="P43" i="1"/>
  <c r="P45" i="1"/>
  <c r="P46" i="1"/>
  <c r="P47" i="1"/>
  <c r="P48" i="1"/>
  <c r="P49" i="1"/>
  <c r="P50" i="1"/>
  <c r="P51" i="1"/>
  <c r="P53" i="1"/>
  <c r="P54" i="1"/>
  <c r="P55" i="1"/>
  <c r="P56" i="1"/>
  <c r="P57" i="1"/>
  <c r="P58" i="1"/>
  <c r="P59" i="1"/>
  <c r="O54" i="1"/>
  <c r="O46" i="1"/>
  <c r="O11" i="1"/>
  <c r="O27" i="1"/>
  <c r="O36" i="1"/>
  <c r="C4" i="1"/>
  <c r="C7" i="1"/>
  <c r="C28" i="1"/>
  <c r="C37" i="1"/>
  <c r="C27" i="1"/>
  <c r="D4" i="1"/>
  <c r="D6" i="1"/>
  <c r="D28" i="1"/>
  <c r="D27" i="1"/>
  <c r="E4" i="1"/>
  <c r="E3" i="1"/>
  <c r="E36" i="1"/>
  <c r="E28" i="1"/>
  <c r="E27" i="1"/>
  <c r="F4" i="1"/>
  <c r="F3" i="1"/>
  <c r="F28" i="1"/>
  <c r="F27" i="1"/>
  <c r="G3" i="1"/>
  <c r="G28" i="1"/>
  <c r="G27" i="1"/>
  <c r="H4" i="1"/>
  <c r="H6" i="1"/>
  <c r="H7" i="1"/>
  <c r="H40" i="1"/>
  <c r="H28" i="1"/>
  <c r="H27" i="1"/>
  <c r="I4" i="1"/>
  <c r="I6" i="1"/>
  <c r="I39" i="1"/>
  <c r="I7" i="1"/>
  <c r="I40" i="1"/>
  <c r="I8" i="1"/>
  <c r="I41" i="1"/>
  <c r="I28" i="1"/>
  <c r="I27" i="1"/>
  <c r="J4" i="1"/>
  <c r="J37" i="1"/>
  <c r="J5" i="1"/>
  <c r="J6" i="1"/>
  <c r="J7" i="1"/>
  <c r="J28" i="1"/>
  <c r="J27" i="1"/>
  <c r="K4" i="1"/>
  <c r="K5" i="1"/>
  <c r="K6" i="1"/>
  <c r="K39" i="1"/>
  <c r="K7" i="1"/>
  <c r="K28" i="1"/>
  <c r="K27" i="1"/>
  <c r="L4" i="1"/>
  <c r="L5" i="1"/>
  <c r="L6" i="1"/>
  <c r="L7" i="1"/>
  <c r="L40" i="1"/>
  <c r="L8" i="1"/>
  <c r="L41" i="1"/>
  <c r="L28" i="1"/>
  <c r="L27" i="1"/>
  <c r="M3" i="1"/>
  <c r="M27" i="1"/>
  <c r="N3" i="1"/>
  <c r="N27" i="1"/>
  <c r="L37" i="1"/>
  <c r="M37" i="1"/>
  <c r="N37" i="1"/>
  <c r="C38" i="1"/>
  <c r="D38" i="1"/>
  <c r="E38" i="1"/>
  <c r="F38" i="1"/>
  <c r="G38" i="1"/>
  <c r="H38" i="1"/>
  <c r="I38" i="1"/>
  <c r="J38" i="1"/>
  <c r="K38" i="1"/>
  <c r="L38" i="1"/>
  <c r="M38" i="1"/>
  <c r="N38" i="1"/>
  <c r="C39" i="1"/>
  <c r="D39" i="1"/>
  <c r="E39" i="1"/>
  <c r="F39" i="1"/>
  <c r="G39" i="1"/>
  <c r="H39" i="1"/>
  <c r="J39" i="1"/>
  <c r="L39" i="1"/>
  <c r="M39" i="1"/>
  <c r="N39" i="1"/>
  <c r="D40" i="1"/>
  <c r="E40" i="1"/>
  <c r="F40" i="1"/>
  <c r="G40" i="1"/>
  <c r="J40" i="1"/>
  <c r="K40" i="1"/>
  <c r="M40" i="1"/>
  <c r="N40" i="1"/>
  <c r="C41" i="1"/>
  <c r="D41" i="1"/>
  <c r="E41" i="1"/>
  <c r="F41" i="1"/>
  <c r="G41" i="1"/>
  <c r="H41" i="1"/>
  <c r="J41" i="1"/>
  <c r="K41" i="1"/>
  <c r="M41" i="1"/>
  <c r="N41" i="1"/>
  <c r="C42" i="1"/>
  <c r="D42" i="1"/>
  <c r="E42" i="1"/>
  <c r="F42" i="1"/>
  <c r="G42" i="1"/>
  <c r="H42" i="1"/>
  <c r="I42" i="1"/>
  <c r="J42" i="1"/>
  <c r="K42" i="1"/>
  <c r="L42" i="1"/>
  <c r="M42" i="1"/>
  <c r="N42" i="1"/>
  <c r="C43" i="1"/>
  <c r="D43" i="1"/>
  <c r="E43" i="1"/>
  <c r="F43" i="1"/>
  <c r="G43" i="1"/>
  <c r="H43" i="1"/>
  <c r="I43" i="1"/>
  <c r="J43" i="1"/>
  <c r="K43" i="1"/>
  <c r="L43" i="1"/>
  <c r="M43" i="1"/>
  <c r="N43" i="1"/>
  <c r="C12" i="1"/>
  <c r="C45" i="1"/>
  <c r="C13" i="1"/>
  <c r="C14" i="1"/>
  <c r="C15" i="1"/>
  <c r="C48" i="1"/>
  <c r="C16" i="1"/>
  <c r="C49" i="1"/>
  <c r="D12" i="1"/>
  <c r="D13" i="1"/>
  <c r="D46" i="1"/>
  <c r="D14" i="1"/>
  <c r="D47" i="1"/>
  <c r="D15" i="1"/>
  <c r="D16" i="1"/>
  <c r="E12" i="1"/>
  <c r="E45" i="1"/>
  <c r="E13" i="1"/>
  <c r="E46" i="1"/>
  <c r="E14" i="1"/>
  <c r="E15" i="1"/>
  <c r="E16" i="1"/>
  <c r="E17" i="1"/>
  <c r="F12" i="1"/>
  <c r="F13" i="1"/>
  <c r="F14" i="1"/>
  <c r="F47" i="1"/>
  <c r="F15" i="1"/>
  <c r="F48" i="1"/>
  <c r="F16" i="1"/>
  <c r="F18" i="1"/>
  <c r="G12" i="1"/>
  <c r="G13" i="1"/>
  <c r="G46" i="1"/>
  <c r="G14" i="1"/>
  <c r="G15" i="1"/>
  <c r="G16" i="1"/>
  <c r="G49" i="1"/>
  <c r="H12" i="1"/>
  <c r="H13" i="1"/>
  <c r="H14" i="1"/>
  <c r="H47" i="1"/>
  <c r="H15" i="1"/>
  <c r="H48" i="1"/>
  <c r="H16" i="1"/>
  <c r="H49" i="1"/>
  <c r="I12" i="1"/>
  <c r="I13" i="1"/>
  <c r="I14" i="1"/>
  <c r="I47" i="1"/>
  <c r="I15" i="1"/>
  <c r="I48" i="1"/>
  <c r="I16" i="1"/>
  <c r="I17" i="1"/>
  <c r="I50" i="1"/>
  <c r="J13" i="1"/>
  <c r="J14" i="1"/>
  <c r="J47" i="1"/>
  <c r="J15" i="1"/>
  <c r="J16" i="1"/>
  <c r="J49" i="1"/>
  <c r="J17" i="1"/>
  <c r="J50" i="1"/>
  <c r="K12" i="1"/>
  <c r="K45" i="1"/>
  <c r="K13" i="1"/>
  <c r="K46" i="1"/>
  <c r="K14" i="1"/>
  <c r="K15" i="1"/>
  <c r="K16" i="1"/>
  <c r="K49" i="1"/>
  <c r="K17" i="1"/>
  <c r="K50" i="1"/>
  <c r="L12" i="1"/>
  <c r="L13" i="1"/>
  <c r="L46" i="1"/>
  <c r="L14" i="1"/>
  <c r="L47" i="1"/>
  <c r="L15" i="1"/>
  <c r="L48" i="1"/>
  <c r="L16" i="1"/>
  <c r="L49" i="1"/>
  <c r="L17" i="1"/>
  <c r="M11" i="1"/>
  <c r="N11" i="1"/>
  <c r="I45" i="1"/>
  <c r="J45" i="1"/>
  <c r="M45" i="1"/>
  <c r="N45" i="1"/>
  <c r="C46" i="1"/>
  <c r="H46" i="1"/>
  <c r="M46" i="1"/>
  <c r="N46" i="1"/>
  <c r="C47" i="1"/>
  <c r="E47" i="1"/>
  <c r="G47" i="1"/>
  <c r="K47" i="1"/>
  <c r="M47" i="1"/>
  <c r="N47" i="1"/>
  <c r="D48" i="1"/>
  <c r="E48" i="1"/>
  <c r="G48" i="1"/>
  <c r="J48" i="1"/>
  <c r="K48" i="1"/>
  <c r="M48" i="1"/>
  <c r="N48" i="1"/>
  <c r="D49" i="1"/>
  <c r="E49" i="1"/>
  <c r="F49" i="1"/>
  <c r="I49" i="1"/>
  <c r="M49" i="1"/>
  <c r="N49" i="1"/>
  <c r="C50" i="1"/>
  <c r="D50" i="1"/>
  <c r="E50" i="1"/>
  <c r="F50" i="1"/>
  <c r="G50" i="1"/>
  <c r="H50" i="1"/>
  <c r="L50" i="1"/>
  <c r="M50" i="1"/>
  <c r="N50" i="1"/>
  <c r="C51" i="1"/>
  <c r="D51" i="1"/>
  <c r="E51" i="1"/>
  <c r="F51" i="1"/>
  <c r="G51" i="1"/>
  <c r="H51" i="1"/>
  <c r="I51" i="1"/>
  <c r="J51" i="1"/>
  <c r="K51" i="1"/>
  <c r="L51" i="1"/>
  <c r="M51" i="1"/>
  <c r="N51" i="1"/>
  <c r="C20" i="1"/>
  <c r="C53" i="1"/>
  <c r="C21" i="1"/>
  <c r="C54" i="1"/>
  <c r="C22" i="1"/>
  <c r="C23" i="1"/>
  <c r="C24" i="1"/>
  <c r="C25" i="1"/>
  <c r="C58" i="1"/>
  <c r="D20" i="1"/>
  <c r="D53" i="1"/>
  <c r="D21" i="1"/>
  <c r="D22" i="1"/>
  <c r="D55" i="1"/>
  <c r="D23" i="1"/>
  <c r="D56" i="1"/>
  <c r="D24" i="1"/>
  <c r="D25" i="1"/>
  <c r="E20" i="1"/>
  <c r="E19" i="1"/>
  <c r="E52" i="1"/>
  <c r="E21" i="1"/>
  <c r="E22" i="1"/>
  <c r="E23" i="1"/>
  <c r="E24" i="1"/>
  <c r="E57" i="1"/>
  <c r="E25" i="1"/>
  <c r="F20" i="1"/>
  <c r="F53" i="1"/>
  <c r="F21" i="1"/>
  <c r="F54" i="1"/>
  <c r="F22" i="1"/>
  <c r="F55" i="1"/>
  <c r="F23" i="1"/>
  <c r="F24" i="1"/>
  <c r="F57" i="1"/>
  <c r="F25" i="1"/>
  <c r="F58" i="1"/>
  <c r="G20" i="1"/>
  <c r="G53" i="1"/>
  <c r="G21" i="1"/>
  <c r="G54" i="1"/>
  <c r="G22" i="1"/>
  <c r="G55" i="1"/>
  <c r="G23" i="1"/>
  <c r="G56" i="1"/>
  <c r="G24" i="1"/>
  <c r="G57" i="1"/>
  <c r="G25" i="1"/>
  <c r="G58" i="1"/>
  <c r="G26" i="1"/>
  <c r="G59" i="1"/>
  <c r="H20" i="1"/>
  <c r="H21" i="1"/>
  <c r="H22" i="1"/>
  <c r="H23" i="1"/>
  <c r="H56" i="1"/>
  <c r="H24" i="1"/>
  <c r="H25" i="1"/>
  <c r="H58" i="1"/>
  <c r="I21" i="1"/>
  <c r="I24" i="1"/>
  <c r="I57" i="1"/>
  <c r="I25" i="1"/>
  <c r="J20" i="1"/>
  <c r="J19" i="1"/>
  <c r="J52" i="1"/>
  <c r="J21" i="1"/>
  <c r="J22" i="1"/>
  <c r="J23" i="1"/>
  <c r="J24" i="1"/>
  <c r="K21" i="1"/>
  <c r="K22" i="1"/>
  <c r="K23" i="1"/>
  <c r="K24" i="1"/>
  <c r="K57" i="1"/>
  <c r="K25" i="1"/>
  <c r="L20" i="1"/>
  <c r="L21" i="1"/>
  <c r="L54" i="1"/>
  <c r="L22" i="1"/>
  <c r="L55" i="1"/>
  <c r="L24" i="1"/>
  <c r="M19" i="1"/>
  <c r="N19" i="1"/>
  <c r="N52" i="1"/>
  <c r="I53" i="1"/>
  <c r="K53" i="1"/>
  <c r="M53" i="1"/>
  <c r="N53" i="1"/>
  <c r="D54" i="1"/>
  <c r="E54" i="1"/>
  <c r="I54" i="1"/>
  <c r="J54" i="1"/>
  <c r="M54" i="1"/>
  <c r="N54" i="1"/>
  <c r="C55" i="1"/>
  <c r="E55" i="1"/>
  <c r="H55" i="1"/>
  <c r="I55" i="1"/>
  <c r="J55" i="1"/>
  <c r="K55" i="1"/>
  <c r="M55" i="1"/>
  <c r="N55" i="1"/>
  <c r="C56" i="1"/>
  <c r="E56" i="1"/>
  <c r="F56" i="1"/>
  <c r="I56" i="1"/>
  <c r="J56" i="1"/>
  <c r="K56" i="1"/>
  <c r="L56" i="1"/>
  <c r="M56" i="1"/>
  <c r="N56" i="1"/>
  <c r="C57" i="1"/>
  <c r="D57" i="1"/>
  <c r="H57" i="1"/>
  <c r="J57" i="1"/>
  <c r="L57" i="1"/>
  <c r="M57" i="1"/>
  <c r="N57" i="1"/>
  <c r="D58" i="1"/>
  <c r="E58" i="1"/>
  <c r="I58" i="1"/>
  <c r="J58" i="1"/>
  <c r="K58" i="1"/>
  <c r="L58" i="1"/>
  <c r="M58" i="1"/>
  <c r="N58" i="1"/>
  <c r="C59" i="1"/>
  <c r="D59" i="1"/>
  <c r="E59" i="1"/>
  <c r="F59" i="1"/>
  <c r="H59" i="1"/>
  <c r="I59" i="1"/>
  <c r="J59" i="1"/>
  <c r="K59" i="1"/>
  <c r="L59" i="1"/>
  <c r="M59" i="1"/>
  <c r="N59" i="1"/>
  <c r="O19" i="1"/>
  <c r="O3" i="1"/>
  <c r="O38" i="1"/>
  <c r="O59" i="1"/>
  <c r="O58" i="1"/>
  <c r="O57" i="1"/>
  <c r="O56" i="1"/>
  <c r="O55" i="1"/>
  <c r="O53" i="1"/>
  <c r="O51" i="1"/>
  <c r="O50" i="1"/>
  <c r="O49" i="1"/>
  <c r="O48" i="1"/>
  <c r="O47" i="1"/>
  <c r="O45" i="1"/>
  <c r="O44" i="1"/>
  <c r="O43" i="1"/>
  <c r="O42" i="1"/>
  <c r="O41" i="1"/>
  <c r="O40" i="1"/>
  <c r="O39" i="1"/>
  <c r="O37" i="1"/>
  <c r="B26" i="1"/>
  <c r="B59" i="1"/>
  <c r="B25" i="1"/>
  <c r="B58" i="1"/>
  <c r="B22" i="1"/>
  <c r="B55" i="1"/>
  <c r="B21" i="1"/>
  <c r="B16" i="1"/>
  <c r="B49" i="1"/>
  <c r="B15" i="1"/>
  <c r="B48" i="1"/>
  <c r="B14" i="1"/>
  <c r="B47" i="1"/>
  <c r="B13" i="1"/>
  <c r="B12" i="1"/>
  <c r="B45" i="1"/>
  <c r="B4" i="1"/>
  <c r="B3" i="1"/>
  <c r="B36" i="1"/>
  <c r="B43" i="1"/>
  <c r="B28" i="1"/>
  <c r="B53" i="1"/>
  <c r="B57" i="1"/>
  <c r="B56" i="1"/>
  <c r="B27" i="1"/>
  <c r="B51" i="1"/>
  <c r="B50" i="1"/>
  <c r="B46" i="1"/>
  <c r="B42" i="1"/>
  <c r="B41" i="1"/>
  <c r="B40" i="1"/>
  <c r="B39" i="1"/>
  <c r="B38" i="1"/>
  <c r="M36" i="1"/>
  <c r="S36" i="1"/>
  <c r="S44" i="1"/>
  <c r="D19" i="1"/>
  <c r="D52" i="1"/>
  <c r="J11" i="1"/>
  <c r="J44" i="1"/>
  <c r="G11" i="1"/>
  <c r="G44" i="1"/>
  <c r="N36" i="1"/>
  <c r="R52" i="1"/>
  <c r="E53" i="1"/>
  <c r="L19" i="1"/>
  <c r="L52" i="1"/>
  <c r="L53" i="1"/>
  <c r="L45" i="1"/>
  <c r="I11" i="1"/>
  <c r="I44" i="1"/>
  <c r="D37" i="1"/>
  <c r="I37" i="1"/>
  <c r="H3" i="1"/>
  <c r="J53" i="1"/>
  <c r="B37" i="1"/>
  <c r="O52" i="1"/>
  <c r="K19" i="1"/>
  <c r="K52" i="1"/>
  <c r="I19" i="1"/>
  <c r="I52" i="1"/>
  <c r="N44" i="1"/>
  <c r="K37" i="1"/>
  <c r="P44" i="1"/>
  <c r="H36" i="1"/>
  <c r="F36" i="1"/>
  <c r="K54" i="1"/>
  <c r="H53" i="1"/>
  <c r="F19" i="1"/>
  <c r="F52" i="1"/>
  <c r="J46" i="1"/>
  <c r="G45" i="1"/>
  <c r="H11" i="1"/>
  <c r="H44" i="1"/>
  <c r="C11" i="1"/>
  <c r="C44" i="1"/>
  <c r="F37" i="1"/>
  <c r="L3" i="1"/>
  <c r="L36" i="1"/>
  <c r="K3" i="1"/>
  <c r="K36" i="1"/>
  <c r="J3" i="1"/>
  <c r="J36" i="1"/>
  <c r="I3" i="1"/>
  <c r="I36" i="1"/>
  <c r="D3" i="1"/>
  <c r="D36" i="1"/>
  <c r="C3" i="1"/>
  <c r="C36" i="1"/>
  <c r="R44" i="1"/>
  <c r="B11" i="1"/>
  <c r="B44" i="1"/>
  <c r="M52" i="1"/>
  <c r="C19" i="1"/>
  <c r="C52" i="1"/>
  <c r="I46" i="1"/>
  <c r="F45" i="1"/>
  <c r="M44" i="1"/>
  <c r="K11" i="1"/>
  <c r="K44" i="1"/>
  <c r="E11" i="1"/>
  <c r="E44" i="1"/>
  <c r="L11" i="1"/>
  <c r="L44" i="1"/>
  <c r="B19" i="1"/>
  <c r="B52" i="1"/>
  <c r="H19" i="1"/>
  <c r="H52" i="1"/>
  <c r="F11" i="1"/>
  <c r="F44" i="1"/>
  <c r="D11" i="1"/>
  <c r="D44" i="1"/>
  <c r="H37" i="1"/>
  <c r="G36" i="1"/>
  <c r="P36" i="1"/>
  <c r="B54" i="1"/>
  <c r="H54" i="1"/>
  <c r="G19" i="1"/>
  <c r="G52" i="1"/>
  <c r="F46" i="1"/>
  <c r="H45" i="1"/>
  <c r="D45" i="1"/>
  <c r="C40" i="1"/>
  <c r="G37" i="1"/>
  <c r="E37" i="1"/>
  <c r="P52" i="1"/>
  <c r="Q52" i="1"/>
  <c r="Q44" i="1"/>
</calcChain>
</file>

<file path=xl/sharedStrings.xml><?xml version="1.0" encoding="utf-8"?>
<sst xmlns="http://schemas.openxmlformats.org/spreadsheetml/2006/main" count="72" uniqueCount="31">
  <si>
    <t>Light rail</t>
  </si>
  <si>
    <t>Heavy rail</t>
  </si>
  <si>
    <t>Commuter rail</t>
  </si>
  <si>
    <t>Demand response</t>
  </si>
  <si>
    <t>Van pool</t>
  </si>
  <si>
    <t>Automated guideway</t>
  </si>
  <si>
    <t>Demand responsive</t>
  </si>
  <si>
    <r>
      <t xml:space="preserve">Prior to the 2000 edition, </t>
    </r>
    <r>
      <rPr>
        <i/>
        <sz val="9"/>
        <rFont val="Arial"/>
        <family val="2"/>
      </rPr>
      <t xml:space="preserve">Transit Safety and Security Statistics and Analysis Report </t>
    </r>
    <r>
      <rPr>
        <sz val="9"/>
        <rFont val="Arial"/>
        <family val="2"/>
      </rPr>
      <t xml:space="preserve">was entitled </t>
    </r>
    <r>
      <rPr>
        <i/>
        <sz val="9"/>
        <rFont val="Arial"/>
        <family val="2"/>
      </rPr>
      <t>Safety Management Information Statistics</t>
    </r>
    <r>
      <rPr>
        <sz val="9"/>
        <rFont val="Arial"/>
        <family val="2"/>
      </rPr>
      <t xml:space="preserve"> (SAMIS) annual report.</t>
    </r>
  </si>
  <si>
    <t>NOTES</t>
  </si>
  <si>
    <t>SOURCE</t>
  </si>
  <si>
    <t>Fatalities, total</t>
  </si>
  <si>
    <t>Vehicle-miles (millions), total</t>
  </si>
  <si>
    <t>Fatalities, all modes</t>
  </si>
  <si>
    <r>
      <t>Motor bus</t>
    </r>
    <r>
      <rPr>
        <vertAlign val="superscript"/>
        <sz val="11"/>
        <rFont val="Arial Narrow"/>
        <family val="2"/>
      </rPr>
      <t>c</t>
    </r>
  </si>
  <si>
    <r>
      <t>Accidents, total</t>
    </r>
    <r>
      <rPr>
        <b/>
        <vertAlign val="superscript"/>
        <sz val="11"/>
        <rFont val="Arial Narrow"/>
        <family val="2"/>
      </rPr>
      <t>d</t>
    </r>
  </si>
  <si>
    <r>
      <t>Injured persons, total</t>
    </r>
    <r>
      <rPr>
        <b/>
        <vertAlign val="superscript"/>
        <sz val="11"/>
        <rFont val="Arial Narrow"/>
        <family val="2"/>
      </rPr>
      <t>d</t>
    </r>
  </si>
  <si>
    <r>
      <t>Rates per 100 million vehicle-miles</t>
    </r>
    <r>
      <rPr>
        <b/>
        <vertAlign val="superscript"/>
        <sz val="11"/>
        <rFont val="Arial Narrow"/>
        <family val="2"/>
      </rPr>
      <t>e</t>
    </r>
  </si>
  <si>
    <r>
      <t>Injured persons, all modes</t>
    </r>
    <r>
      <rPr>
        <b/>
        <vertAlign val="superscript"/>
        <sz val="11"/>
        <rFont val="Arial Narrow"/>
        <family val="2"/>
      </rPr>
      <t>d</t>
    </r>
  </si>
  <si>
    <r>
      <t>Accidents, all modes</t>
    </r>
    <r>
      <rPr>
        <b/>
        <vertAlign val="superscript"/>
        <sz val="11"/>
        <rFont val="Arial Narrow"/>
        <family val="2"/>
      </rPr>
      <t>d</t>
    </r>
  </si>
  <si>
    <r>
      <t>c</t>
    </r>
    <r>
      <rPr>
        <sz val="9"/>
        <rFont val="Arial"/>
        <family val="2"/>
      </rPr>
      <t xml:space="preserve"> </t>
    </r>
    <r>
      <rPr>
        <i/>
        <sz val="9"/>
        <rFont val="Arial"/>
        <family val="2"/>
      </rPr>
      <t>Motor bus</t>
    </r>
    <r>
      <rPr>
        <sz val="9"/>
        <rFont val="Arial"/>
        <family val="2"/>
      </rPr>
      <t xml:space="preserve"> also includes trolley bus.</t>
    </r>
  </si>
  <si>
    <r>
      <t>b</t>
    </r>
    <r>
      <rPr>
        <sz val="9"/>
        <rFont val="Arial"/>
        <family val="2"/>
      </rPr>
      <t xml:space="preserve"> </t>
    </r>
    <r>
      <rPr>
        <i/>
        <sz val="9"/>
        <rFont val="Arial"/>
        <family val="2"/>
      </rPr>
      <t>Accidents</t>
    </r>
    <r>
      <rPr>
        <sz val="9"/>
        <rFont val="Arial"/>
        <family val="2"/>
      </rPr>
      <t xml:space="preserve"> includes collisions with vehicles, objects,  people (except suicides), and derailments/vehicles going off road.</t>
    </r>
  </si>
  <si>
    <r>
      <t xml:space="preserve">d </t>
    </r>
    <r>
      <rPr>
        <sz val="9"/>
        <rFont val="Arial"/>
        <family val="2"/>
      </rPr>
      <t xml:space="preserve">In 2002 the drop in the number of </t>
    </r>
    <r>
      <rPr>
        <i/>
        <sz val="9"/>
        <rFont val="Arial"/>
        <family val="2"/>
      </rPr>
      <t>Accidents</t>
    </r>
    <r>
      <rPr>
        <sz val="9"/>
        <rFont val="Arial"/>
        <family val="2"/>
      </rPr>
      <t xml:space="preserve"> and </t>
    </r>
    <r>
      <rPr>
        <i/>
        <sz val="9"/>
        <rFont val="Arial"/>
        <family val="2"/>
      </rPr>
      <t>Injuries</t>
    </r>
    <r>
      <rPr>
        <sz val="9"/>
        <rFont val="Arial"/>
        <family val="2"/>
      </rPr>
      <t xml:space="preserve"> is due largely to a change in definitions by the Federal Transit Administration, particularly the definition of </t>
    </r>
    <r>
      <rPr>
        <i/>
        <sz val="9"/>
        <rFont val="Arial"/>
        <family val="2"/>
      </rPr>
      <t>Injuries</t>
    </r>
    <r>
      <rPr>
        <sz val="9"/>
        <rFont val="Arial"/>
        <family val="2"/>
      </rPr>
      <t xml:space="preserve">. Only </t>
    </r>
    <r>
      <rPr>
        <i/>
        <sz val="9"/>
        <rFont val="Arial"/>
        <family val="2"/>
      </rPr>
      <t>Injuries</t>
    </r>
    <r>
      <rPr>
        <sz val="9"/>
        <rFont val="Arial"/>
        <family val="2"/>
      </rPr>
      <t xml:space="preserve"> requiring immediate medical treatment away from the scene now qualify as reportable. Previously, any </t>
    </r>
    <r>
      <rPr>
        <i/>
        <sz val="9"/>
        <rFont val="Arial"/>
        <family val="2"/>
      </rPr>
      <t>Injury</t>
    </r>
    <r>
      <rPr>
        <sz val="9"/>
        <rFont val="Arial"/>
        <family val="2"/>
      </rPr>
      <t xml:space="preserve"> was reportable.  </t>
    </r>
    <r>
      <rPr>
        <i/>
        <sz val="9"/>
        <rFont val="Arial"/>
        <family val="2"/>
      </rPr>
      <t>Commuter rail</t>
    </r>
    <r>
      <rPr>
        <sz val="9"/>
        <rFont val="Arial"/>
        <family val="2"/>
      </rPr>
      <t xml:space="preserve"> data are now derived from the Federal Railroad Administration's Rail Accident Incident Reporting System (RAIRS).
</t>
    </r>
  </si>
  <si>
    <r>
      <t xml:space="preserve">Data are provided only for transit systems that furnished safety data for inclusion in the U.S. Department of Transportation, Federal Transit Administration </t>
    </r>
    <r>
      <rPr>
        <i/>
        <sz val="9"/>
        <rFont val="Arial"/>
        <family val="2"/>
      </rPr>
      <t>Transit Safety and Security Statistics and Analysis</t>
    </r>
    <r>
      <rPr>
        <sz val="9"/>
        <rFont val="Arial"/>
        <family val="2"/>
      </rPr>
      <t xml:space="preserve"> annual reports.  Data covers only directly operated urban transit systems. </t>
    </r>
    <r>
      <rPr>
        <i/>
        <sz val="9"/>
        <rFont val="Arial"/>
        <family val="2"/>
      </rPr>
      <t>Vehicle-miles</t>
    </r>
    <r>
      <rPr>
        <sz val="9"/>
        <rFont val="Arial"/>
        <family val="2"/>
      </rPr>
      <t xml:space="preserve"> for all transit systems including nonurban and purchased can be found in the </t>
    </r>
    <r>
      <rPr>
        <i/>
        <sz val="9"/>
        <rFont val="Arial"/>
        <family val="2"/>
      </rPr>
      <t>Vehicle-miles</t>
    </r>
    <r>
      <rPr>
        <sz val="9"/>
        <rFont val="Arial"/>
        <family val="2"/>
      </rPr>
      <t xml:space="preserve"> table in chapter 1.</t>
    </r>
  </si>
  <si>
    <r>
      <t xml:space="preserve">Analysts for the FTA believe the change in reporting requirements in 2002 may have resulted in unreliable data in that year, particularly for </t>
    </r>
    <r>
      <rPr>
        <i/>
        <sz val="9"/>
        <rFont val="Arial"/>
        <family val="2"/>
      </rPr>
      <t>Injuries</t>
    </r>
    <r>
      <rPr>
        <sz val="9"/>
        <rFont val="Arial"/>
        <family val="2"/>
      </rPr>
      <t xml:space="preserve"> and </t>
    </r>
    <r>
      <rPr>
        <i/>
        <sz val="9"/>
        <rFont val="Arial"/>
        <family val="2"/>
      </rPr>
      <t>Accidents</t>
    </r>
    <r>
      <rPr>
        <sz val="9"/>
        <rFont val="Arial"/>
        <family val="2"/>
      </rPr>
      <t>. The reliability of reporting is believed to be much better in 2003 and is expected to improve in the future.</t>
    </r>
  </si>
  <si>
    <t>Details may not add to totals due to rounding.</t>
  </si>
  <si>
    <r>
      <t xml:space="preserve">e </t>
    </r>
    <r>
      <rPr>
        <sz val="9"/>
        <rFont val="Arial"/>
        <family val="2"/>
      </rPr>
      <t xml:space="preserve">Rates are based on total incidents including </t>
    </r>
    <r>
      <rPr>
        <i/>
        <sz val="9"/>
        <rFont val="Arial"/>
        <family val="2"/>
      </rPr>
      <t>Accidents</t>
    </r>
    <r>
      <rPr>
        <sz val="9"/>
        <rFont val="Arial"/>
        <family val="2"/>
      </rPr>
      <t xml:space="preserve"> and were calculated by dividing the number of </t>
    </r>
    <r>
      <rPr>
        <i/>
        <sz val="9"/>
        <rFont val="Arial"/>
        <family val="2"/>
      </rPr>
      <t>Fatalities</t>
    </r>
    <r>
      <rPr>
        <sz val="9"/>
        <rFont val="Arial"/>
        <family val="2"/>
      </rPr>
      <t xml:space="preserve">, </t>
    </r>
    <r>
      <rPr>
        <i/>
        <sz val="9"/>
        <rFont val="Arial"/>
        <family val="2"/>
      </rPr>
      <t>Injuries</t>
    </r>
    <r>
      <rPr>
        <sz val="9"/>
        <rFont val="Arial"/>
        <family val="2"/>
      </rPr>
      <t xml:space="preserve">, and </t>
    </r>
    <r>
      <rPr>
        <i/>
        <sz val="9"/>
        <rFont val="Arial"/>
        <family val="2"/>
      </rPr>
      <t>Accidents</t>
    </r>
    <r>
      <rPr>
        <sz val="9"/>
        <rFont val="Arial"/>
        <family val="2"/>
      </rPr>
      <t xml:space="preserve"> in this table by the number of </t>
    </r>
    <r>
      <rPr>
        <i/>
        <sz val="9"/>
        <rFont val="Arial"/>
        <family val="2"/>
      </rPr>
      <t>Vehicle-miles</t>
    </r>
    <r>
      <rPr>
        <sz val="9"/>
        <rFont val="Arial"/>
        <family val="2"/>
      </rPr>
      <t>.</t>
    </r>
  </si>
  <si>
    <r>
      <t>Table 2-33:  Transit Safety Data by Mode</t>
    </r>
    <r>
      <rPr>
        <b/>
        <vertAlign val="superscript"/>
        <sz val="12"/>
        <rFont val="Arial"/>
        <family val="2"/>
      </rPr>
      <t>a</t>
    </r>
    <r>
      <rPr>
        <b/>
        <sz val="12"/>
        <rFont val="Arial"/>
        <family val="2"/>
      </rPr>
      <t xml:space="preserve"> for All Reported Accidents</t>
    </r>
    <r>
      <rPr>
        <b/>
        <vertAlign val="superscript"/>
        <sz val="12"/>
        <rFont val="Arial"/>
        <family val="2"/>
      </rPr>
      <t>b</t>
    </r>
  </si>
  <si>
    <t xml:space="preserve">There were definition changes made in 2008 to simplify the injury thresholds for filing an incident report.  Previously, the injury threshold for filing an incident report was two or more injuries requiring immediate medical transportation away from the scene, or one or more injuries requiring immediate medical transportation away from the scene in the case of incidents at grade crossings or along rail right-of-ways. FTA simplified this threshold to being simply one or more injuries requiring immediate medical transportation away from the scene.  </t>
  </si>
  <si>
    <r>
      <t>a</t>
    </r>
    <r>
      <rPr>
        <sz val="9"/>
        <rFont val="Arial"/>
        <family val="2"/>
      </rPr>
      <t xml:space="preserve"> </t>
    </r>
    <r>
      <rPr>
        <i/>
        <sz val="9"/>
        <rFont val="Arial"/>
        <family val="2"/>
      </rPr>
      <t>Accident</t>
    </r>
    <r>
      <rPr>
        <sz val="9"/>
        <rFont val="Arial"/>
        <family val="2"/>
      </rPr>
      <t xml:space="preserve"> statistics for cable car, inclined plane, jitney, and ferry boat are not available.  The number of incidents, </t>
    </r>
    <r>
      <rPr>
        <i/>
        <sz val="9"/>
        <rFont val="Arial"/>
        <family val="2"/>
      </rPr>
      <t>Fatalities</t>
    </r>
    <r>
      <rPr>
        <sz val="9"/>
        <rFont val="Arial"/>
        <family val="2"/>
      </rPr>
      <t xml:space="preserve">, and </t>
    </r>
    <r>
      <rPr>
        <i/>
        <sz val="9"/>
        <rFont val="Arial"/>
        <family val="2"/>
      </rPr>
      <t>Injuries</t>
    </r>
    <r>
      <rPr>
        <sz val="9"/>
        <rFont val="Arial"/>
        <family val="2"/>
      </rPr>
      <t xml:space="preserve"> for these modes appear in the footnotes for table 2-34.</t>
    </r>
  </si>
  <si>
    <r>
      <t>KEY:</t>
    </r>
    <r>
      <rPr>
        <sz val="9"/>
        <rFont val="Arial"/>
        <family val="2"/>
      </rPr>
      <t xml:space="preserve"> P = preliminary.</t>
    </r>
  </si>
  <si>
    <r>
      <t>U.S. Department of Transportation, Federal Transit Administration,</t>
    </r>
    <r>
      <rPr>
        <i/>
        <sz val="9"/>
        <rFont val="Arial"/>
        <family val="2"/>
      </rPr>
      <t xml:space="preserve"> Transit Safety and Security Statistics</t>
    </r>
    <r>
      <rPr>
        <sz val="9"/>
        <rFont val="Arial"/>
        <family val="2"/>
      </rPr>
      <t xml:space="preserve">, available at http://transit-safety.volpe.dot.gov/Data/Samis.asp as of Sept. 15, 2009, and personal communications, Oct. 8, 2004, Apr. 22, 2005, Apr. 24, 2006,  June 14, 2007, June 18, 2008, Sept. 1, 2010, Apr. 5, 2012, July 8, 2013, Jan. 8, 2015, June 23, 2016, Jan. 11, 2018 and Mar. 11, 2019.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</si>
</sst>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
    <numFmt numFmtId="165" formatCode="#,##0_)"/>
    <numFmt numFmtId="166" formatCode="#,##0.0"/>
    <numFmt numFmtId="167" formatCode="###0.00_)"/>
    <numFmt numFmtId="168" formatCode="0.0_W"/>
    <numFmt numFmtId="169" formatCode="#,##0.0_);\(#,##0.0\)"/>
    <numFmt numFmtId="170" formatCode="&quot;$&quot;#,##0\ ;\(&quot;$&quot;#,##0\)"/>
    <numFmt numFmtId="171" formatCode="\(\P\)\ General"/>
  </numFmts>
  <fonts count="26" x14ac:knownFonts="1">
    <font>
      <sz val="10"/>
      <name val="Arial"/>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14"/>
      <name val="Helv"/>
    </font>
    <font>
      <b/>
      <vertAlign val="superscript"/>
      <sz val="12"/>
      <name val="Arial"/>
      <family val="2"/>
    </font>
    <font>
      <sz val="12"/>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sz val="10"/>
      <name val="MS Sans Serif"/>
      <family val="2"/>
    </font>
    <font>
      <sz val="10"/>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49">
    <xf numFmtId="0" fontId="0" fillId="0" borderId="0"/>
    <xf numFmtId="0" fontId="1" fillId="0" borderId="0">
      <alignment horizontal="center" vertical="center" wrapText="1"/>
    </xf>
    <xf numFmtId="3" fontId="2" fillId="0" borderId="0" applyFont="0" applyFill="0" applyBorder="0" applyAlignment="0" applyProtection="0"/>
    <xf numFmtId="0" fontId="3" fillId="0" borderId="0">
      <alignment horizontal="left" vertical="center" wrapText="1"/>
    </xf>
    <xf numFmtId="170" fontId="2" fillId="0" borderId="0" applyFont="0" applyFill="0" applyBorder="0" applyAlignment="0" applyProtection="0"/>
    <xf numFmtId="3" fontId="4" fillId="0" borderId="1" applyAlignment="0">
      <alignment horizontal="right" vertical="center"/>
    </xf>
    <xf numFmtId="165" fontId="4" fillId="0" borderId="1">
      <alignment horizontal="right" vertical="center"/>
    </xf>
    <xf numFmtId="49" fontId="5" fillId="0" borderId="1">
      <alignment horizontal="left" vertical="center"/>
    </xf>
    <xf numFmtId="167" fontId="6" fillId="0" borderId="1" applyNumberFormat="0" applyFill="0">
      <alignment horizontal="right"/>
    </xf>
    <xf numFmtId="168" fontId="6" fillId="0" borderId="1">
      <alignment horizontal="right"/>
    </xf>
    <xf numFmtId="0" fontId="2" fillId="0" borderId="0" applyFont="0" applyFill="0" applyBorder="0" applyAlignment="0" applyProtection="0"/>
    <xf numFmtId="2"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1">
      <alignment horizontal="left"/>
    </xf>
    <xf numFmtId="0" fontId="10" fillId="0" borderId="2">
      <alignment horizontal="right" vertical="center"/>
    </xf>
    <xf numFmtId="0" fontId="11" fillId="0" borderId="1">
      <alignment horizontal="left" vertical="center"/>
    </xf>
    <xf numFmtId="0" fontId="6"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3" fontId="4" fillId="0" borderId="0">
      <alignment horizontal="left" vertical="center"/>
    </xf>
    <xf numFmtId="0" fontId="1" fillId="0" borderId="0">
      <alignment horizontal="left" vertical="center"/>
    </xf>
    <xf numFmtId="0" fontId="7" fillId="0" borderId="0">
      <alignment horizontal="right"/>
    </xf>
    <xf numFmtId="49" fontId="7" fillId="0" borderId="0">
      <alignment horizontal="center"/>
    </xf>
    <xf numFmtId="0" fontId="5" fillId="0" borderId="0">
      <alignment horizontal="right"/>
    </xf>
    <xf numFmtId="0" fontId="7" fillId="0" borderId="0">
      <alignment horizontal="left"/>
    </xf>
    <xf numFmtId="49" fontId="4" fillId="0" borderId="0">
      <alignment horizontal="left" vertical="center"/>
    </xf>
    <xf numFmtId="49" fontId="5" fillId="0" borderId="1">
      <alignment horizontal="left" vertical="center"/>
    </xf>
    <xf numFmtId="49" fontId="1" fillId="0" borderId="1" applyFill="0">
      <alignment horizontal="left" vertical="center"/>
    </xf>
    <xf numFmtId="49" fontId="5" fillId="0" borderId="1">
      <alignment horizontal="left"/>
    </xf>
    <xf numFmtId="167" fontId="4" fillId="0" borderId="0" applyNumberFormat="0">
      <alignment horizontal="right"/>
    </xf>
    <xf numFmtId="0" fontId="10" fillId="3" borderId="0">
      <alignment horizontal="centerContinuous" vertical="center" wrapText="1"/>
    </xf>
    <xf numFmtId="0" fontId="10" fillId="0" borderId="4">
      <alignment horizontal="left" vertical="center"/>
    </xf>
    <xf numFmtId="0" fontId="13" fillId="0" borderId="0">
      <alignment horizontal="left" vertical="top"/>
    </xf>
    <xf numFmtId="0" fontId="12" fillId="0" borderId="0">
      <alignment horizontal="left"/>
    </xf>
    <xf numFmtId="0" fontId="3" fillId="0" borderId="0">
      <alignment horizontal="left"/>
    </xf>
    <xf numFmtId="0" fontId="6" fillId="0" borderId="0">
      <alignment horizontal="left"/>
    </xf>
    <xf numFmtId="0" fontId="13" fillId="0" borderId="0">
      <alignment horizontal="left" vertical="top"/>
    </xf>
    <xf numFmtId="0" fontId="3" fillId="0" borderId="0">
      <alignment horizontal="left"/>
    </xf>
    <xf numFmtId="0" fontId="6" fillId="0" borderId="0">
      <alignment horizontal="left"/>
    </xf>
    <xf numFmtId="0" fontId="2" fillId="0" borderId="5" applyNumberFormat="0" applyFont="0" applyFill="0" applyAlignment="0" applyProtection="0"/>
    <xf numFmtId="49" fontId="4" fillId="0" borderId="1">
      <alignment horizontal="left"/>
    </xf>
    <xf numFmtId="0" fontId="10" fillId="0" borderId="2">
      <alignment horizontal="left"/>
    </xf>
    <xf numFmtId="0" fontId="12" fillId="0" borderId="0">
      <alignment horizontal="left" vertical="center"/>
    </xf>
    <xf numFmtId="49" fontId="7" fillId="0" borderId="1">
      <alignment horizontal="left"/>
    </xf>
    <xf numFmtId="0" fontId="24" fillId="0" borderId="0"/>
    <xf numFmtId="43" fontId="25" fillId="0" borderId="0" applyFont="0" applyFill="0" applyBorder="0" applyAlignment="0" applyProtection="0"/>
  </cellStyleXfs>
  <cellXfs count="42">
    <xf numFmtId="0" fontId="0" fillId="0" borderId="0" xfId="0"/>
    <xf numFmtId="0" fontId="15" fillId="0" borderId="0" xfId="0" applyFont="1" applyFill="1"/>
    <xf numFmtId="0" fontId="16" fillId="0" borderId="6" xfId="0" applyFont="1" applyFill="1" applyBorder="1" applyAlignment="1">
      <alignment horizontal="center"/>
    </xf>
    <xf numFmtId="0" fontId="16" fillId="0" borderId="6" xfId="48" applyNumberFormat="1" applyFont="1" applyFill="1" applyBorder="1" applyAlignment="1">
      <alignment horizontal="center"/>
    </xf>
    <xf numFmtId="171" fontId="16" fillId="0" borderId="6" xfId="48" applyNumberFormat="1" applyFont="1" applyFill="1" applyBorder="1" applyAlignment="1">
      <alignment horizontal="center"/>
    </xf>
    <xf numFmtId="0" fontId="18" fillId="0" borderId="0" xfId="0" applyFont="1" applyFill="1"/>
    <xf numFmtId="0" fontId="16" fillId="0" borderId="0" xfId="0" applyFont="1" applyFill="1" applyAlignment="1">
      <alignment horizontal="left"/>
    </xf>
    <xf numFmtId="3" fontId="16" fillId="0" borderId="0" xfId="0" applyNumberFormat="1" applyFont="1" applyFill="1" applyAlignment="1">
      <alignment horizontal="right"/>
    </xf>
    <xf numFmtId="3" fontId="16" fillId="0" borderId="0" xfId="0" applyNumberFormat="1" applyFont="1" applyFill="1"/>
    <xf numFmtId="0" fontId="18" fillId="0" borderId="0" xfId="0" applyFont="1" applyFill="1" applyAlignment="1">
      <alignment horizontal="left" vertical="top" indent="1"/>
    </xf>
    <xf numFmtId="3" fontId="18" fillId="0" borderId="0" xfId="0" applyNumberFormat="1" applyFont="1" applyFill="1" applyAlignment="1">
      <alignment horizontal="right"/>
    </xf>
    <xf numFmtId="3" fontId="18" fillId="0" borderId="0" xfId="0" applyNumberFormat="1" applyFont="1" applyFill="1"/>
    <xf numFmtId="3" fontId="18" fillId="0" borderId="0" xfId="47" applyNumberFormat="1" applyFont="1" applyFill="1" applyAlignment="1">
      <alignment horizontal="right"/>
    </xf>
    <xf numFmtId="0" fontId="18" fillId="0" borderId="0" xfId="0" applyFont="1" applyFill="1" applyAlignment="1">
      <alignment horizontal="left" indent="1"/>
    </xf>
    <xf numFmtId="0" fontId="16" fillId="0" borderId="0" xfId="0" applyFont="1" applyFill="1"/>
    <xf numFmtId="166" fontId="18" fillId="0" borderId="0" xfId="47" applyNumberFormat="1" applyFont="1" applyFill="1" applyAlignment="1">
      <alignment horizontal="right"/>
    </xf>
    <xf numFmtId="0" fontId="16" fillId="0" borderId="0" xfId="0" applyFont="1" applyFill="1" applyAlignment="1">
      <alignment horizontal="left" vertical="top"/>
    </xf>
    <xf numFmtId="164" fontId="16" fillId="0" borderId="0" xfId="0" applyNumberFormat="1" applyFont="1" applyFill="1" applyAlignment="1">
      <alignment horizontal="right"/>
    </xf>
    <xf numFmtId="166" fontId="16" fillId="0" borderId="0" xfId="0" applyNumberFormat="1" applyFont="1" applyFill="1" applyAlignment="1">
      <alignment horizontal="right"/>
    </xf>
    <xf numFmtId="164" fontId="18" fillId="0" borderId="0" xfId="0" applyNumberFormat="1" applyFont="1" applyFill="1" applyAlignment="1">
      <alignment horizontal="right"/>
    </xf>
    <xf numFmtId="0" fontId="18" fillId="0" borderId="7" xfId="0" applyFont="1" applyFill="1" applyBorder="1" applyAlignment="1">
      <alignment horizontal="left" indent="1"/>
    </xf>
    <xf numFmtId="3" fontId="18" fillId="0" borderId="7" xfId="0" applyNumberFormat="1" applyFont="1" applyFill="1" applyBorder="1" applyAlignment="1">
      <alignment horizontal="right"/>
    </xf>
    <xf numFmtId="3" fontId="18" fillId="0" borderId="7" xfId="47" applyNumberFormat="1" applyFont="1" applyFill="1" applyBorder="1" applyAlignment="1">
      <alignment horizontal="right"/>
    </xf>
    <xf numFmtId="0" fontId="21" fillId="0" borderId="0" xfId="0" applyFont="1" applyFill="1"/>
    <xf numFmtId="0" fontId="21" fillId="0" borderId="0" xfId="0" applyFont="1" applyFill="1" applyAlignment="1">
      <alignment horizontal="left" wrapText="1"/>
    </xf>
    <xf numFmtId="0" fontId="21" fillId="0" borderId="0" xfId="0" applyFont="1" applyFill="1" applyAlignment="1">
      <alignment horizontal="left"/>
    </xf>
    <xf numFmtId="0" fontId="21" fillId="0" borderId="0" xfId="0" applyFont="1" applyFill="1" applyAlignment="1">
      <alignment horizontal="right" vertical="center"/>
    </xf>
    <xf numFmtId="49" fontId="21" fillId="0" borderId="0" xfId="0" applyNumberFormat="1" applyFont="1" applyFill="1" applyAlignment="1">
      <alignment horizontal="left" vertical="center"/>
    </xf>
    <xf numFmtId="0" fontId="23" fillId="0" borderId="0" xfId="0" applyFont="1" applyFill="1" applyAlignment="1">
      <alignment horizontal="left"/>
    </xf>
    <xf numFmtId="0" fontId="2" fillId="0" borderId="0" xfId="0" applyFont="1" applyFill="1"/>
    <xf numFmtId="0" fontId="2" fillId="0" borderId="0" xfId="0" applyFont="1" applyFill="1" applyAlignment="1">
      <alignment horizontal="right" vertical="center"/>
    </xf>
    <xf numFmtId="169" fontId="2" fillId="0" borderId="0" xfId="0" applyNumberFormat="1" applyFont="1" applyFill="1"/>
    <xf numFmtId="0" fontId="9" fillId="0" borderId="7" xfId="0" applyFont="1" applyFill="1" applyBorder="1" applyAlignment="1">
      <alignment horizontal="left" wrapText="1"/>
    </xf>
    <xf numFmtId="0" fontId="21" fillId="0" borderId="0" xfId="0" applyFont="1" applyFill="1" applyAlignment="1">
      <alignment horizontal="left" wrapText="1"/>
    </xf>
    <xf numFmtId="0" fontId="21" fillId="0" borderId="0" xfId="0" applyFont="1" applyFill="1" applyAlignment="1">
      <alignment horizontal="center" wrapText="1"/>
    </xf>
    <xf numFmtId="0" fontId="22" fillId="0" borderId="0" xfId="0" applyFont="1" applyFill="1" applyAlignment="1">
      <alignment horizontal="left" vertical="top"/>
    </xf>
    <xf numFmtId="0" fontId="21" fillId="0" borderId="0" xfId="0" applyFont="1" applyFill="1" applyAlignment="1">
      <alignment horizontal="left" vertical="top" wrapText="1"/>
    </xf>
    <xf numFmtId="0" fontId="22" fillId="0" borderId="8" xfId="0" applyFont="1" applyFill="1" applyBorder="1" applyAlignment="1">
      <alignment horizontal="left" wrapText="1"/>
    </xf>
    <xf numFmtId="0" fontId="22" fillId="0" borderId="0" xfId="0" applyFont="1" applyFill="1" applyAlignment="1">
      <alignment horizontal="center" wrapText="1"/>
    </xf>
    <xf numFmtId="0" fontId="20" fillId="0" borderId="0" xfId="0" applyFont="1" applyFill="1" applyAlignment="1">
      <alignment horizontal="left" vertical="top" wrapText="1"/>
    </xf>
    <xf numFmtId="0" fontId="20" fillId="0" borderId="0" xfId="0" applyFont="1" applyFill="1" applyAlignment="1">
      <alignment horizontal="center" vertical="top" wrapText="1"/>
    </xf>
    <xf numFmtId="0" fontId="21" fillId="0" borderId="0" xfId="0" applyFont="1" applyFill="1" applyAlignment="1">
      <alignment wrapText="1"/>
    </xf>
  </cellXfs>
  <cellStyles count="49">
    <cellStyle name="Column heading" xfId="1"/>
    <cellStyle name="Comma" xfId="48" builtinId="3"/>
    <cellStyle name="Comma0" xfId="2"/>
    <cellStyle name="Corner heading" xfId="3"/>
    <cellStyle name="Currency0" xfId="4"/>
    <cellStyle name="Data" xfId="5"/>
    <cellStyle name="Data no deci" xfId="6"/>
    <cellStyle name="Data Superscript" xfId="7"/>
    <cellStyle name="Data_1-1A-Regular" xfId="8"/>
    <cellStyle name="Data-one deci" xfId="9"/>
    <cellStyle name="Date" xfId="10"/>
    <cellStyle name="Fixed" xfId="11"/>
    <cellStyle name="Heading 1" xfId="12" builtinId="16" customBuiltin="1"/>
    <cellStyle name="Heading 2" xfId="13" builtinId="17" customBuiltin="1"/>
    <cellStyle name="Hed Side" xfId="14"/>
    <cellStyle name="Hed Side bold" xfId="15"/>
    <cellStyle name="Hed Side Indent" xfId="16"/>
    <cellStyle name="Hed Side Regular" xfId="17"/>
    <cellStyle name="Hed Side_1-1A-Regular" xfId="18"/>
    <cellStyle name="Hed Top" xfId="19"/>
    <cellStyle name="Hed Top - SECTION" xfId="20"/>
    <cellStyle name="Hed Top_3-new4" xfId="21"/>
    <cellStyle name="Normal" xfId="0" builtinId="0"/>
    <cellStyle name="Normal 2 2 2" xfId="47"/>
    <cellStyle name="Reference" xfId="22"/>
    <cellStyle name="Row heading" xfId="23"/>
    <cellStyle name="Source Hed" xfId="24"/>
    <cellStyle name="Source Letter" xfId="25"/>
    <cellStyle name="Source Superscript" xfId="26"/>
    <cellStyle name="Source Text" xfId="27"/>
    <cellStyle name="State" xfId="28"/>
    <cellStyle name="Superscript" xfId="29"/>
    <cellStyle name="Superscript- regular" xfId="30"/>
    <cellStyle name="Superscript_1-1A-Regular" xfId="31"/>
    <cellStyle name="Table Data" xfId="32"/>
    <cellStyle name="Table Head Top" xfId="33"/>
    <cellStyle name="Table Hed Side" xfId="34"/>
    <cellStyle name="Table Title" xfId="35"/>
    <cellStyle name="Title Text" xfId="36"/>
    <cellStyle name="Title Text 1" xfId="37"/>
    <cellStyle name="Title Text 2" xfId="38"/>
    <cellStyle name="Title-1" xfId="39"/>
    <cellStyle name="Title-2" xfId="40"/>
    <cellStyle name="Title-3" xfId="41"/>
    <cellStyle name="Total" xfId="42" builtinId="25" customBuiltin="1"/>
    <cellStyle name="Wrap" xfId="43"/>
    <cellStyle name="Wrap Bold" xfId="44"/>
    <cellStyle name="Wrap Title" xfId="45"/>
    <cellStyle name="Wrap_NTS99-~11" xfId="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90"/>
  <sheetViews>
    <sheetView tabSelected="1" zoomScaleNormal="100" zoomScaleSheetLayoutView="100" workbookViewId="0">
      <pane xSplit="1" ySplit="2" topLeftCell="B60" activePane="bottomRight" state="frozen"/>
      <selection pane="topRight" activeCell="B1" sqref="B1"/>
      <selection pane="bottomLeft" activeCell="A3" sqref="A3"/>
      <selection pane="bottomRight" activeCell="A74" sqref="A74:P74"/>
    </sheetView>
  </sheetViews>
  <sheetFormatPr defaultColWidth="9.140625" defaultRowHeight="12.75" x14ac:dyDescent="0.2"/>
  <cols>
    <col min="1" max="1" width="33.7109375" style="29" customWidth="1"/>
    <col min="2" max="10" width="6.7109375" style="29" customWidth="1"/>
    <col min="11" max="11" width="6.7109375" style="30" customWidth="1"/>
    <col min="12" max="29" width="6.7109375" style="29" customWidth="1"/>
    <col min="30" max="30" width="7.7109375" style="29" bestFit="1" customWidth="1"/>
    <col min="31" max="16384" width="9.140625" style="29"/>
  </cols>
  <sheetData>
    <row r="1" spans="1:30" s="1" customFormat="1" ht="16.5" customHeight="1" thickBot="1" x14ac:dyDescent="0.3">
      <c r="A1" s="32" t="s">
        <v>26</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row>
    <row r="2" spans="1:30" s="5" customFormat="1" ht="16.5" customHeight="1" x14ac:dyDescent="0.3">
      <c r="A2" s="2"/>
      <c r="B2" s="2">
        <v>1990</v>
      </c>
      <c r="C2" s="2">
        <v>1991</v>
      </c>
      <c r="D2" s="2">
        <v>1992</v>
      </c>
      <c r="E2" s="2">
        <v>1993</v>
      </c>
      <c r="F2" s="2">
        <v>1994</v>
      </c>
      <c r="G2" s="2">
        <v>1995</v>
      </c>
      <c r="H2" s="2">
        <v>1996</v>
      </c>
      <c r="I2" s="2">
        <v>1997</v>
      </c>
      <c r="J2" s="2">
        <v>1998</v>
      </c>
      <c r="K2" s="2">
        <v>1999</v>
      </c>
      <c r="L2" s="2">
        <v>2000</v>
      </c>
      <c r="M2" s="2">
        <v>2001</v>
      </c>
      <c r="N2" s="2">
        <v>2002</v>
      </c>
      <c r="O2" s="2">
        <v>2003</v>
      </c>
      <c r="P2" s="2">
        <v>2004</v>
      </c>
      <c r="Q2" s="2">
        <v>2005</v>
      </c>
      <c r="R2" s="2">
        <v>2006</v>
      </c>
      <c r="S2" s="2">
        <v>2007</v>
      </c>
      <c r="T2" s="2">
        <v>2008</v>
      </c>
      <c r="U2" s="2">
        <v>2009</v>
      </c>
      <c r="V2" s="2">
        <v>2010</v>
      </c>
      <c r="W2" s="2">
        <v>2011</v>
      </c>
      <c r="X2" s="2">
        <v>2012</v>
      </c>
      <c r="Y2" s="3">
        <v>2013</v>
      </c>
      <c r="Z2" s="3">
        <v>2014</v>
      </c>
      <c r="AA2" s="3">
        <v>2015</v>
      </c>
      <c r="AB2" s="3">
        <v>2016</v>
      </c>
      <c r="AC2" s="3">
        <v>2017</v>
      </c>
      <c r="AD2" s="4">
        <v>2018</v>
      </c>
    </row>
    <row r="3" spans="1:30" s="5" customFormat="1" ht="16.5" customHeight="1" x14ac:dyDescent="0.3">
      <c r="A3" s="6" t="s">
        <v>10</v>
      </c>
      <c r="B3" s="7">
        <f t="shared" ref="B3:O3" si="0">+SUM(B4:B10)</f>
        <v>212</v>
      </c>
      <c r="C3" s="7">
        <f t="shared" si="0"/>
        <v>215</v>
      </c>
      <c r="D3" s="7">
        <f t="shared" si="0"/>
        <v>173</v>
      </c>
      <c r="E3" s="7">
        <f t="shared" si="0"/>
        <v>191</v>
      </c>
      <c r="F3" s="7">
        <f t="shared" si="0"/>
        <v>225</v>
      </c>
      <c r="G3" s="7">
        <f t="shared" si="0"/>
        <v>179</v>
      </c>
      <c r="H3" s="7">
        <f t="shared" si="0"/>
        <v>152</v>
      </c>
      <c r="I3" s="7">
        <f t="shared" si="0"/>
        <v>185</v>
      </c>
      <c r="J3" s="7">
        <f t="shared" si="0"/>
        <v>192</v>
      </c>
      <c r="K3" s="7">
        <f t="shared" si="0"/>
        <v>190</v>
      </c>
      <c r="L3" s="7">
        <f t="shared" si="0"/>
        <v>183</v>
      </c>
      <c r="M3" s="7">
        <f t="shared" si="0"/>
        <v>197</v>
      </c>
      <c r="N3" s="7">
        <f t="shared" si="0"/>
        <v>109</v>
      </c>
      <c r="O3" s="7">
        <f t="shared" si="0"/>
        <v>120</v>
      </c>
      <c r="P3" s="7">
        <f>+SUM(P4:P10)</f>
        <v>111</v>
      </c>
      <c r="Q3" s="7">
        <v>106</v>
      </c>
      <c r="R3" s="7">
        <v>121</v>
      </c>
      <c r="S3" s="7">
        <v>149</v>
      </c>
      <c r="T3" s="7">
        <v>144</v>
      </c>
      <c r="U3" s="8">
        <f>SUM(U4:U10)</f>
        <v>155</v>
      </c>
      <c r="V3" s="8">
        <f>SUM(V4:V10)</f>
        <v>139</v>
      </c>
      <c r="W3" s="8">
        <f t="shared" ref="W3:AD3" si="1">SUM(W4:W10)</f>
        <v>126</v>
      </c>
      <c r="X3" s="8">
        <f t="shared" si="1"/>
        <v>157</v>
      </c>
      <c r="Y3" s="8">
        <f t="shared" si="1"/>
        <v>174</v>
      </c>
      <c r="Z3" s="8">
        <f t="shared" si="1"/>
        <v>156</v>
      </c>
      <c r="AA3" s="8">
        <f t="shared" si="1"/>
        <v>168</v>
      </c>
      <c r="AB3" s="8">
        <f t="shared" si="1"/>
        <v>155</v>
      </c>
      <c r="AC3" s="8">
        <f t="shared" si="1"/>
        <v>151</v>
      </c>
      <c r="AD3" s="8">
        <f t="shared" si="1"/>
        <v>167</v>
      </c>
    </row>
    <row r="4" spans="1:30" s="5" customFormat="1" ht="16.5" customHeight="1" x14ac:dyDescent="0.3">
      <c r="A4" s="9" t="s">
        <v>13</v>
      </c>
      <c r="B4" s="10">
        <f>26+11+10+22+3+16+4</f>
        <v>92</v>
      </c>
      <c r="C4" s="10">
        <f>25+6+14+10+2+25-2</f>
        <v>80</v>
      </c>
      <c r="D4" s="10">
        <f>26+21+5+28+11+2-2</f>
        <v>91</v>
      </c>
      <c r="E4" s="10">
        <f>25+18+4+1+21+9+1</f>
        <v>79</v>
      </c>
      <c r="F4" s="10">
        <f>16+27+4+1+24+19+6-7</f>
        <v>90</v>
      </c>
      <c r="G4" s="10">
        <v>69</v>
      </c>
      <c r="H4" s="10">
        <f>17+21+5+4+16+16+4+-1</f>
        <v>82</v>
      </c>
      <c r="I4" s="10">
        <f>6+3+1+2+6+44+28+11-1</f>
        <v>100</v>
      </c>
      <c r="J4" s="10">
        <f>1+5+2+1+40+22+21-2</f>
        <v>90</v>
      </c>
      <c r="K4" s="10">
        <f>2+3+2+2+46+22+14-1+1</f>
        <v>91</v>
      </c>
      <c r="L4" s="10">
        <f>6+2+1+2+1+43+19+8-1+1</f>
        <v>82</v>
      </c>
      <c r="M4" s="10">
        <v>89</v>
      </c>
      <c r="N4" s="10">
        <v>64</v>
      </c>
      <c r="O4" s="10">
        <v>73</v>
      </c>
      <c r="P4" s="10">
        <v>61</v>
      </c>
      <c r="Q4" s="10">
        <v>49</v>
      </c>
      <c r="R4" s="10">
        <v>76</v>
      </c>
      <c r="S4" s="10">
        <v>76</v>
      </c>
      <c r="T4" s="11">
        <v>63</v>
      </c>
      <c r="U4" s="12">
        <v>54</v>
      </c>
      <c r="V4" s="12">
        <v>64</v>
      </c>
      <c r="W4" s="12">
        <v>69</v>
      </c>
      <c r="X4" s="12">
        <v>68</v>
      </c>
      <c r="Y4" s="12">
        <v>73</v>
      </c>
      <c r="Z4" s="12">
        <v>72</v>
      </c>
      <c r="AA4" s="12">
        <v>82</v>
      </c>
      <c r="AB4" s="12">
        <v>80</v>
      </c>
      <c r="AC4" s="12">
        <v>74</v>
      </c>
      <c r="AD4" s="12">
        <v>67</v>
      </c>
    </row>
    <row r="5" spans="1:30" s="5" customFormat="1" ht="16.5" customHeight="1" x14ac:dyDescent="0.3">
      <c r="A5" s="13" t="s">
        <v>0</v>
      </c>
      <c r="B5" s="10">
        <v>5</v>
      </c>
      <c r="C5" s="10">
        <v>11</v>
      </c>
      <c r="D5" s="10">
        <v>6</v>
      </c>
      <c r="E5" s="10">
        <v>14</v>
      </c>
      <c r="F5" s="10">
        <v>10</v>
      </c>
      <c r="G5" s="10">
        <v>10</v>
      </c>
      <c r="H5" s="10">
        <v>5</v>
      </c>
      <c r="I5" s="10">
        <v>3</v>
      </c>
      <c r="J5" s="10">
        <f>22-8</f>
        <v>14</v>
      </c>
      <c r="K5" s="10">
        <f>2+3+12-4</f>
        <v>13</v>
      </c>
      <c r="L5" s="10">
        <f>6+24-1-7</f>
        <v>22</v>
      </c>
      <c r="M5" s="10">
        <v>15</v>
      </c>
      <c r="N5" s="10">
        <v>8</v>
      </c>
      <c r="O5" s="10">
        <v>13</v>
      </c>
      <c r="P5" s="10">
        <v>14</v>
      </c>
      <c r="Q5" s="10">
        <v>15</v>
      </c>
      <c r="R5" s="10">
        <v>11</v>
      </c>
      <c r="S5" s="10">
        <v>18</v>
      </c>
      <c r="T5" s="11">
        <v>14</v>
      </c>
      <c r="U5" s="12">
        <v>27</v>
      </c>
      <c r="V5" s="12">
        <v>17</v>
      </c>
      <c r="W5" s="12">
        <v>20</v>
      </c>
      <c r="X5" s="12">
        <v>28</v>
      </c>
      <c r="Y5" s="12">
        <v>19</v>
      </c>
      <c r="Z5" s="12">
        <v>28</v>
      </c>
      <c r="AA5" s="12">
        <v>30</v>
      </c>
      <c r="AB5" s="12">
        <v>14</v>
      </c>
      <c r="AC5" s="12">
        <v>25</v>
      </c>
      <c r="AD5" s="12">
        <v>30</v>
      </c>
    </row>
    <row r="6" spans="1:30" s="5" customFormat="1" ht="16.5" customHeight="1" x14ac:dyDescent="0.3">
      <c r="A6" s="13" t="s">
        <v>1</v>
      </c>
      <c r="B6" s="10">
        <v>51</v>
      </c>
      <c r="C6" s="10">
        <v>59</v>
      </c>
      <c r="D6" s="10">
        <f>75-42</f>
        <v>33</v>
      </c>
      <c r="E6" s="10">
        <v>37</v>
      </c>
      <c r="F6" s="10">
        <v>41</v>
      </c>
      <c r="G6" s="10">
        <v>43</v>
      </c>
      <c r="H6" s="10">
        <f>63-31</f>
        <v>32</v>
      </c>
      <c r="I6" s="10">
        <f>56+3+5-34-2</f>
        <v>28</v>
      </c>
      <c r="J6" s="10">
        <f>31-15+10-8</f>
        <v>18</v>
      </c>
      <c r="K6" s="10">
        <f>55+3-34-3</f>
        <v>21</v>
      </c>
      <c r="L6" s="10">
        <f>50+1+7-34-5</f>
        <v>19</v>
      </c>
      <c r="M6" s="10">
        <v>26</v>
      </c>
      <c r="N6" s="10">
        <v>30</v>
      </c>
      <c r="O6" s="10">
        <v>17</v>
      </c>
      <c r="P6" s="10">
        <v>15</v>
      </c>
      <c r="Q6" s="10">
        <v>7</v>
      </c>
      <c r="R6" s="10">
        <v>12</v>
      </c>
      <c r="S6" s="10">
        <v>25</v>
      </c>
      <c r="T6" s="11">
        <v>31</v>
      </c>
      <c r="U6" s="12">
        <v>50</v>
      </c>
      <c r="V6" s="12">
        <v>40</v>
      </c>
      <c r="W6" s="12">
        <v>25</v>
      </c>
      <c r="X6" s="12">
        <v>37</v>
      </c>
      <c r="Y6" s="12">
        <v>33</v>
      </c>
      <c r="Z6" s="12">
        <v>31</v>
      </c>
      <c r="AA6" s="12">
        <v>31</v>
      </c>
      <c r="AB6" s="12">
        <v>25</v>
      </c>
      <c r="AC6" s="12">
        <v>23</v>
      </c>
      <c r="AD6" s="12">
        <v>41</v>
      </c>
    </row>
    <row r="7" spans="1:30" s="5" customFormat="1" ht="16.5" customHeight="1" x14ac:dyDescent="0.3">
      <c r="A7" s="13" t="s">
        <v>2</v>
      </c>
      <c r="B7" s="10">
        <v>63</v>
      </c>
      <c r="C7" s="10">
        <f>5+6+1+73-22</f>
        <v>63</v>
      </c>
      <c r="D7" s="10">
        <v>43</v>
      </c>
      <c r="E7" s="10">
        <v>59</v>
      </c>
      <c r="F7" s="10">
        <v>82</v>
      </c>
      <c r="G7" s="10">
        <v>56</v>
      </c>
      <c r="H7" s="10">
        <f>50-23+3</f>
        <v>30</v>
      </c>
      <c r="I7" s="10">
        <f>2+69-19</f>
        <v>52</v>
      </c>
      <c r="J7" s="10">
        <f>12+2+79-26</f>
        <v>67</v>
      </c>
      <c r="K7" s="10">
        <f>2+92-30</f>
        <v>64</v>
      </c>
      <c r="L7" s="10">
        <f>85-29</f>
        <v>56</v>
      </c>
      <c r="M7" s="10">
        <v>64</v>
      </c>
      <c r="N7" s="10">
        <v>7</v>
      </c>
      <c r="O7" s="10">
        <v>16</v>
      </c>
      <c r="P7" s="10">
        <v>18</v>
      </c>
      <c r="Q7" s="10">
        <v>28</v>
      </c>
      <c r="R7" s="10">
        <v>14</v>
      </c>
      <c r="S7" s="10">
        <v>22</v>
      </c>
      <c r="T7" s="11">
        <v>33</v>
      </c>
      <c r="U7" s="12">
        <v>17</v>
      </c>
      <c r="V7" s="12">
        <v>14</v>
      </c>
      <c r="W7" s="12">
        <v>11</v>
      </c>
      <c r="X7" s="12">
        <v>18</v>
      </c>
      <c r="Y7" s="12">
        <v>37</v>
      </c>
      <c r="Z7" s="12">
        <v>16</v>
      </c>
      <c r="AA7" s="12">
        <v>22</v>
      </c>
      <c r="AB7" s="12">
        <v>30</v>
      </c>
      <c r="AC7" s="12">
        <v>23</v>
      </c>
      <c r="AD7" s="12">
        <v>27</v>
      </c>
    </row>
    <row r="8" spans="1:30" s="5" customFormat="1" ht="16.5" customHeight="1" x14ac:dyDescent="0.3">
      <c r="A8" s="13" t="s">
        <v>6</v>
      </c>
      <c r="B8" s="10">
        <v>0</v>
      </c>
      <c r="C8" s="10">
        <v>2</v>
      </c>
      <c r="D8" s="10">
        <v>0</v>
      </c>
      <c r="E8" s="10">
        <v>2</v>
      </c>
      <c r="F8" s="10">
        <v>2</v>
      </c>
      <c r="G8" s="10">
        <v>1</v>
      </c>
      <c r="H8" s="10">
        <v>3</v>
      </c>
      <c r="I8" s="10">
        <f>1+1</f>
        <v>2</v>
      </c>
      <c r="J8" s="10">
        <v>2</v>
      </c>
      <c r="K8" s="10">
        <v>1</v>
      </c>
      <c r="L8" s="10">
        <f>1+3</f>
        <v>4</v>
      </c>
      <c r="M8" s="10">
        <v>3</v>
      </c>
      <c r="N8" s="10">
        <v>0</v>
      </c>
      <c r="O8" s="10">
        <v>1</v>
      </c>
      <c r="P8" s="10">
        <v>0</v>
      </c>
      <c r="Q8" s="10">
        <v>7</v>
      </c>
      <c r="R8" s="10">
        <v>7</v>
      </c>
      <c r="S8" s="10">
        <v>8</v>
      </c>
      <c r="T8" s="11">
        <v>3</v>
      </c>
      <c r="U8" s="12">
        <v>2</v>
      </c>
      <c r="V8" s="12">
        <v>3</v>
      </c>
      <c r="W8" s="12">
        <v>1</v>
      </c>
      <c r="X8" s="12">
        <v>5</v>
      </c>
      <c r="Y8" s="12">
        <v>9</v>
      </c>
      <c r="Z8" s="12">
        <v>8</v>
      </c>
      <c r="AA8" s="12">
        <v>3</v>
      </c>
      <c r="AB8" s="12">
        <v>5</v>
      </c>
      <c r="AC8" s="12">
        <v>6</v>
      </c>
      <c r="AD8" s="12">
        <v>2</v>
      </c>
    </row>
    <row r="9" spans="1:30" s="5" customFormat="1" ht="16.5" customHeight="1" x14ac:dyDescent="0.3">
      <c r="A9" s="13" t="s">
        <v>4</v>
      </c>
      <c r="B9" s="10">
        <v>0</v>
      </c>
      <c r="C9" s="10">
        <v>0</v>
      </c>
      <c r="D9" s="10">
        <v>0</v>
      </c>
      <c r="E9" s="10">
        <v>0</v>
      </c>
      <c r="F9" s="10">
        <v>0</v>
      </c>
      <c r="G9" s="10">
        <v>0</v>
      </c>
      <c r="H9" s="10">
        <v>0</v>
      </c>
      <c r="I9" s="10">
        <v>0</v>
      </c>
      <c r="J9" s="10">
        <v>0</v>
      </c>
      <c r="K9" s="10">
        <v>0</v>
      </c>
      <c r="L9" s="10">
        <v>0</v>
      </c>
      <c r="M9" s="10">
        <v>0</v>
      </c>
      <c r="N9" s="10">
        <v>0</v>
      </c>
      <c r="O9" s="10">
        <v>0</v>
      </c>
      <c r="P9" s="10">
        <v>3</v>
      </c>
      <c r="Q9" s="10">
        <v>0</v>
      </c>
      <c r="R9" s="10">
        <v>1</v>
      </c>
      <c r="S9" s="10">
        <v>0</v>
      </c>
      <c r="T9" s="11">
        <v>0</v>
      </c>
      <c r="U9" s="12">
        <v>4</v>
      </c>
      <c r="V9" s="12">
        <v>1</v>
      </c>
      <c r="W9" s="12">
        <v>0</v>
      </c>
      <c r="X9" s="12">
        <v>1</v>
      </c>
      <c r="Y9" s="12">
        <v>2</v>
      </c>
      <c r="Z9" s="12">
        <v>0</v>
      </c>
      <c r="AA9" s="12">
        <v>0</v>
      </c>
      <c r="AB9" s="12">
        <v>0</v>
      </c>
      <c r="AC9" s="12">
        <v>0</v>
      </c>
      <c r="AD9" s="12">
        <v>0</v>
      </c>
    </row>
    <row r="10" spans="1:30" s="5" customFormat="1" ht="16.5" customHeight="1" x14ac:dyDescent="0.3">
      <c r="A10" s="13" t="s">
        <v>5</v>
      </c>
      <c r="B10" s="10">
        <v>1</v>
      </c>
      <c r="C10" s="10">
        <v>0</v>
      </c>
      <c r="D10" s="10">
        <v>0</v>
      </c>
      <c r="E10" s="10">
        <v>0</v>
      </c>
      <c r="F10" s="10">
        <v>0</v>
      </c>
      <c r="G10" s="10">
        <v>0</v>
      </c>
      <c r="H10" s="10">
        <v>0</v>
      </c>
      <c r="I10" s="10">
        <v>0</v>
      </c>
      <c r="J10" s="10">
        <v>1</v>
      </c>
      <c r="K10" s="10">
        <v>0</v>
      </c>
      <c r="L10" s="10">
        <v>0</v>
      </c>
      <c r="M10" s="10">
        <v>0</v>
      </c>
      <c r="N10" s="10">
        <v>0</v>
      </c>
      <c r="O10" s="10">
        <v>0</v>
      </c>
      <c r="P10" s="10">
        <v>0</v>
      </c>
      <c r="Q10" s="10">
        <v>0</v>
      </c>
      <c r="R10" s="10">
        <v>0</v>
      </c>
      <c r="S10" s="10">
        <v>0</v>
      </c>
      <c r="T10" s="11">
        <v>0</v>
      </c>
      <c r="U10" s="12">
        <v>1</v>
      </c>
      <c r="V10" s="12">
        <v>0</v>
      </c>
      <c r="W10" s="12">
        <v>0</v>
      </c>
      <c r="X10" s="12">
        <v>0</v>
      </c>
      <c r="Y10" s="12">
        <v>1</v>
      </c>
      <c r="Z10" s="12">
        <v>1</v>
      </c>
      <c r="AA10" s="12">
        <v>0</v>
      </c>
      <c r="AB10" s="12">
        <v>1</v>
      </c>
      <c r="AC10" s="12">
        <v>0</v>
      </c>
      <c r="AD10" s="12">
        <v>0</v>
      </c>
    </row>
    <row r="11" spans="1:30" s="5" customFormat="1" ht="16.5" customHeight="1" x14ac:dyDescent="0.3">
      <c r="A11" s="14" t="s">
        <v>15</v>
      </c>
      <c r="B11" s="7">
        <f>+SUM(B12:B18)</f>
        <v>20023</v>
      </c>
      <c r="C11" s="7">
        <f t="shared" ref="C11:O11" si="2">+SUM(C12:C18)</f>
        <v>20594</v>
      </c>
      <c r="D11" s="7">
        <f t="shared" si="2"/>
        <v>21653</v>
      </c>
      <c r="E11" s="7">
        <f t="shared" si="2"/>
        <v>22081</v>
      </c>
      <c r="F11" s="7">
        <f t="shared" si="2"/>
        <v>20939</v>
      </c>
      <c r="G11" s="7">
        <f t="shared" si="2"/>
        <v>22159</v>
      </c>
      <c r="H11" s="7">
        <f t="shared" si="2"/>
        <v>22950</v>
      </c>
      <c r="I11" s="7">
        <f t="shared" si="2"/>
        <v>21452</v>
      </c>
      <c r="J11" s="7">
        <f t="shared" si="2"/>
        <v>21341</v>
      </c>
      <c r="K11" s="7">
        <f t="shared" si="2"/>
        <v>21727</v>
      </c>
      <c r="L11" s="7">
        <f t="shared" si="2"/>
        <v>22140</v>
      </c>
      <c r="M11" s="7">
        <f t="shared" si="2"/>
        <v>21260</v>
      </c>
      <c r="N11" s="7">
        <f t="shared" si="2"/>
        <v>7771</v>
      </c>
      <c r="O11" s="7">
        <f t="shared" si="2"/>
        <v>10271</v>
      </c>
      <c r="P11" s="7">
        <f>+SUM(P12:P18)</f>
        <v>7829</v>
      </c>
      <c r="Q11" s="7">
        <v>8102</v>
      </c>
      <c r="R11" s="7">
        <v>8062</v>
      </c>
      <c r="S11" s="7">
        <v>8719</v>
      </c>
      <c r="T11" s="7">
        <v>6576</v>
      </c>
      <c r="U11" s="8">
        <f>SUM(U12:U18)</f>
        <v>6599</v>
      </c>
      <c r="V11" s="8">
        <f>SUM(V12:V18)</f>
        <v>6862</v>
      </c>
      <c r="W11" s="8">
        <f t="shared" ref="W11:AD11" si="3">SUM(W12:W18)</f>
        <v>6962</v>
      </c>
      <c r="X11" s="8">
        <f t="shared" si="3"/>
        <v>6711</v>
      </c>
      <c r="Y11" s="8">
        <f t="shared" si="3"/>
        <v>8643</v>
      </c>
      <c r="Z11" s="8">
        <f t="shared" si="3"/>
        <v>8785</v>
      </c>
      <c r="AA11" s="8">
        <f t="shared" si="3"/>
        <v>9000</v>
      </c>
      <c r="AB11" s="8">
        <f t="shared" si="3"/>
        <v>8898</v>
      </c>
      <c r="AC11" s="8">
        <f t="shared" si="3"/>
        <v>8518</v>
      </c>
      <c r="AD11" s="8">
        <f t="shared" si="3"/>
        <v>8041</v>
      </c>
    </row>
    <row r="12" spans="1:30" s="5" customFormat="1" ht="16.5" customHeight="1" x14ac:dyDescent="0.3">
      <c r="A12" s="9" t="s">
        <v>13</v>
      </c>
      <c r="B12" s="10">
        <f>10496+1286+4928+323+133+492+310+77+783+24+9+19-4</f>
        <v>18876</v>
      </c>
      <c r="C12" s="10">
        <f>10950+1325+4570+486+78+201+918+87+382-1+20</f>
        <v>19016</v>
      </c>
      <c r="D12" s="10">
        <f>13028+4406+1430+374+232+65+666+261+62-2-1+27+6+2</f>
        <v>20556</v>
      </c>
      <c r="E12" s="10">
        <f>12973+4151+1679+703+316+53+636+228+63-1+34+22+5</f>
        <v>20862</v>
      </c>
      <c r="F12" s="10">
        <f>11548+4316+1370+717+361+37+820+313+57-4+93+23+12</f>
        <v>19663</v>
      </c>
      <c r="G12" s="10">
        <f>8154+3209+1341+1596+778+230+2975+732+190+359+171+27+59+52+20+22+9+8+60+101+28+46+22+1+489+117+23-3+44+10+9</f>
        <v>20879</v>
      </c>
      <c r="H12" s="10">
        <f>12802+4974+1453+694+219+58+596+228+47+79+3+2+33+13+21</f>
        <v>21222</v>
      </c>
      <c r="I12" s="10">
        <f>8295+3536+872+1590+722+170+3697+924+228+66+1+12+21+3+2+7+1-1-1</f>
        <v>20145</v>
      </c>
      <c r="J12" s="10">
        <v>20136</v>
      </c>
      <c r="K12" s="10">
        <f>8348+3268+982+1460+671+166+4113+1037+199-1+14+5+18+1+1+7+1+1</f>
        <v>20291</v>
      </c>
      <c r="L12" s="10">
        <f>8316+2503+881+1774+536+183+5023+861+200-1+21+2+23+3+2+2</f>
        <v>20329</v>
      </c>
      <c r="M12" s="10">
        <v>19532</v>
      </c>
      <c r="N12" s="10">
        <v>7211</v>
      </c>
      <c r="O12" s="10">
        <v>8905</v>
      </c>
      <c r="P12" s="10">
        <v>7164</v>
      </c>
      <c r="Q12" s="10">
        <v>7187</v>
      </c>
      <c r="R12" s="10">
        <v>7186</v>
      </c>
      <c r="S12" s="10">
        <v>7775</v>
      </c>
      <c r="T12" s="11">
        <v>5805</v>
      </c>
      <c r="U12" s="12">
        <v>5739</v>
      </c>
      <c r="V12" s="12">
        <v>6272</v>
      </c>
      <c r="W12" s="12">
        <v>6330</v>
      </c>
      <c r="X12" s="12">
        <v>6037</v>
      </c>
      <c r="Y12" s="12">
        <v>7173</v>
      </c>
      <c r="Z12" s="12">
        <v>7339</v>
      </c>
      <c r="AA12" s="12">
        <v>7523</v>
      </c>
      <c r="AB12" s="12">
        <v>7235</v>
      </c>
      <c r="AC12" s="12">
        <v>6855</v>
      </c>
      <c r="AD12" s="12">
        <v>6703</v>
      </c>
    </row>
    <row r="13" spans="1:30" s="5" customFormat="1" ht="16.5" customHeight="1" x14ac:dyDescent="0.3">
      <c r="A13" s="13" t="s">
        <v>0</v>
      </c>
      <c r="B13" s="10">
        <f>393+13+57+2</f>
        <v>465</v>
      </c>
      <c r="C13" s="10">
        <f>363+36+63+12</f>
        <v>474</v>
      </c>
      <c r="D13" s="10">
        <f>398+3+62+5</f>
        <v>468</v>
      </c>
      <c r="E13" s="10">
        <f>305+7+51-4+2</f>
        <v>361</v>
      </c>
      <c r="F13" s="10">
        <f>232+3+67+25</f>
        <v>327</v>
      </c>
      <c r="G13" s="10">
        <f>205+4+23+37+0+11+46+1+26+4-2</f>
        <v>355</v>
      </c>
      <c r="H13" s="10">
        <f>581+15+44+29+11</f>
        <v>680</v>
      </c>
      <c r="I13" s="10">
        <f>192+50+74+4</f>
        <v>320</v>
      </c>
      <c r="J13" s="10">
        <f>199+62+71</f>
        <v>332</v>
      </c>
      <c r="K13" s="10">
        <f>255+40+109+17+6</f>
        <v>427</v>
      </c>
      <c r="L13" s="10">
        <f>157+61+142-1+52+1+3</f>
        <v>415</v>
      </c>
      <c r="M13" s="10">
        <v>305</v>
      </c>
      <c r="N13" s="10">
        <v>177</v>
      </c>
      <c r="O13" s="10">
        <v>192</v>
      </c>
      <c r="P13" s="10">
        <v>245</v>
      </c>
      <c r="Q13" s="10">
        <v>268</v>
      </c>
      <c r="R13" s="10">
        <v>255</v>
      </c>
      <c r="S13" s="10">
        <v>373</v>
      </c>
      <c r="T13" s="11">
        <v>269</v>
      </c>
      <c r="U13" s="12">
        <v>293</v>
      </c>
      <c r="V13" s="12">
        <v>288</v>
      </c>
      <c r="W13" s="12">
        <v>314</v>
      </c>
      <c r="X13" s="12">
        <v>320</v>
      </c>
      <c r="Y13" s="12">
        <v>171</v>
      </c>
      <c r="Z13" s="12">
        <v>270</v>
      </c>
      <c r="AA13" s="12">
        <v>249</v>
      </c>
      <c r="AB13" s="12">
        <v>252</v>
      </c>
      <c r="AC13" s="12">
        <v>383</v>
      </c>
      <c r="AD13" s="12">
        <v>254</v>
      </c>
    </row>
    <row r="14" spans="1:30" s="5" customFormat="1" ht="16.5" customHeight="1" x14ac:dyDescent="0.3">
      <c r="A14" s="13" t="s">
        <v>1</v>
      </c>
      <c r="B14" s="10">
        <f>76+5+91-30+154</f>
        <v>296</v>
      </c>
      <c r="C14" s="10">
        <f>45+113-28+178</f>
        <v>308</v>
      </c>
      <c r="D14" s="10">
        <f>126+14+161-29+1</f>
        <v>273</v>
      </c>
      <c r="E14" s="10">
        <f>192+13+189-32+3</f>
        <v>365</v>
      </c>
      <c r="F14" s="10">
        <f>116+31+165-24+21</f>
        <v>309</v>
      </c>
      <c r="G14" s="10">
        <f>5+6+83+110+28+77+53+6+3-23</f>
        <v>348</v>
      </c>
      <c r="H14" s="10">
        <f>92+37+212-26+114+2</f>
        <v>431</v>
      </c>
      <c r="I14" s="10">
        <f>151+160+17+18+2-12</f>
        <v>336</v>
      </c>
      <c r="J14" s="10">
        <f>83-18+159-6+10+32+1</f>
        <v>261</v>
      </c>
      <c r="K14" s="10">
        <f>113-34+190+16-3+4</f>
        <v>286</v>
      </c>
      <c r="L14" s="10">
        <f>118+180+20-19-3+121+8</f>
        <v>425</v>
      </c>
      <c r="M14" s="10">
        <v>598</v>
      </c>
      <c r="N14" s="10">
        <v>90</v>
      </c>
      <c r="O14" s="10">
        <v>218</v>
      </c>
      <c r="P14" s="10">
        <v>158</v>
      </c>
      <c r="Q14" s="10">
        <v>86</v>
      </c>
      <c r="R14" s="10">
        <v>94</v>
      </c>
      <c r="S14" s="10">
        <v>102</v>
      </c>
      <c r="T14" s="11">
        <v>62</v>
      </c>
      <c r="U14" s="12">
        <v>127</v>
      </c>
      <c r="V14" s="12">
        <v>80</v>
      </c>
      <c r="W14" s="12">
        <v>83</v>
      </c>
      <c r="X14" s="12">
        <v>110</v>
      </c>
      <c r="Y14" s="12">
        <v>112</v>
      </c>
      <c r="Z14" s="12">
        <v>128</v>
      </c>
      <c r="AA14" s="12">
        <v>107</v>
      </c>
      <c r="AB14" s="12">
        <v>109</v>
      </c>
      <c r="AC14" s="12">
        <v>211</v>
      </c>
      <c r="AD14" s="12">
        <v>132</v>
      </c>
    </row>
    <row r="15" spans="1:30" s="5" customFormat="1" ht="16.5" customHeight="1" x14ac:dyDescent="0.3">
      <c r="A15" s="13" t="s">
        <v>2</v>
      </c>
      <c r="B15" s="10">
        <f>28+3+51-6+8</f>
        <v>84</v>
      </c>
      <c r="C15" s="10">
        <f>492+5+57+6</f>
        <v>560</v>
      </c>
      <c r="D15" s="10">
        <f>62+3+41+4</f>
        <v>110</v>
      </c>
      <c r="E15" s="10">
        <f>148+12+50+0</f>
        <v>210</v>
      </c>
      <c r="F15" s="10">
        <f>147+26+22-3+24</f>
        <v>216</v>
      </c>
      <c r="G15" s="10">
        <f>42+2+9+21+2+16+45+14+10-2</f>
        <v>159</v>
      </c>
      <c r="H15" s="10">
        <f>39+27+30-3+109+11</f>
        <v>213</v>
      </c>
      <c r="I15" s="10">
        <f>17+17+56-11+16+4</f>
        <v>99</v>
      </c>
      <c r="J15" s="10">
        <f>9-1+13+24-1+17+5</f>
        <v>66</v>
      </c>
      <c r="K15" s="10">
        <f>3+11+35+5</f>
        <v>54</v>
      </c>
      <c r="L15" s="10">
        <f>12+2+36+0+3+0</f>
        <v>53</v>
      </c>
      <c r="M15" s="10">
        <v>108</v>
      </c>
      <c r="N15" s="10">
        <v>50</v>
      </c>
      <c r="O15" s="10">
        <v>102</v>
      </c>
      <c r="P15" s="10">
        <v>51</v>
      </c>
      <c r="Q15" s="10">
        <v>263</v>
      </c>
      <c r="R15" s="10">
        <v>100</v>
      </c>
      <c r="S15" s="10">
        <v>60</v>
      </c>
      <c r="T15" s="11">
        <v>180</v>
      </c>
      <c r="U15" s="12">
        <v>48</v>
      </c>
      <c r="V15" s="12">
        <v>36</v>
      </c>
      <c r="W15" s="12">
        <v>50</v>
      </c>
      <c r="X15" s="12">
        <v>34</v>
      </c>
      <c r="Y15" s="12">
        <v>298</v>
      </c>
      <c r="Z15" s="12">
        <v>82</v>
      </c>
      <c r="AA15" s="12">
        <v>115</v>
      </c>
      <c r="AB15" s="12">
        <v>119</v>
      </c>
      <c r="AC15" s="12">
        <v>94</v>
      </c>
      <c r="AD15" s="12">
        <v>105</v>
      </c>
    </row>
    <row r="16" spans="1:30" s="5" customFormat="1" ht="16.5" customHeight="1" x14ac:dyDescent="0.3">
      <c r="A16" s="13" t="s">
        <v>6</v>
      </c>
      <c r="B16" s="10">
        <f>258+18+4+6</f>
        <v>286</v>
      </c>
      <c r="C16" s="10">
        <f>186+9+4+1</f>
        <v>200</v>
      </c>
      <c r="D16" s="10">
        <f>212+13+8+0</f>
        <v>233</v>
      </c>
      <c r="E16" s="10">
        <f>189+19+11+5</f>
        <v>224</v>
      </c>
      <c r="F16" s="10">
        <f>293+24+82</f>
        <v>399</v>
      </c>
      <c r="G16" s="10">
        <f>220+108+60+7</f>
        <v>395</v>
      </c>
      <c r="H16" s="10">
        <f>354+14+9+2</f>
        <v>379</v>
      </c>
      <c r="I16" s="10">
        <f>250+114+127+7+1</f>
        <v>499</v>
      </c>
      <c r="J16" s="10">
        <f>259+144+82+4+3</f>
        <v>492</v>
      </c>
      <c r="K16" s="10">
        <f>206+133+291+1+1</f>
        <v>632</v>
      </c>
      <c r="L16" s="10">
        <f>252+230+385+2</f>
        <v>869</v>
      </c>
      <c r="M16" s="10">
        <v>679</v>
      </c>
      <c r="N16" s="10">
        <v>200</v>
      </c>
      <c r="O16" s="10">
        <v>836</v>
      </c>
      <c r="P16" s="10">
        <v>174</v>
      </c>
      <c r="Q16" s="10">
        <v>280</v>
      </c>
      <c r="R16" s="10">
        <v>373</v>
      </c>
      <c r="S16" s="10">
        <v>383</v>
      </c>
      <c r="T16" s="11">
        <v>240</v>
      </c>
      <c r="U16" s="12">
        <v>343</v>
      </c>
      <c r="V16" s="12">
        <v>135</v>
      </c>
      <c r="W16" s="12">
        <v>177</v>
      </c>
      <c r="X16" s="12">
        <v>192</v>
      </c>
      <c r="Y16" s="12">
        <v>834</v>
      </c>
      <c r="Z16" s="12">
        <v>947</v>
      </c>
      <c r="AA16" s="12">
        <v>973</v>
      </c>
      <c r="AB16" s="12">
        <v>1142</v>
      </c>
      <c r="AC16" s="12">
        <v>953</v>
      </c>
      <c r="AD16" s="12">
        <v>828</v>
      </c>
    </row>
    <row r="17" spans="1:30" s="5" customFormat="1" ht="16.5" customHeight="1" x14ac:dyDescent="0.3">
      <c r="A17" s="13" t="s">
        <v>4</v>
      </c>
      <c r="B17" s="10">
        <v>16</v>
      </c>
      <c r="C17" s="10">
        <v>36</v>
      </c>
      <c r="D17" s="10">
        <v>13</v>
      </c>
      <c r="E17" s="10">
        <f>52+6</f>
        <v>58</v>
      </c>
      <c r="F17" s="10">
        <v>24</v>
      </c>
      <c r="G17" s="10">
        <v>23</v>
      </c>
      <c r="H17" s="10">
        <v>25</v>
      </c>
      <c r="I17" s="10">
        <f>35+1+16</f>
        <v>52</v>
      </c>
      <c r="J17" s="10">
        <f>45+8</f>
        <v>53</v>
      </c>
      <c r="K17" s="10">
        <f>29+1+7</f>
        <v>37</v>
      </c>
      <c r="L17" s="10">
        <f>31+18</f>
        <v>49</v>
      </c>
      <c r="M17" s="10">
        <v>38</v>
      </c>
      <c r="N17" s="10">
        <v>43</v>
      </c>
      <c r="O17" s="10">
        <v>18</v>
      </c>
      <c r="P17" s="10">
        <v>37</v>
      </c>
      <c r="Q17" s="10">
        <v>18</v>
      </c>
      <c r="R17" s="10">
        <v>47</v>
      </c>
      <c r="S17" s="10">
        <v>25</v>
      </c>
      <c r="T17" s="11">
        <v>20</v>
      </c>
      <c r="U17" s="12">
        <v>49</v>
      </c>
      <c r="V17" s="12">
        <v>33</v>
      </c>
      <c r="W17" s="12">
        <v>8</v>
      </c>
      <c r="X17" s="12">
        <v>17</v>
      </c>
      <c r="Y17" s="12">
        <v>55</v>
      </c>
      <c r="Z17" s="12">
        <v>19</v>
      </c>
      <c r="AA17" s="12">
        <v>32</v>
      </c>
      <c r="AB17" s="12">
        <v>40</v>
      </c>
      <c r="AC17" s="12">
        <v>22</v>
      </c>
      <c r="AD17" s="12">
        <v>19</v>
      </c>
    </row>
    <row r="18" spans="1:30" s="5" customFormat="1" ht="16.5" customHeight="1" x14ac:dyDescent="0.3">
      <c r="A18" s="13" t="s">
        <v>5</v>
      </c>
      <c r="B18" s="10">
        <v>0</v>
      </c>
      <c r="C18" s="10">
        <v>0</v>
      </c>
      <c r="D18" s="10">
        <v>0</v>
      </c>
      <c r="E18" s="10">
        <v>1</v>
      </c>
      <c r="F18" s="10">
        <f>1+0</f>
        <v>1</v>
      </c>
      <c r="G18" s="10">
        <v>0</v>
      </c>
      <c r="H18" s="10">
        <v>0</v>
      </c>
      <c r="I18" s="10">
        <v>1</v>
      </c>
      <c r="J18" s="10">
        <v>1</v>
      </c>
      <c r="K18" s="10">
        <v>0</v>
      </c>
      <c r="L18" s="10">
        <v>0</v>
      </c>
      <c r="M18" s="10">
        <v>0</v>
      </c>
      <c r="N18" s="10">
        <v>0</v>
      </c>
      <c r="O18" s="10">
        <v>0</v>
      </c>
      <c r="P18" s="10">
        <v>0</v>
      </c>
      <c r="Q18" s="10">
        <v>0</v>
      </c>
      <c r="R18" s="10">
        <v>7</v>
      </c>
      <c r="S18" s="10">
        <v>1</v>
      </c>
      <c r="T18" s="11">
        <v>0</v>
      </c>
      <c r="U18" s="12">
        <v>0</v>
      </c>
      <c r="V18" s="12">
        <v>18</v>
      </c>
      <c r="W18" s="12">
        <v>0</v>
      </c>
      <c r="X18" s="12">
        <v>1</v>
      </c>
      <c r="Y18" s="12">
        <v>0</v>
      </c>
      <c r="Z18" s="12">
        <v>0</v>
      </c>
      <c r="AA18" s="12">
        <v>1</v>
      </c>
      <c r="AB18" s="12">
        <v>1</v>
      </c>
      <c r="AC18" s="12">
        <v>0</v>
      </c>
      <c r="AD18" s="12">
        <v>0</v>
      </c>
    </row>
    <row r="19" spans="1:30" s="14" customFormat="1" ht="16.5" customHeight="1" x14ac:dyDescent="0.3">
      <c r="A19" s="14" t="s">
        <v>14</v>
      </c>
      <c r="B19" s="7">
        <f>+SUM(B20:B26)</f>
        <v>58002</v>
      </c>
      <c r="C19" s="7">
        <f t="shared" ref="C19:O19" si="4">+SUM(C20:C26)</f>
        <v>46468</v>
      </c>
      <c r="D19" s="7">
        <f t="shared" si="4"/>
        <v>36380</v>
      </c>
      <c r="E19" s="7">
        <f t="shared" si="4"/>
        <v>30559</v>
      </c>
      <c r="F19" s="7">
        <f t="shared" si="4"/>
        <v>29972</v>
      </c>
      <c r="G19" s="7">
        <f t="shared" si="4"/>
        <v>25683</v>
      </c>
      <c r="H19" s="7">
        <f t="shared" si="4"/>
        <v>25166</v>
      </c>
      <c r="I19" s="7">
        <f t="shared" si="4"/>
        <v>24924</v>
      </c>
      <c r="J19" s="7">
        <f t="shared" si="4"/>
        <v>23937</v>
      </c>
      <c r="K19" s="7">
        <f t="shared" si="4"/>
        <v>23310</v>
      </c>
      <c r="L19" s="7">
        <f t="shared" si="4"/>
        <v>24261</v>
      </c>
      <c r="M19" s="7">
        <f t="shared" si="4"/>
        <v>23891</v>
      </c>
      <c r="N19" s="7">
        <f t="shared" si="4"/>
        <v>13968</v>
      </c>
      <c r="O19" s="7">
        <f t="shared" si="4"/>
        <v>7793</v>
      </c>
      <c r="P19" s="7">
        <f>+SUM(P20:P26)</f>
        <v>7838</v>
      </c>
      <c r="Q19" s="7">
        <f>+SUM(Q20:Q26)</f>
        <v>8152</v>
      </c>
      <c r="R19" s="7">
        <f>+SUM(R20:R26)</f>
        <v>8970</v>
      </c>
      <c r="S19" s="7">
        <f>+SUM(S20:S26)</f>
        <v>8288</v>
      </c>
      <c r="T19" s="7">
        <v>3452</v>
      </c>
      <c r="U19" s="8">
        <f>SUM(U20:U26)</f>
        <v>3502</v>
      </c>
      <c r="V19" s="8">
        <f>SUM(V20:V26)</f>
        <v>3477</v>
      </c>
      <c r="W19" s="8">
        <f t="shared" ref="W19:AD19" si="5">SUM(W20:W26)</f>
        <v>3532</v>
      </c>
      <c r="X19" s="8">
        <f t="shared" si="5"/>
        <v>3379</v>
      </c>
      <c r="Y19" s="8">
        <f t="shared" si="5"/>
        <v>4435</v>
      </c>
      <c r="Z19" s="8">
        <f t="shared" si="5"/>
        <v>4694</v>
      </c>
      <c r="AA19" s="8">
        <f t="shared" si="5"/>
        <v>6347</v>
      </c>
      <c r="AB19" s="8">
        <f t="shared" si="5"/>
        <v>6464</v>
      </c>
      <c r="AC19" s="8">
        <f t="shared" si="5"/>
        <v>6903</v>
      </c>
      <c r="AD19" s="8">
        <f t="shared" si="5"/>
        <v>6855</v>
      </c>
    </row>
    <row r="20" spans="1:30" s="5" customFormat="1" ht="16.5" customHeight="1" x14ac:dyDescent="0.3">
      <c r="A20" s="9" t="s">
        <v>13</v>
      </c>
      <c r="B20" s="10">
        <v>55289</v>
      </c>
      <c r="C20" s="10">
        <f>24696+2766+11149+2000+724+1618+913+94+393-3+30+20+67</f>
        <v>44467</v>
      </c>
      <c r="D20" s="10">
        <f>19535+8073+2108+1705+1207+457+756+302+69-8+35+28+15</f>
        <v>34282</v>
      </c>
      <c r="E20" s="10">
        <f>15759+6580+1973+1753+1079+368+666+245+69-1+40+43+22</f>
        <v>28596</v>
      </c>
      <c r="F20" s="10">
        <f>15087+7014+1545+1534+995+238+837+318+70-13+35+72+22</f>
        <v>27754</v>
      </c>
      <c r="G20" s="10">
        <f>13339+1119+581+5914+681+275+1548+234+50-8+46+29+11</f>
        <v>23819</v>
      </c>
      <c r="H20" s="10">
        <f>12406+6310+1544+1124+802+251+562+254+53+28+70+22-1</f>
        <v>23425</v>
      </c>
      <c r="I20" s="10">
        <v>22995</v>
      </c>
      <c r="J20" s="10">
        <f>14872+5525+1826-3+22+27+8</f>
        <v>22277</v>
      </c>
      <c r="K20" s="10">
        <v>21407</v>
      </c>
      <c r="L20" s="10">
        <f>40+11+7+15953+4300+1818-2</f>
        <v>22127</v>
      </c>
      <c r="M20" s="10">
        <v>21799</v>
      </c>
      <c r="N20" s="10">
        <v>12821</v>
      </c>
      <c r="O20" s="10">
        <v>6720</v>
      </c>
      <c r="P20" s="10">
        <v>6837</v>
      </c>
      <c r="Q20" s="10">
        <v>6983</v>
      </c>
      <c r="R20" s="10">
        <v>7738</v>
      </c>
      <c r="S20" s="10">
        <v>7233</v>
      </c>
      <c r="T20" s="11">
        <v>2921</v>
      </c>
      <c r="U20" s="12">
        <v>2867</v>
      </c>
      <c r="V20" s="12">
        <v>2963</v>
      </c>
      <c r="W20" s="11">
        <v>2992</v>
      </c>
      <c r="X20" s="11">
        <v>2795</v>
      </c>
      <c r="Y20" s="12">
        <v>3472</v>
      </c>
      <c r="Z20" s="12">
        <v>3663</v>
      </c>
      <c r="AA20" s="12">
        <v>4567</v>
      </c>
      <c r="AB20" s="12">
        <v>4629</v>
      </c>
      <c r="AC20" s="12">
        <v>4723</v>
      </c>
      <c r="AD20" s="12">
        <v>4856</v>
      </c>
    </row>
    <row r="21" spans="1:30" s="5" customFormat="1" ht="16.5" customHeight="1" x14ac:dyDescent="0.3">
      <c r="A21" s="13" t="s">
        <v>0</v>
      </c>
      <c r="B21" s="10">
        <f>567+33+70-2+31</f>
        <v>699</v>
      </c>
      <c r="C21" s="10">
        <f>520+44+67+40</f>
        <v>671</v>
      </c>
      <c r="D21" s="10">
        <f>474+31+70-2+27</f>
        <v>600</v>
      </c>
      <c r="E21" s="10">
        <f>331+35+58-5+30</f>
        <v>449</v>
      </c>
      <c r="F21" s="10">
        <f>372+30+71+39</f>
        <v>512</v>
      </c>
      <c r="G21" s="10">
        <f>223+15+58-6+19</f>
        <v>309</v>
      </c>
      <c r="H21" s="10">
        <f>258+26+39+18</f>
        <v>341</v>
      </c>
      <c r="I21" s="10">
        <f>352+11</f>
        <v>363</v>
      </c>
      <c r="J21" s="10">
        <f>305-8+31</f>
        <v>328</v>
      </c>
      <c r="K21" s="10">
        <f>280-4+24</f>
        <v>300</v>
      </c>
      <c r="L21" s="10">
        <f>342-9+24</f>
        <v>357</v>
      </c>
      <c r="M21" s="10">
        <v>344</v>
      </c>
      <c r="N21" s="10">
        <v>558</v>
      </c>
      <c r="O21" s="10">
        <v>556</v>
      </c>
      <c r="P21" s="10">
        <v>490</v>
      </c>
      <c r="Q21" s="10">
        <v>625</v>
      </c>
      <c r="R21" s="10">
        <v>634</v>
      </c>
      <c r="S21" s="10">
        <v>623</v>
      </c>
      <c r="T21" s="11">
        <v>189</v>
      </c>
      <c r="U21" s="12">
        <v>154</v>
      </c>
      <c r="V21" s="12">
        <v>155</v>
      </c>
      <c r="W21" s="11">
        <v>192</v>
      </c>
      <c r="X21" s="11">
        <v>223</v>
      </c>
      <c r="Y21" s="12">
        <v>158</v>
      </c>
      <c r="Z21" s="12">
        <v>211</v>
      </c>
      <c r="AA21" s="12">
        <v>594</v>
      </c>
      <c r="AB21" s="12">
        <v>556</v>
      </c>
      <c r="AC21" s="12">
        <v>888</v>
      </c>
      <c r="AD21" s="12">
        <v>827</v>
      </c>
    </row>
    <row r="22" spans="1:30" s="5" customFormat="1" ht="16.5" customHeight="1" x14ac:dyDescent="0.3">
      <c r="A22" s="13" t="s">
        <v>1</v>
      </c>
      <c r="B22" s="10">
        <f>11+17+183-77+10</f>
        <v>144</v>
      </c>
      <c r="C22" s="10">
        <f>32+9+186-47+8</f>
        <v>188</v>
      </c>
      <c r="D22" s="10">
        <f>447+68+135-65+28</f>
        <v>613</v>
      </c>
      <c r="E22" s="10">
        <f>443+77+162-52+32</f>
        <v>662</v>
      </c>
      <c r="F22" s="10">
        <f>487+114+173-56+26</f>
        <v>744</v>
      </c>
      <c r="G22" s="10">
        <f>405+79+7+160-51+37</f>
        <v>637</v>
      </c>
      <c r="H22" s="10">
        <f>86+41+259-58+18</f>
        <v>346</v>
      </c>
      <c r="I22" s="10">
        <v>325</v>
      </c>
      <c r="J22" s="10">
        <f>316-43+20</f>
        <v>293</v>
      </c>
      <c r="K22" s="10">
        <f>427-69+38</f>
        <v>396</v>
      </c>
      <c r="L22" s="10">
        <f>394-58+28</f>
        <v>364</v>
      </c>
      <c r="M22" s="10">
        <v>328</v>
      </c>
      <c r="N22" s="10">
        <v>183</v>
      </c>
      <c r="O22" s="10">
        <v>152</v>
      </c>
      <c r="P22" s="10">
        <v>171</v>
      </c>
      <c r="Q22" s="10">
        <v>117</v>
      </c>
      <c r="R22" s="10">
        <v>131</v>
      </c>
      <c r="S22" s="10">
        <v>142</v>
      </c>
      <c r="T22" s="11">
        <v>74</v>
      </c>
      <c r="U22" s="12">
        <v>85</v>
      </c>
      <c r="V22" s="12">
        <v>117</v>
      </c>
      <c r="W22" s="11">
        <v>110</v>
      </c>
      <c r="X22" s="11">
        <v>148</v>
      </c>
      <c r="Y22" s="12">
        <v>120</v>
      </c>
      <c r="Z22" s="12">
        <v>105</v>
      </c>
      <c r="AA22" s="12">
        <v>177</v>
      </c>
      <c r="AB22" s="12">
        <v>162</v>
      </c>
      <c r="AC22" s="12">
        <v>225</v>
      </c>
      <c r="AD22" s="12">
        <v>209</v>
      </c>
    </row>
    <row r="23" spans="1:30" s="5" customFormat="1" ht="16.5" customHeight="1" x14ac:dyDescent="0.3">
      <c r="A23" s="13" t="s">
        <v>2</v>
      </c>
      <c r="B23" s="10">
        <v>175</v>
      </c>
      <c r="C23" s="10">
        <f>64+22+124-22+60</f>
        <v>248</v>
      </c>
      <c r="D23" s="10">
        <f>51+12+99-23+42</f>
        <v>181</v>
      </c>
      <c r="E23" s="10">
        <f>56+35+112-37+42</f>
        <v>208</v>
      </c>
      <c r="F23" s="10">
        <f>73+40+120-32+65</f>
        <v>266</v>
      </c>
      <c r="G23" s="10">
        <f>77+15+109-30+45</f>
        <v>216</v>
      </c>
      <c r="H23" s="10">
        <f>68+42+67+50-26</f>
        <v>201</v>
      </c>
      <c r="I23" s="10">
        <v>192</v>
      </c>
      <c r="J23" s="10">
        <f>181-28+40</f>
        <v>193</v>
      </c>
      <c r="K23" s="10">
        <f>201-31+45</f>
        <v>215</v>
      </c>
      <c r="L23" s="10">
        <v>258</v>
      </c>
      <c r="M23" s="10">
        <v>237</v>
      </c>
      <c r="N23" s="10">
        <v>89</v>
      </c>
      <c r="O23" s="10">
        <v>89</v>
      </c>
      <c r="P23" s="10">
        <v>93</v>
      </c>
      <c r="Q23" s="10">
        <v>68</v>
      </c>
      <c r="R23" s="10">
        <v>77</v>
      </c>
      <c r="S23" s="10">
        <v>128</v>
      </c>
      <c r="T23" s="11">
        <v>103</v>
      </c>
      <c r="U23" s="12">
        <v>126</v>
      </c>
      <c r="V23" s="12">
        <v>131</v>
      </c>
      <c r="W23" s="11">
        <v>113</v>
      </c>
      <c r="X23" s="11">
        <v>77</v>
      </c>
      <c r="Y23" s="12">
        <v>80</v>
      </c>
      <c r="Z23" s="12">
        <v>58</v>
      </c>
      <c r="AA23" s="12">
        <v>82</v>
      </c>
      <c r="AB23" s="12">
        <v>70</v>
      </c>
      <c r="AC23" s="12">
        <v>87</v>
      </c>
      <c r="AD23" s="12">
        <v>82</v>
      </c>
    </row>
    <row r="24" spans="1:30" s="5" customFormat="1" ht="16.5" customHeight="1" x14ac:dyDescent="0.3">
      <c r="A24" s="13" t="s">
        <v>6</v>
      </c>
      <c r="B24" s="10">
        <v>1613</v>
      </c>
      <c r="C24" s="10">
        <f>587+213+10+4</f>
        <v>814</v>
      </c>
      <c r="D24" s="10">
        <f>510+145+10+3</f>
        <v>668</v>
      </c>
      <c r="E24" s="10">
        <f>391+111+11+11</f>
        <v>524</v>
      </c>
      <c r="F24" s="10">
        <f>497+134+13+15</f>
        <v>659</v>
      </c>
      <c r="G24" s="10">
        <f>502+129+9+7</f>
        <v>647</v>
      </c>
      <c r="H24" s="10">
        <f>555+199+14+6</f>
        <v>774</v>
      </c>
      <c r="I24" s="10">
        <f>878+7+1</f>
        <v>886</v>
      </c>
      <c r="J24" s="10">
        <f>656+8</f>
        <v>664</v>
      </c>
      <c r="K24" s="10">
        <f>854+8</f>
        <v>862</v>
      </c>
      <c r="L24" s="10">
        <f>994+3</f>
        <v>997</v>
      </c>
      <c r="M24" s="10">
        <v>976</v>
      </c>
      <c r="N24" s="10">
        <v>283</v>
      </c>
      <c r="O24" s="10">
        <v>267</v>
      </c>
      <c r="P24" s="10">
        <v>219</v>
      </c>
      <c r="Q24" s="10">
        <v>249</v>
      </c>
      <c r="R24" s="10">
        <v>356</v>
      </c>
      <c r="S24" s="10">
        <v>130</v>
      </c>
      <c r="T24" s="11">
        <v>158</v>
      </c>
      <c r="U24" s="12">
        <v>252</v>
      </c>
      <c r="V24" s="12">
        <v>99</v>
      </c>
      <c r="W24" s="11">
        <v>119</v>
      </c>
      <c r="X24" s="11">
        <v>125</v>
      </c>
      <c r="Y24" s="12">
        <v>582</v>
      </c>
      <c r="Z24" s="12">
        <v>646</v>
      </c>
      <c r="AA24" s="12">
        <v>875</v>
      </c>
      <c r="AB24" s="12">
        <v>985</v>
      </c>
      <c r="AC24" s="12">
        <v>930</v>
      </c>
      <c r="AD24" s="12">
        <v>849</v>
      </c>
    </row>
    <row r="25" spans="1:30" s="5" customFormat="1" ht="16.5" customHeight="1" x14ac:dyDescent="0.3">
      <c r="A25" s="13" t="s">
        <v>4</v>
      </c>
      <c r="B25" s="10">
        <f>71+7+3+0</f>
        <v>81</v>
      </c>
      <c r="C25" s="10">
        <f>68+10+1+0</f>
        <v>79</v>
      </c>
      <c r="D25" s="10">
        <f>32+3+0</f>
        <v>35</v>
      </c>
      <c r="E25" s="10">
        <f>105+12+1+1</f>
        <v>119</v>
      </c>
      <c r="F25" s="10">
        <f>36+0</f>
        <v>36</v>
      </c>
      <c r="G25" s="10">
        <f>45+8+1+0</f>
        <v>54</v>
      </c>
      <c r="H25" s="10">
        <f>57+20+1</f>
        <v>78</v>
      </c>
      <c r="I25" s="10">
        <f>159+1</f>
        <v>160</v>
      </c>
      <c r="J25" s="10">
        <v>179</v>
      </c>
      <c r="K25" s="10">
        <f>130</f>
        <v>130</v>
      </c>
      <c r="L25" s="10">
        <v>157</v>
      </c>
      <c r="M25" s="10">
        <v>207</v>
      </c>
      <c r="N25" s="10">
        <v>34</v>
      </c>
      <c r="O25" s="10">
        <v>9</v>
      </c>
      <c r="P25" s="10">
        <v>28</v>
      </c>
      <c r="Q25" s="10">
        <v>110</v>
      </c>
      <c r="R25" s="10">
        <v>32</v>
      </c>
      <c r="S25" s="10">
        <v>31</v>
      </c>
      <c r="T25" s="11">
        <v>7</v>
      </c>
      <c r="U25" s="12">
        <v>17</v>
      </c>
      <c r="V25" s="12">
        <v>11</v>
      </c>
      <c r="W25" s="11">
        <v>6</v>
      </c>
      <c r="X25" s="11">
        <v>10</v>
      </c>
      <c r="Y25" s="12">
        <v>22</v>
      </c>
      <c r="Z25" s="12">
        <v>10</v>
      </c>
      <c r="AA25" s="12">
        <v>50</v>
      </c>
      <c r="AB25" s="12">
        <v>59</v>
      </c>
      <c r="AC25" s="12">
        <v>50</v>
      </c>
      <c r="AD25" s="12">
        <v>32</v>
      </c>
    </row>
    <row r="26" spans="1:30" s="5" customFormat="1" ht="16.5" customHeight="1" x14ac:dyDescent="0.3">
      <c r="A26" s="13" t="s">
        <v>5</v>
      </c>
      <c r="B26" s="10">
        <f>1+0</f>
        <v>1</v>
      </c>
      <c r="C26" s="10">
        <v>1</v>
      </c>
      <c r="D26" s="10">
        <v>1</v>
      </c>
      <c r="E26" s="10">
        <v>1</v>
      </c>
      <c r="F26" s="10">
        <v>1</v>
      </c>
      <c r="G26" s="10">
        <f>1+0</f>
        <v>1</v>
      </c>
      <c r="H26" s="10">
        <v>1</v>
      </c>
      <c r="I26" s="10">
        <v>3</v>
      </c>
      <c r="J26" s="10">
        <v>3</v>
      </c>
      <c r="K26" s="10">
        <v>0</v>
      </c>
      <c r="L26" s="10">
        <v>1</v>
      </c>
      <c r="M26" s="10">
        <v>0</v>
      </c>
      <c r="N26" s="10">
        <v>0</v>
      </c>
      <c r="O26" s="10">
        <v>0</v>
      </c>
      <c r="P26" s="10">
        <v>0</v>
      </c>
      <c r="Q26" s="10">
        <v>0</v>
      </c>
      <c r="R26" s="10">
        <v>2</v>
      </c>
      <c r="S26" s="10">
        <v>1</v>
      </c>
      <c r="T26" s="11">
        <v>0</v>
      </c>
      <c r="U26" s="12">
        <v>1</v>
      </c>
      <c r="V26" s="12">
        <v>1</v>
      </c>
      <c r="W26" s="11">
        <v>0</v>
      </c>
      <c r="X26" s="11">
        <v>1</v>
      </c>
      <c r="Y26" s="12">
        <v>1</v>
      </c>
      <c r="Z26" s="12">
        <v>1</v>
      </c>
      <c r="AA26" s="12">
        <v>2</v>
      </c>
      <c r="AB26" s="12">
        <v>3</v>
      </c>
      <c r="AC26" s="12">
        <v>0</v>
      </c>
      <c r="AD26" s="12">
        <v>0</v>
      </c>
    </row>
    <row r="27" spans="1:30" s="14" customFormat="1" ht="16.5" customHeight="1" x14ac:dyDescent="0.3">
      <c r="A27" s="14" t="s">
        <v>11</v>
      </c>
      <c r="B27" s="7">
        <f t="shared" ref="B27:L27" si="6">+SUM(B28:B34)</f>
        <v>2490.2659089999997</v>
      </c>
      <c r="C27" s="7">
        <f t="shared" si="6"/>
        <v>2478.0359450000001</v>
      </c>
      <c r="D27" s="7">
        <f t="shared" si="6"/>
        <v>2509.5782030000005</v>
      </c>
      <c r="E27" s="7">
        <f t="shared" si="6"/>
        <v>2535.3365119999999</v>
      </c>
      <c r="F27" s="7">
        <f t="shared" si="6"/>
        <v>2581.2849339999998</v>
      </c>
      <c r="G27" s="7">
        <f t="shared" si="6"/>
        <v>2619.6195160000007</v>
      </c>
      <c r="H27" s="7">
        <f t="shared" si="6"/>
        <v>2605.3308229999998</v>
      </c>
      <c r="I27" s="7">
        <f t="shared" si="6"/>
        <v>2701.8009819999997</v>
      </c>
      <c r="J27" s="7">
        <f t="shared" si="6"/>
        <v>2832.920678</v>
      </c>
      <c r="K27" s="7">
        <f t="shared" si="6"/>
        <v>2927.4549399999996</v>
      </c>
      <c r="L27" s="7">
        <f t="shared" si="6"/>
        <v>3001.7668789999993</v>
      </c>
      <c r="M27" s="7">
        <f t="shared" ref="M27:S27" si="7">SUM(M28:M34)</f>
        <v>3090.2910840000004</v>
      </c>
      <c r="N27" s="7">
        <f t="shared" si="7"/>
        <v>3084.2472596000002</v>
      </c>
      <c r="O27" s="7">
        <f t="shared" si="7"/>
        <v>3071.112983</v>
      </c>
      <c r="P27" s="7">
        <f t="shared" si="7"/>
        <v>3138.9730400000003</v>
      </c>
      <c r="Q27" s="7">
        <f t="shared" si="7"/>
        <v>3098.072224</v>
      </c>
      <c r="R27" s="7">
        <f t="shared" si="7"/>
        <v>3126.0649410000001</v>
      </c>
      <c r="S27" s="7">
        <f t="shared" si="7"/>
        <v>3166.1099999999997</v>
      </c>
      <c r="T27" s="8">
        <v>3228.4746</v>
      </c>
      <c r="U27" s="8">
        <f>SUM(U28:U34)</f>
        <v>3290.7298510000001</v>
      </c>
      <c r="V27" s="8">
        <f>SUM(V28:V34)</f>
        <v>3208.2772879999998</v>
      </c>
      <c r="W27" s="8">
        <f>SUM(W28:W34)</f>
        <v>3595</v>
      </c>
      <c r="X27" s="8">
        <f t="shared" ref="X27:AD27" si="8">SUM(X28:X34)</f>
        <v>3780</v>
      </c>
      <c r="Y27" s="8">
        <f t="shared" si="8"/>
        <v>3784</v>
      </c>
      <c r="Z27" s="8">
        <f t="shared" si="8"/>
        <v>3828</v>
      </c>
      <c r="AA27" s="8">
        <f t="shared" si="8"/>
        <v>4290</v>
      </c>
      <c r="AB27" s="8">
        <f t="shared" si="8"/>
        <v>4329.1000000000004</v>
      </c>
      <c r="AC27" s="8">
        <f t="shared" si="8"/>
        <v>4368</v>
      </c>
      <c r="AD27" s="8">
        <f t="shared" si="8"/>
        <v>4368</v>
      </c>
    </row>
    <row r="28" spans="1:30" s="5" customFormat="1" ht="16.5" customHeight="1" x14ac:dyDescent="0.3">
      <c r="A28" s="9" t="s">
        <v>13</v>
      </c>
      <c r="B28" s="10">
        <f>783.462575+590.034014+294.410421</f>
        <v>1667.9070099999999</v>
      </c>
      <c r="C28" s="10">
        <f>816.537201+569.705808+274.486151</f>
        <v>1660.7291600000001</v>
      </c>
      <c r="D28" s="10">
        <f>818.63474+594.265959+274.66727</f>
        <v>1687.5679689999997</v>
      </c>
      <c r="E28" s="10">
        <f>812.012373+595.797608+282.306693</f>
        <v>1690.1166739999999</v>
      </c>
      <c r="F28" s="10">
        <f>809.748409+628.481294+263.588384</f>
        <v>1701.8180870000001</v>
      </c>
      <c r="G28" s="10">
        <f>810.119645+630.797756+260.690837</f>
        <v>1701.6082380000003</v>
      </c>
      <c r="H28" s="10">
        <f>779.119052+645.586093+261.903415</f>
        <v>1686.6085599999999</v>
      </c>
      <c r="I28" s="10">
        <f>838.353348+624.084181+256.317566</f>
        <v>1718.7550949999998</v>
      </c>
      <c r="J28" s="10">
        <f>842.454297+653.465715+283.110563</f>
        <v>1779.030575</v>
      </c>
      <c r="K28" s="10">
        <f>889.300281+653.553649+292.491488</f>
        <v>1835.3454179999999</v>
      </c>
      <c r="L28" s="10">
        <f>1045.200595+566.930847+256.174269</f>
        <v>1868.305711</v>
      </c>
      <c r="M28" s="10">
        <v>1911.208257</v>
      </c>
      <c r="N28" s="10">
        <v>1919.1188936000001</v>
      </c>
      <c r="O28" s="10">
        <v>1876.110232</v>
      </c>
      <c r="P28" s="10">
        <v>1891.098508</v>
      </c>
      <c r="Q28" s="10">
        <v>1852.742137</v>
      </c>
      <c r="R28" s="10">
        <v>1849.148684</v>
      </c>
      <c r="S28" s="10">
        <v>1872.4367999999999</v>
      </c>
      <c r="T28" s="11">
        <v>1906.7443000000001</v>
      </c>
      <c r="U28" s="12">
        <v>1981.869156</v>
      </c>
      <c r="V28" s="12">
        <v>1928.750806</v>
      </c>
      <c r="W28" s="11">
        <v>1770</v>
      </c>
      <c r="X28" s="11">
        <v>1793</v>
      </c>
      <c r="Y28" s="12">
        <v>1793</v>
      </c>
      <c r="Z28" s="12">
        <v>1808</v>
      </c>
      <c r="AA28" s="12">
        <v>2048</v>
      </c>
      <c r="AB28" s="12">
        <v>2080</v>
      </c>
      <c r="AC28" s="12">
        <v>2097</v>
      </c>
      <c r="AD28" s="12">
        <v>2097</v>
      </c>
    </row>
    <row r="29" spans="1:30" s="5" customFormat="1" ht="16.5" customHeight="1" x14ac:dyDescent="0.3">
      <c r="A29" s="13" t="s">
        <v>0</v>
      </c>
      <c r="B29" s="10">
        <v>24.055177</v>
      </c>
      <c r="C29" s="10">
        <v>27.31644</v>
      </c>
      <c r="D29" s="10">
        <v>28.287566999999999</v>
      </c>
      <c r="E29" s="10">
        <v>27.395869999999999</v>
      </c>
      <c r="F29" s="10">
        <v>33.778115999999997</v>
      </c>
      <c r="G29" s="10">
        <v>34.461491000000002</v>
      </c>
      <c r="H29" s="10">
        <v>37.467838999999998</v>
      </c>
      <c r="I29" s="10">
        <v>40.747526999999998</v>
      </c>
      <c r="J29" s="10">
        <v>43.282733</v>
      </c>
      <c r="K29" s="10">
        <v>48.057755</v>
      </c>
      <c r="L29" s="10">
        <v>51.984347</v>
      </c>
      <c r="M29" s="10">
        <v>52.567967000000003</v>
      </c>
      <c r="N29" s="10">
        <v>60.345998000000002</v>
      </c>
      <c r="O29" s="10">
        <v>63.615864999999999</v>
      </c>
      <c r="P29" s="10">
        <v>63.403869</v>
      </c>
      <c r="Q29" s="10">
        <v>67.347061999999994</v>
      </c>
      <c r="R29" s="10">
        <v>71.527344999999997</v>
      </c>
      <c r="S29" s="10">
        <v>80.075299999999999</v>
      </c>
      <c r="T29" s="11">
        <v>83.996899999999997</v>
      </c>
      <c r="U29" s="12">
        <v>49.203032999999998</v>
      </c>
      <c r="V29" s="12">
        <v>49.548889000000003</v>
      </c>
      <c r="W29" s="11">
        <v>82</v>
      </c>
      <c r="X29" s="11">
        <v>103</v>
      </c>
      <c r="Y29" s="12">
        <v>98</v>
      </c>
      <c r="Z29" s="12">
        <v>102</v>
      </c>
      <c r="AA29" s="12">
        <v>107</v>
      </c>
      <c r="AB29" s="12">
        <v>113</v>
      </c>
      <c r="AC29" s="12">
        <v>126</v>
      </c>
      <c r="AD29" s="12">
        <v>126</v>
      </c>
    </row>
    <row r="30" spans="1:30" s="5" customFormat="1" ht="16.5" customHeight="1" x14ac:dyDescent="0.3">
      <c r="A30" s="13" t="s">
        <v>1</v>
      </c>
      <c r="B30" s="10">
        <v>528.62722199999996</v>
      </c>
      <c r="C30" s="10">
        <v>521.83798400000001</v>
      </c>
      <c r="D30" s="10">
        <v>520.19888300000002</v>
      </c>
      <c r="E30" s="10">
        <v>517.685338</v>
      </c>
      <c r="F30" s="10">
        <v>522.27157299999999</v>
      </c>
      <c r="G30" s="10">
        <v>537.22621200000003</v>
      </c>
      <c r="H30" s="10">
        <v>543.11171999999999</v>
      </c>
      <c r="I30" s="10">
        <v>557.67174899999998</v>
      </c>
      <c r="J30" s="10">
        <v>565.67763400000001</v>
      </c>
      <c r="K30" s="10">
        <v>577.67558699999995</v>
      </c>
      <c r="L30" s="10">
        <v>595.24299199999996</v>
      </c>
      <c r="M30" s="10">
        <v>608.08966099999998</v>
      </c>
      <c r="N30" s="10">
        <v>620.85391300000003</v>
      </c>
      <c r="O30" s="10">
        <v>629.87168099999997</v>
      </c>
      <c r="P30" s="10">
        <v>643.41404599999998</v>
      </c>
      <c r="Q30" s="10">
        <v>645.30086100000005</v>
      </c>
      <c r="R30" s="10">
        <v>648.68711099999996</v>
      </c>
      <c r="S30" s="10">
        <v>653.91160000000002</v>
      </c>
      <c r="T30" s="11">
        <v>670.88229999999999</v>
      </c>
      <c r="U30" s="12">
        <v>91.615978999999996</v>
      </c>
      <c r="V30" s="12">
        <v>87.298974000000001</v>
      </c>
      <c r="W30" s="11">
        <v>652</v>
      </c>
      <c r="X30" s="11">
        <v>644</v>
      </c>
      <c r="Y30" s="12">
        <v>644</v>
      </c>
      <c r="Z30" s="12">
        <v>643</v>
      </c>
      <c r="AA30" s="12">
        <v>695</v>
      </c>
      <c r="AB30" s="12">
        <v>696</v>
      </c>
      <c r="AC30" s="12">
        <v>703</v>
      </c>
      <c r="AD30" s="12">
        <v>703</v>
      </c>
    </row>
    <row r="31" spans="1:30" s="5" customFormat="1" ht="16.5" customHeight="1" x14ac:dyDescent="0.3">
      <c r="A31" s="13" t="s">
        <v>2</v>
      </c>
      <c r="B31" s="10">
        <v>187.25078600000001</v>
      </c>
      <c r="C31" s="10">
        <v>188.34097199999999</v>
      </c>
      <c r="D31" s="10">
        <v>188.003333</v>
      </c>
      <c r="E31" s="10">
        <v>206.39803599999999</v>
      </c>
      <c r="F31" s="10">
        <v>210.144656</v>
      </c>
      <c r="G31" s="10">
        <v>217.07243800000001</v>
      </c>
      <c r="H31" s="10">
        <v>203.37284500000001</v>
      </c>
      <c r="I31" s="10">
        <v>216.20624100000001</v>
      </c>
      <c r="J31" s="10">
        <v>242.43787</v>
      </c>
      <c r="K31" s="10">
        <v>248.588246</v>
      </c>
      <c r="L31" s="10">
        <v>253.44878700000001</v>
      </c>
      <c r="M31" s="10">
        <v>257.15277099999997</v>
      </c>
      <c r="N31" s="10">
        <v>254.623943</v>
      </c>
      <c r="O31" s="10">
        <v>256.05965099999997</v>
      </c>
      <c r="P31" s="10">
        <v>278.74629199999998</v>
      </c>
      <c r="Q31" s="10">
        <v>270.55448200000001</v>
      </c>
      <c r="R31" s="10">
        <v>282.55301900000001</v>
      </c>
      <c r="S31" s="10">
        <v>289.47410000000002</v>
      </c>
      <c r="T31" s="11">
        <v>274.8811</v>
      </c>
      <c r="U31" s="12">
        <v>272</v>
      </c>
      <c r="V31" s="12">
        <v>272</v>
      </c>
      <c r="W31" s="11">
        <v>274</v>
      </c>
      <c r="X31" s="11">
        <v>278</v>
      </c>
      <c r="Y31" s="12">
        <v>287</v>
      </c>
      <c r="Z31" s="12">
        <v>294</v>
      </c>
      <c r="AA31" s="12">
        <v>369</v>
      </c>
      <c r="AB31" s="12">
        <v>371</v>
      </c>
      <c r="AC31" s="12">
        <v>373</v>
      </c>
      <c r="AD31" s="12">
        <v>373</v>
      </c>
    </row>
    <row r="32" spans="1:30" s="5" customFormat="1" ht="16.5" customHeight="1" x14ac:dyDescent="0.3">
      <c r="A32" s="13" t="s">
        <v>6</v>
      </c>
      <c r="B32" s="10">
        <v>74.105006000000003</v>
      </c>
      <c r="C32" s="10">
        <v>70.951677000000004</v>
      </c>
      <c r="D32" s="10">
        <v>71.968135000000004</v>
      </c>
      <c r="E32" s="10">
        <v>76.793858</v>
      </c>
      <c r="F32" s="10">
        <v>93.913122000000001</v>
      </c>
      <c r="G32" s="10">
        <v>109.451896</v>
      </c>
      <c r="H32" s="10">
        <v>108.45667400000001</v>
      </c>
      <c r="I32" s="10">
        <v>133.997635</v>
      </c>
      <c r="J32" s="10">
        <v>157.12975599999999</v>
      </c>
      <c r="K32" s="10">
        <v>166.90470300000001</v>
      </c>
      <c r="L32" s="10">
        <v>179.060329</v>
      </c>
      <c r="M32" s="10">
        <v>205.07620600000001</v>
      </c>
      <c r="N32" s="10">
        <v>171.590767</v>
      </c>
      <c r="O32" s="10">
        <v>188.88484700000001</v>
      </c>
      <c r="P32" s="10">
        <v>202.91036099999999</v>
      </c>
      <c r="Q32" s="10">
        <v>195.60884799999999</v>
      </c>
      <c r="R32" s="10">
        <v>195.55462800000001</v>
      </c>
      <c r="S32" s="10">
        <v>181.14250000000001</v>
      </c>
      <c r="T32" s="11">
        <v>191.3948</v>
      </c>
      <c r="U32" s="12">
        <v>723.71563100000003</v>
      </c>
      <c r="V32" s="12">
        <v>688.30135099999995</v>
      </c>
      <c r="W32" s="11">
        <v>711</v>
      </c>
      <c r="X32" s="11">
        <v>744</v>
      </c>
      <c r="Y32" s="12">
        <v>744</v>
      </c>
      <c r="Z32" s="12">
        <v>754</v>
      </c>
      <c r="AA32" s="12">
        <v>842</v>
      </c>
      <c r="AB32" s="12">
        <v>838</v>
      </c>
      <c r="AC32" s="12">
        <v>842</v>
      </c>
      <c r="AD32" s="12">
        <v>842</v>
      </c>
    </row>
    <row r="33" spans="1:30" s="5" customFormat="1" ht="16.5" customHeight="1" x14ac:dyDescent="0.3">
      <c r="A33" s="13" t="s">
        <v>4</v>
      </c>
      <c r="B33" s="10">
        <v>7.7032809999999996</v>
      </c>
      <c r="C33" s="10">
        <v>8.3686769999999999</v>
      </c>
      <c r="D33" s="10">
        <v>12.571244</v>
      </c>
      <c r="E33" s="10">
        <v>15.988994</v>
      </c>
      <c r="F33" s="10">
        <v>18.175972000000002</v>
      </c>
      <c r="G33" s="10">
        <v>18.653979</v>
      </c>
      <c r="H33" s="10">
        <v>24.871057</v>
      </c>
      <c r="I33" s="10">
        <v>32.985273999999997</v>
      </c>
      <c r="J33" s="10">
        <v>43.912350000000004</v>
      </c>
      <c r="K33" s="10">
        <v>49.43347</v>
      </c>
      <c r="L33" s="10">
        <v>52.101539000000002</v>
      </c>
      <c r="M33" s="10">
        <v>54.420017000000001</v>
      </c>
      <c r="N33" s="10">
        <v>55.917976000000003</v>
      </c>
      <c r="O33" s="10">
        <v>55.082180999999999</v>
      </c>
      <c r="P33" s="10">
        <v>57.932032</v>
      </c>
      <c r="Q33" s="10">
        <v>64.818833999999995</v>
      </c>
      <c r="R33" s="10">
        <v>76.794154000000006</v>
      </c>
      <c r="S33" s="10">
        <v>87.2697</v>
      </c>
      <c r="T33" s="11">
        <v>98.636399999999995</v>
      </c>
      <c r="U33" s="12">
        <v>170.91708499999999</v>
      </c>
      <c r="V33" s="12">
        <v>181.01411200000001</v>
      </c>
      <c r="W33" s="11">
        <v>104</v>
      </c>
      <c r="X33" s="11">
        <v>213</v>
      </c>
      <c r="Y33" s="12">
        <v>213</v>
      </c>
      <c r="Z33" s="12">
        <v>222</v>
      </c>
      <c r="AA33" s="12">
        <v>224</v>
      </c>
      <c r="AB33" s="12">
        <v>226</v>
      </c>
      <c r="AC33" s="12">
        <v>222</v>
      </c>
      <c r="AD33" s="12">
        <v>222</v>
      </c>
    </row>
    <row r="34" spans="1:30" s="5" customFormat="1" ht="16.5" customHeight="1" x14ac:dyDescent="0.3">
      <c r="A34" s="13" t="s">
        <v>5</v>
      </c>
      <c r="B34" s="10">
        <v>0.61742699999999995</v>
      </c>
      <c r="C34" s="10">
        <v>0.491035</v>
      </c>
      <c r="D34" s="10">
        <v>0.98107200000000006</v>
      </c>
      <c r="E34" s="10">
        <v>0.95774199999999998</v>
      </c>
      <c r="F34" s="10">
        <v>1.183408</v>
      </c>
      <c r="G34" s="10">
        <v>1.145262</v>
      </c>
      <c r="H34" s="10">
        <v>1.4421280000000001</v>
      </c>
      <c r="I34" s="10">
        <v>1.4374610000000001</v>
      </c>
      <c r="J34" s="10">
        <v>1.4497599999999999</v>
      </c>
      <c r="K34" s="10">
        <v>1.4497610000000001</v>
      </c>
      <c r="L34" s="10">
        <v>1.6231739999999999</v>
      </c>
      <c r="M34" s="10">
        <v>1.776205</v>
      </c>
      <c r="N34" s="10">
        <v>1.7957689999999999</v>
      </c>
      <c r="O34" s="10">
        <v>1.488526</v>
      </c>
      <c r="P34" s="10">
        <v>1.467932</v>
      </c>
      <c r="Q34" s="10">
        <v>1.7</v>
      </c>
      <c r="R34" s="10">
        <v>1.8</v>
      </c>
      <c r="S34" s="10">
        <v>1.8</v>
      </c>
      <c r="T34" s="11">
        <v>1.9388000000000001</v>
      </c>
      <c r="U34" s="12">
        <v>1.4089670000000001</v>
      </c>
      <c r="V34" s="12">
        <v>1.363156</v>
      </c>
      <c r="W34" s="11">
        <v>2</v>
      </c>
      <c r="X34" s="11">
        <v>5</v>
      </c>
      <c r="Y34" s="15">
        <v>5</v>
      </c>
      <c r="Z34" s="15">
        <v>5</v>
      </c>
      <c r="AA34" s="15">
        <v>5</v>
      </c>
      <c r="AB34" s="15">
        <v>5.0999999999999996</v>
      </c>
      <c r="AC34" s="15">
        <v>5</v>
      </c>
      <c r="AD34" s="15">
        <v>5</v>
      </c>
    </row>
    <row r="35" spans="1:30" s="5" customFormat="1" ht="16.5" customHeight="1" x14ac:dyDescent="0.3">
      <c r="A35" s="16" t="s">
        <v>16</v>
      </c>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29"/>
      <c r="AB35" s="29"/>
      <c r="AC35" s="29"/>
      <c r="AD35" s="29"/>
    </row>
    <row r="36" spans="1:30" s="5" customFormat="1" ht="16.5" customHeight="1" x14ac:dyDescent="0.3">
      <c r="A36" s="14" t="s">
        <v>12</v>
      </c>
      <c r="B36" s="17">
        <f t="shared" ref="B36:B43" si="9">+B3/(B27)*100</f>
        <v>8.5131470994248755</v>
      </c>
      <c r="C36" s="17">
        <f t="shared" ref="C36:N36" si="10">+C3/(C27)*100</f>
        <v>8.6762260423950384</v>
      </c>
      <c r="D36" s="17">
        <f t="shared" si="10"/>
        <v>6.8935887231245596</v>
      </c>
      <c r="E36" s="17">
        <f t="shared" si="10"/>
        <v>7.5335167184307883</v>
      </c>
      <c r="F36" s="17">
        <f t="shared" si="10"/>
        <v>8.7165890536282813</v>
      </c>
      <c r="G36" s="17">
        <f t="shared" si="10"/>
        <v>6.8330533845358614</v>
      </c>
      <c r="H36" s="17">
        <f t="shared" si="10"/>
        <v>5.8341919060004157</v>
      </c>
      <c r="I36" s="17">
        <f t="shared" si="10"/>
        <v>6.8472845051323628</v>
      </c>
      <c r="J36" s="17">
        <f t="shared" si="10"/>
        <v>6.777457677902551</v>
      </c>
      <c r="K36" s="17">
        <f t="shared" si="10"/>
        <v>6.4902792321032283</v>
      </c>
      <c r="L36" s="17">
        <f t="shared" si="10"/>
        <v>6.0964094607161545</v>
      </c>
      <c r="M36" s="17">
        <f t="shared" si="10"/>
        <v>6.3748040118281608</v>
      </c>
      <c r="N36" s="17">
        <f t="shared" si="10"/>
        <v>3.534087601463455</v>
      </c>
      <c r="O36" s="17">
        <f t="shared" ref="O36:P43" si="11">+O3/(O27)*100</f>
        <v>3.9073782262083587</v>
      </c>
      <c r="P36" s="17">
        <f t="shared" si="11"/>
        <v>3.5361883834465804</v>
      </c>
      <c r="Q36" s="17">
        <f t="shared" ref="Q36:X43" si="12">+Q3/(Q27)*100</f>
        <v>3.4214825328746112</v>
      </c>
      <c r="R36" s="17">
        <f t="shared" si="12"/>
        <v>3.870680945012396</v>
      </c>
      <c r="S36" s="17">
        <f t="shared" si="12"/>
        <v>4.7060904390561289</v>
      </c>
      <c r="T36" s="17">
        <f t="shared" si="12"/>
        <v>4.4603107610014963</v>
      </c>
      <c r="U36" s="17">
        <f t="shared" si="12"/>
        <v>4.7102012932753494</v>
      </c>
      <c r="V36" s="17">
        <f t="shared" si="12"/>
        <v>4.3325432162583075</v>
      </c>
      <c r="W36" s="17">
        <f>+W3/(W27)*100</f>
        <v>3.5048678720445063</v>
      </c>
      <c r="X36" s="17">
        <f>+X3/(X27)*100</f>
        <v>4.1534391534391535</v>
      </c>
      <c r="Y36" s="18">
        <f t="shared" ref="Y36:AD43" si="13">+Y3/(Y27)*100</f>
        <v>4.5983086680761103</v>
      </c>
      <c r="Z36" s="18">
        <f t="shared" si="13"/>
        <v>4.0752351097178678</v>
      </c>
      <c r="AA36" s="18">
        <f t="shared" si="13"/>
        <v>3.9160839160839163</v>
      </c>
      <c r="AB36" s="18">
        <f t="shared" si="13"/>
        <v>3.5804208726987126</v>
      </c>
      <c r="AC36" s="18">
        <f t="shared" si="13"/>
        <v>3.4569597069597071</v>
      </c>
      <c r="AD36" s="18">
        <f t="shared" si="13"/>
        <v>3.8232600732600734</v>
      </c>
    </row>
    <row r="37" spans="1:30" s="5" customFormat="1" ht="16.5" customHeight="1" x14ac:dyDescent="0.3">
      <c r="A37" s="9" t="s">
        <v>13</v>
      </c>
      <c r="B37" s="19">
        <f t="shared" si="9"/>
        <v>5.5158950378174865</v>
      </c>
      <c r="C37" s="19">
        <f t="shared" ref="C37:N37" si="14">+C4/(C28)*100</f>
        <v>4.81716115588649</v>
      </c>
      <c r="D37" s="19">
        <f t="shared" si="14"/>
        <v>5.3923753988957124</v>
      </c>
      <c r="E37" s="19">
        <f t="shared" si="14"/>
        <v>4.6742335138928999</v>
      </c>
      <c r="F37" s="19">
        <f t="shared" si="14"/>
        <v>5.2884618331124829</v>
      </c>
      <c r="G37" s="19">
        <f t="shared" si="14"/>
        <v>4.0549874206709147</v>
      </c>
      <c r="H37" s="19">
        <f t="shared" si="14"/>
        <v>4.861827571893742</v>
      </c>
      <c r="I37" s="19">
        <f t="shared" si="14"/>
        <v>5.8181645710263341</v>
      </c>
      <c r="J37" s="19">
        <f t="shared" si="14"/>
        <v>5.0589349764266984</v>
      </c>
      <c r="K37" s="19">
        <f t="shared" si="14"/>
        <v>4.958194741301825</v>
      </c>
      <c r="L37" s="19">
        <f t="shared" si="14"/>
        <v>4.3890033369383623</v>
      </c>
      <c r="M37" s="19">
        <f t="shared" si="14"/>
        <v>4.6567400320728103</v>
      </c>
      <c r="N37" s="19">
        <f t="shared" si="14"/>
        <v>3.3348637342600962</v>
      </c>
      <c r="O37" s="19">
        <f t="shared" si="11"/>
        <v>3.8910293625006998</v>
      </c>
      <c r="P37" s="19">
        <f t="shared" si="11"/>
        <v>3.2256384181970916</v>
      </c>
      <c r="Q37" s="19">
        <f t="shared" si="12"/>
        <v>2.6447285362301876</v>
      </c>
      <c r="R37" s="19">
        <f t="shared" si="12"/>
        <v>4.1099994098689789</v>
      </c>
      <c r="S37" s="19">
        <f t="shared" si="12"/>
        <v>4.058881987365341</v>
      </c>
      <c r="T37" s="19">
        <f t="shared" si="12"/>
        <v>3.3040612734491979</v>
      </c>
      <c r="U37" s="19">
        <f t="shared" si="12"/>
        <v>2.7247005604036962</v>
      </c>
      <c r="V37" s="19">
        <f t="shared" si="12"/>
        <v>3.3182098900960875</v>
      </c>
      <c r="W37" s="19">
        <f t="shared" si="12"/>
        <v>3.898305084745763</v>
      </c>
      <c r="X37" s="19">
        <f t="shared" si="12"/>
        <v>3.7925264919129953</v>
      </c>
      <c r="Y37" s="15">
        <f t="shared" si="13"/>
        <v>4.0713887339654216</v>
      </c>
      <c r="Z37" s="15">
        <f t="shared" si="13"/>
        <v>3.9823008849557522</v>
      </c>
      <c r="AA37" s="15">
        <f t="shared" si="13"/>
        <v>4.00390625</v>
      </c>
      <c r="AB37" s="15">
        <f t="shared" si="13"/>
        <v>3.8461538461538463</v>
      </c>
      <c r="AC37" s="15">
        <f t="shared" si="13"/>
        <v>3.5288507391511681</v>
      </c>
      <c r="AD37" s="15">
        <f t="shared" si="13"/>
        <v>3.1950405340963282</v>
      </c>
    </row>
    <row r="38" spans="1:30" s="5" customFormat="1" ht="16.5" customHeight="1" x14ac:dyDescent="0.3">
      <c r="A38" s="13" t="s">
        <v>0</v>
      </c>
      <c r="B38" s="19">
        <f t="shared" si="9"/>
        <v>20.785546495874879</v>
      </c>
      <c r="C38" s="19">
        <f t="shared" ref="C38:N38" si="15">+C5/(C29)*100</f>
        <v>40.268790515894459</v>
      </c>
      <c r="D38" s="19">
        <f t="shared" si="15"/>
        <v>21.21073190918116</v>
      </c>
      <c r="E38" s="19">
        <f t="shared" si="15"/>
        <v>51.102593201091992</v>
      </c>
      <c r="F38" s="19">
        <f t="shared" si="15"/>
        <v>29.604966718688519</v>
      </c>
      <c r="G38" s="19">
        <f t="shared" si="15"/>
        <v>29.017897107237754</v>
      </c>
      <c r="H38" s="19">
        <f t="shared" si="15"/>
        <v>13.344778170953495</v>
      </c>
      <c r="I38" s="19">
        <f t="shared" si="15"/>
        <v>7.3624099936175273</v>
      </c>
      <c r="J38" s="19">
        <f t="shared" si="15"/>
        <v>32.345462103790908</v>
      </c>
      <c r="K38" s="19">
        <f t="shared" si="15"/>
        <v>27.050785039792224</v>
      </c>
      <c r="L38" s="19">
        <f t="shared" si="15"/>
        <v>42.320431571449767</v>
      </c>
      <c r="M38" s="19">
        <f t="shared" si="15"/>
        <v>28.534487552086613</v>
      </c>
      <c r="N38" s="19">
        <f t="shared" si="15"/>
        <v>13.256885734162521</v>
      </c>
      <c r="O38" s="19">
        <f t="shared" si="11"/>
        <v>20.435154029580517</v>
      </c>
      <c r="P38" s="19">
        <f t="shared" si="11"/>
        <v>22.080671449245472</v>
      </c>
      <c r="Q38" s="19">
        <f t="shared" si="12"/>
        <v>22.27268652046024</v>
      </c>
      <c r="R38" s="19">
        <f t="shared" si="12"/>
        <v>15.37873382550408</v>
      </c>
      <c r="S38" s="19">
        <f t="shared" si="12"/>
        <v>22.478841790165006</v>
      </c>
      <c r="T38" s="19">
        <f t="shared" si="12"/>
        <v>16.667281768731943</v>
      </c>
      <c r="U38" s="19">
        <f t="shared" si="12"/>
        <v>54.874665958092464</v>
      </c>
      <c r="V38" s="19">
        <f t="shared" si="12"/>
        <v>34.309548292798247</v>
      </c>
      <c r="W38" s="19">
        <f t="shared" si="12"/>
        <v>24.390243902439025</v>
      </c>
      <c r="X38" s="19">
        <f t="shared" si="12"/>
        <v>27.184466019417474</v>
      </c>
      <c r="Y38" s="15">
        <f t="shared" si="13"/>
        <v>19.387755102040817</v>
      </c>
      <c r="Z38" s="15">
        <f t="shared" si="13"/>
        <v>27.450980392156865</v>
      </c>
      <c r="AA38" s="15">
        <f t="shared" si="13"/>
        <v>28.037383177570092</v>
      </c>
      <c r="AB38" s="15">
        <f t="shared" si="13"/>
        <v>12.389380530973451</v>
      </c>
      <c r="AC38" s="15">
        <f t="shared" si="13"/>
        <v>19.841269841269842</v>
      </c>
      <c r="AD38" s="15">
        <f t="shared" si="13"/>
        <v>23.809523809523807</v>
      </c>
    </row>
    <row r="39" spans="1:30" s="5" customFormat="1" ht="16.5" customHeight="1" x14ac:dyDescent="0.3">
      <c r="A39" s="13" t="s">
        <v>1</v>
      </c>
      <c r="B39" s="19">
        <f t="shared" si="9"/>
        <v>9.6476302917294721</v>
      </c>
      <c r="C39" s="19">
        <f t="shared" ref="C39:N39" si="16">+C6/(C30)*100</f>
        <v>11.306191156832309</v>
      </c>
      <c r="D39" s="19">
        <f t="shared" si="16"/>
        <v>6.343727577746451</v>
      </c>
      <c r="E39" s="19">
        <f t="shared" si="16"/>
        <v>7.1471987487503457</v>
      </c>
      <c r="F39" s="19">
        <f t="shared" si="16"/>
        <v>7.8503219626697929</v>
      </c>
      <c r="G39" s="19">
        <f t="shared" si="16"/>
        <v>8.0040770609308982</v>
      </c>
      <c r="H39" s="19">
        <f t="shared" si="16"/>
        <v>5.891973754497509</v>
      </c>
      <c r="I39" s="19">
        <f t="shared" si="16"/>
        <v>5.0208747440064432</v>
      </c>
      <c r="J39" s="19">
        <f t="shared" si="16"/>
        <v>3.1820243400325068</v>
      </c>
      <c r="K39" s="19">
        <f t="shared" si="16"/>
        <v>3.6352583478657552</v>
      </c>
      <c r="L39" s="19">
        <f t="shared" si="16"/>
        <v>3.191973741036501</v>
      </c>
      <c r="M39" s="19">
        <f t="shared" si="16"/>
        <v>4.2756852595130708</v>
      </c>
      <c r="N39" s="19">
        <f t="shared" si="16"/>
        <v>4.8320545899498901</v>
      </c>
      <c r="O39" s="19">
        <f t="shared" si="11"/>
        <v>2.6989624256499956</v>
      </c>
      <c r="P39" s="19">
        <f t="shared" si="11"/>
        <v>2.3313137307543328</v>
      </c>
      <c r="Q39" s="19">
        <f t="shared" si="12"/>
        <v>1.0847653277809588</v>
      </c>
      <c r="R39" s="19">
        <f t="shared" si="12"/>
        <v>1.8498903086730207</v>
      </c>
      <c r="S39" s="19">
        <f t="shared" si="12"/>
        <v>3.8231467372654038</v>
      </c>
      <c r="T39" s="19">
        <f t="shared" si="12"/>
        <v>4.6207807241300003</v>
      </c>
      <c r="U39" s="19">
        <f t="shared" si="12"/>
        <v>54.575632488738677</v>
      </c>
      <c r="V39" s="19">
        <f t="shared" si="12"/>
        <v>45.819553389023795</v>
      </c>
      <c r="W39" s="19">
        <f t="shared" si="12"/>
        <v>3.834355828220859</v>
      </c>
      <c r="X39" s="19">
        <f t="shared" si="12"/>
        <v>5.7453416149068319</v>
      </c>
      <c r="Y39" s="15">
        <f t="shared" si="13"/>
        <v>5.1242236024844718</v>
      </c>
      <c r="Z39" s="15">
        <f t="shared" si="13"/>
        <v>4.8211508553654738</v>
      </c>
      <c r="AA39" s="15">
        <f t="shared" si="13"/>
        <v>4.4604316546762588</v>
      </c>
      <c r="AB39" s="15">
        <f t="shared" si="13"/>
        <v>3.5919540229885056</v>
      </c>
      <c r="AC39" s="15">
        <f t="shared" si="13"/>
        <v>3.2716927453769555</v>
      </c>
      <c r="AD39" s="15">
        <f t="shared" si="13"/>
        <v>5.8321479374110954</v>
      </c>
    </row>
    <row r="40" spans="1:30" s="5" customFormat="1" ht="16.5" customHeight="1" x14ac:dyDescent="0.3">
      <c r="A40" s="13" t="s">
        <v>2</v>
      </c>
      <c r="B40" s="19">
        <f t="shared" si="9"/>
        <v>33.644718586121179</v>
      </c>
      <c r="C40" s="19">
        <f t="shared" ref="C40:N40" si="17">+C7/(C31)*100</f>
        <v>33.44997072649705</v>
      </c>
      <c r="D40" s="19">
        <f t="shared" si="17"/>
        <v>22.871934935323726</v>
      </c>
      <c r="E40" s="19">
        <f t="shared" si="17"/>
        <v>28.585543323677754</v>
      </c>
      <c r="F40" s="19">
        <f t="shared" si="17"/>
        <v>39.020740075350766</v>
      </c>
      <c r="G40" s="19">
        <f t="shared" si="17"/>
        <v>25.797839889742242</v>
      </c>
      <c r="H40" s="19">
        <f t="shared" si="17"/>
        <v>14.751231906108211</v>
      </c>
      <c r="I40" s="19">
        <f t="shared" si="17"/>
        <v>24.051109606960882</v>
      </c>
      <c r="J40" s="19">
        <f t="shared" si="17"/>
        <v>27.635946479813573</v>
      </c>
      <c r="K40" s="19">
        <f t="shared" si="17"/>
        <v>25.745384598755329</v>
      </c>
      <c r="L40" s="19">
        <f t="shared" si="17"/>
        <v>22.095193535094722</v>
      </c>
      <c r="M40" s="19">
        <f t="shared" si="17"/>
        <v>24.887929362425577</v>
      </c>
      <c r="N40" s="19">
        <f t="shared" si="17"/>
        <v>2.7491523057594001</v>
      </c>
      <c r="O40" s="19">
        <f t="shared" si="11"/>
        <v>6.2485440160191432</v>
      </c>
      <c r="P40" s="19">
        <f t="shared" si="11"/>
        <v>6.4574850021682089</v>
      </c>
      <c r="Q40" s="19">
        <f t="shared" si="12"/>
        <v>10.349117040315745</v>
      </c>
      <c r="R40" s="19">
        <f t="shared" si="12"/>
        <v>4.9548223018632838</v>
      </c>
      <c r="S40" s="19">
        <f t="shared" si="12"/>
        <v>7.5999890836520425</v>
      </c>
      <c r="T40" s="19">
        <f t="shared" si="12"/>
        <v>12.005190607866457</v>
      </c>
      <c r="U40" s="19">
        <f t="shared" si="12"/>
        <v>6.25</v>
      </c>
      <c r="V40" s="19">
        <f t="shared" si="12"/>
        <v>5.1470588235294112</v>
      </c>
      <c r="W40" s="19">
        <f t="shared" si="12"/>
        <v>4.0145985401459852</v>
      </c>
      <c r="X40" s="19">
        <f t="shared" si="12"/>
        <v>6.4748201438848918</v>
      </c>
      <c r="Y40" s="15">
        <f t="shared" si="13"/>
        <v>12.89198606271777</v>
      </c>
      <c r="Z40" s="15">
        <f t="shared" si="13"/>
        <v>5.4421768707482991</v>
      </c>
      <c r="AA40" s="15">
        <f t="shared" si="13"/>
        <v>5.9620596205962055</v>
      </c>
      <c r="AB40" s="15">
        <f t="shared" si="13"/>
        <v>8.0862533692722369</v>
      </c>
      <c r="AC40" s="15">
        <f t="shared" si="13"/>
        <v>6.1662198391420908</v>
      </c>
      <c r="AD40" s="15">
        <f t="shared" si="13"/>
        <v>7.2386058981233248</v>
      </c>
    </row>
    <row r="41" spans="1:30" s="5" customFormat="1" ht="16.5" customHeight="1" x14ac:dyDescent="0.3">
      <c r="A41" s="13" t="s">
        <v>6</v>
      </c>
      <c r="B41" s="19">
        <f t="shared" si="9"/>
        <v>0</v>
      </c>
      <c r="C41" s="19">
        <f t="shared" ref="C41:N41" si="18">+C8/(C32)*100</f>
        <v>2.8188199131642793</v>
      </c>
      <c r="D41" s="19">
        <f t="shared" si="18"/>
        <v>0</v>
      </c>
      <c r="E41" s="19">
        <f t="shared" si="18"/>
        <v>2.6043749488403098</v>
      </c>
      <c r="F41" s="19">
        <f t="shared" si="18"/>
        <v>2.1296278490241223</v>
      </c>
      <c r="G41" s="19">
        <f t="shared" si="18"/>
        <v>0.91364337809186968</v>
      </c>
      <c r="H41" s="19">
        <f t="shared" si="18"/>
        <v>2.7660815045831111</v>
      </c>
      <c r="I41" s="19">
        <f t="shared" si="18"/>
        <v>1.4925636560675117</v>
      </c>
      <c r="J41" s="19">
        <f t="shared" si="18"/>
        <v>1.2728333900041187</v>
      </c>
      <c r="K41" s="19">
        <f t="shared" si="18"/>
        <v>0.59914429133851299</v>
      </c>
      <c r="L41" s="19">
        <f t="shared" si="18"/>
        <v>2.2338839777290924</v>
      </c>
      <c r="M41" s="19">
        <f t="shared" si="18"/>
        <v>1.4628708315385939</v>
      </c>
      <c r="N41" s="19">
        <f t="shared" si="18"/>
        <v>0</v>
      </c>
      <c r="O41" s="19">
        <f t="shared" si="11"/>
        <v>0.52942309342580562</v>
      </c>
      <c r="P41" s="19">
        <f t="shared" si="11"/>
        <v>0</v>
      </c>
      <c r="Q41" s="19">
        <f t="shared" si="12"/>
        <v>3.5785702290931134</v>
      </c>
      <c r="R41" s="19">
        <f t="shared" si="12"/>
        <v>3.5795624330609037</v>
      </c>
      <c r="S41" s="19">
        <f t="shared" si="12"/>
        <v>4.4164124929268391</v>
      </c>
      <c r="T41" s="19">
        <f t="shared" si="12"/>
        <v>1.5674407037181783</v>
      </c>
      <c r="U41" s="19">
        <f t="shared" si="12"/>
        <v>0.27635163789905759</v>
      </c>
      <c r="V41" s="19">
        <f t="shared" si="12"/>
        <v>0.4358556024394612</v>
      </c>
      <c r="W41" s="19">
        <f t="shared" si="12"/>
        <v>0.14064697609001406</v>
      </c>
      <c r="X41" s="19">
        <f t="shared" si="12"/>
        <v>0.67204301075268813</v>
      </c>
      <c r="Y41" s="15">
        <f t="shared" si="13"/>
        <v>1.2096774193548387</v>
      </c>
      <c r="Z41" s="15">
        <f t="shared" si="13"/>
        <v>1.0610079575596816</v>
      </c>
      <c r="AA41" s="15">
        <f t="shared" si="13"/>
        <v>0.35629453681710216</v>
      </c>
      <c r="AB41" s="15">
        <f t="shared" si="13"/>
        <v>0.59665871121718372</v>
      </c>
      <c r="AC41" s="15">
        <f t="shared" si="13"/>
        <v>0.71258907363420432</v>
      </c>
      <c r="AD41" s="15">
        <f t="shared" si="13"/>
        <v>0.23752969121140144</v>
      </c>
    </row>
    <row r="42" spans="1:30" s="5" customFormat="1" ht="16.5" customHeight="1" x14ac:dyDescent="0.3">
      <c r="A42" s="13" t="s">
        <v>4</v>
      </c>
      <c r="B42" s="19">
        <f t="shared" si="9"/>
        <v>0</v>
      </c>
      <c r="C42" s="19">
        <f t="shared" ref="C42:N42" si="19">+C9/(C33)*100</f>
        <v>0</v>
      </c>
      <c r="D42" s="19">
        <f t="shared" si="19"/>
        <v>0</v>
      </c>
      <c r="E42" s="19">
        <f t="shared" si="19"/>
        <v>0</v>
      </c>
      <c r="F42" s="19">
        <f t="shared" si="19"/>
        <v>0</v>
      </c>
      <c r="G42" s="19">
        <f t="shared" si="19"/>
        <v>0</v>
      </c>
      <c r="H42" s="19">
        <f t="shared" si="19"/>
        <v>0</v>
      </c>
      <c r="I42" s="19">
        <f t="shared" si="19"/>
        <v>0</v>
      </c>
      <c r="J42" s="19">
        <f t="shared" si="19"/>
        <v>0</v>
      </c>
      <c r="K42" s="19">
        <f t="shared" si="19"/>
        <v>0</v>
      </c>
      <c r="L42" s="19">
        <f t="shared" si="19"/>
        <v>0</v>
      </c>
      <c r="M42" s="19">
        <f t="shared" si="19"/>
        <v>0</v>
      </c>
      <c r="N42" s="19">
        <f t="shared" si="19"/>
        <v>0</v>
      </c>
      <c r="O42" s="19">
        <f t="shared" si="11"/>
        <v>0</v>
      </c>
      <c r="P42" s="19">
        <f t="shared" si="11"/>
        <v>5.1784822600387983</v>
      </c>
      <c r="Q42" s="19">
        <f t="shared" si="12"/>
        <v>0</v>
      </c>
      <c r="R42" s="19">
        <f t="shared" si="12"/>
        <v>1.3021824551905343</v>
      </c>
      <c r="S42" s="19">
        <f t="shared" si="12"/>
        <v>0</v>
      </c>
      <c r="T42" s="19">
        <f t="shared" si="12"/>
        <v>0</v>
      </c>
      <c r="U42" s="19">
        <f t="shared" si="12"/>
        <v>2.3403160661205988</v>
      </c>
      <c r="V42" s="19">
        <f t="shared" si="12"/>
        <v>0.55244311559531889</v>
      </c>
      <c r="W42" s="19">
        <f t="shared" si="12"/>
        <v>0</v>
      </c>
      <c r="X42" s="19">
        <f t="shared" si="12"/>
        <v>0.46948356807511737</v>
      </c>
      <c r="Y42" s="15">
        <f t="shared" si="13"/>
        <v>0.93896713615023475</v>
      </c>
      <c r="Z42" s="15">
        <f t="shared" si="13"/>
        <v>0</v>
      </c>
      <c r="AA42" s="15">
        <f t="shared" si="13"/>
        <v>0</v>
      </c>
      <c r="AB42" s="15">
        <f t="shared" si="13"/>
        <v>0</v>
      </c>
      <c r="AC42" s="15">
        <f t="shared" si="13"/>
        <v>0</v>
      </c>
      <c r="AD42" s="15">
        <f t="shared" si="13"/>
        <v>0</v>
      </c>
    </row>
    <row r="43" spans="1:30" s="5" customFormat="1" ht="16.5" customHeight="1" x14ac:dyDescent="0.3">
      <c r="A43" s="13" t="s">
        <v>5</v>
      </c>
      <c r="B43" s="19">
        <f t="shared" si="9"/>
        <v>161.96246681793963</v>
      </c>
      <c r="C43" s="19">
        <f t="shared" ref="C43:N43" si="20">+C10/(C34)*100</f>
        <v>0</v>
      </c>
      <c r="D43" s="19">
        <f t="shared" si="20"/>
        <v>0</v>
      </c>
      <c r="E43" s="19">
        <f t="shared" si="20"/>
        <v>0</v>
      </c>
      <c r="F43" s="19">
        <f t="shared" si="20"/>
        <v>0</v>
      </c>
      <c r="G43" s="19">
        <f t="shared" si="20"/>
        <v>0</v>
      </c>
      <c r="H43" s="19">
        <f t="shared" si="20"/>
        <v>0</v>
      </c>
      <c r="I43" s="19">
        <f t="shared" si="20"/>
        <v>0</v>
      </c>
      <c r="J43" s="19">
        <f t="shared" si="20"/>
        <v>68.976934113232531</v>
      </c>
      <c r="K43" s="19">
        <f t="shared" si="20"/>
        <v>0</v>
      </c>
      <c r="L43" s="19">
        <f t="shared" si="20"/>
        <v>0</v>
      </c>
      <c r="M43" s="19">
        <f t="shared" si="20"/>
        <v>0</v>
      </c>
      <c r="N43" s="19">
        <f t="shared" si="20"/>
        <v>0</v>
      </c>
      <c r="O43" s="19">
        <f t="shared" si="11"/>
        <v>0</v>
      </c>
      <c r="P43" s="19">
        <f t="shared" si="11"/>
        <v>0</v>
      </c>
      <c r="Q43" s="19">
        <f t="shared" si="12"/>
        <v>0</v>
      </c>
      <c r="R43" s="19">
        <f t="shared" si="12"/>
        <v>0</v>
      </c>
      <c r="S43" s="19">
        <f t="shared" si="12"/>
        <v>0</v>
      </c>
      <c r="T43" s="19">
        <f t="shared" si="12"/>
        <v>0</v>
      </c>
      <c r="U43" s="19">
        <f>+U10/(U34)*100</f>
        <v>70.97398306702712</v>
      </c>
      <c r="V43" s="19">
        <f t="shared" si="12"/>
        <v>0</v>
      </c>
      <c r="W43" s="19">
        <f t="shared" si="12"/>
        <v>0</v>
      </c>
      <c r="X43" s="19">
        <f t="shared" si="12"/>
        <v>0</v>
      </c>
      <c r="Y43" s="15">
        <f t="shared" si="13"/>
        <v>20</v>
      </c>
      <c r="Z43" s="15">
        <f t="shared" si="13"/>
        <v>20</v>
      </c>
      <c r="AA43" s="15">
        <f t="shared" si="13"/>
        <v>0</v>
      </c>
      <c r="AB43" s="15">
        <f t="shared" si="13"/>
        <v>19.607843137254903</v>
      </c>
      <c r="AC43" s="15">
        <f t="shared" si="13"/>
        <v>0</v>
      </c>
      <c r="AD43" s="15">
        <f t="shared" si="13"/>
        <v>0</v>
      </c>
    </row>
    <row r="44" spans="1:30" s="5" customFormat="1" ht="16.5" customHeight="1" x14ac:dyDescent="0.3">
      <c r="A44" s="14" t="s">
        <v>17</v>
      </c>
      <c r="B44" s="7">
        <f t="shared" ref="B44:B51" si="21">+B11/(B27)*100</f>
        <v>804.05068099898256</v>
      </c>
      <c r="C44" s="7">
        <f t="shared" ref="C44:N44" si="22">+C11/(C27)*100</f>
        <v>831.06139124224842</v>
      </c>
      <c r="D44" s="7">
        <f t="shared" si="22"/>
        <v>862.81431573304098</v>
      </c>
      <c r="E44" s="7">
        <f t="shared" si="22"/>
        <v>870.92975214487046</v>
      </c>
      <c r="F44" s="7">
        <f t="shared" si="22"/>
        <v>811.1851475285448</v>
      </c>
      <c r="G44" s="7">
        <f t="shared" si="22"/>
        <v>845.88620082642547</v>
      </c>
      <c r="H44" s="7">
        <f t="shared" si="22"/>
        <v>880.88621212308897</v>
      </c>
      <c r="I44" s="7">
        <f t="shared" si="22"/>
        <v>793.98890380594298</v>
      </c>
      <c r="J44" s="7">
        <f t="shared" si="22"/>
        <v>753.32148075061639</v>
      </c>
      <c r="K44" s="7">
        <f t="shared" si="22"/>
        <v>742.18050987319396</v>
      </c>
      <c r="L44" s="7">
        <f t="shared" si="22"/>
        <v>737.56560360795436</v>
      </c>
      <c r="M44" s="7">
        <f t="shared" si="22"/>
        <v>687.96108269780052</v>
      </c>
      <c r="N44" s="7">
        <f t="shared" si="22"/>
        <v>251.95775000892212</v>
      </c>
      <c r="O44" s="7">
        <f t="shared" ref="O44:P51" si="23">+O11/(O27)*100</f>
        <v>334.43901467821706</v>
      </c>
      <c r="P44" s="7">
        <f t="shared" si="23"/>
        <v>249.41278246849799</v>
      </c>
      <c r="Q44" s="7">
        <f t="shared" ref="Q44:AD51" si="24">+Q11/(Q27)*100</f>
        <v>261.5174668051896</v>
      </c>
      <c r="R44" s="7">
        <f t="shared" si="24"/>
        <v>257.89611387347054</v>
      </c>
      <c r="S44" s="7">
        <f t="shared" si="24"/>
        <v>275.38525193376103</v>
      </c>
      <c r="T44" s="7">
        <f t="shared" si="24"/>
        <v>203.68752475240166</v>
      </c>
      <c r="U44" s="7">
        <f t="shared" si="24"/>
        <v>200.53302151176794</v>
      </c>
      <c r="V44" s="7">
        <f t="shared" si="24"/>
        <v>213.88425575514037</v>
      </c>
      <c r="W44" s="8">
        <f t="shared" si="24"/>
        <v>193.6578581363004</v>
      </c>
      <c r="X44" s="7">
        <f t="shared" si="24"/>
        <v>177.53968253968253</v>
      </c>
      <c r="Y44" s="7">
        <f t="shared" si="24"/>
        <v>228.40909090909091</v>
      </c>
      <c r="Z44" s="7">
        <f t="shared" si="24"/>
        <v>229.4932079414838</v>
      </c>
      <c r="AA44" s="7">
        <f t="shared" si="24"/>
        <v>209.79020979020979</v>
      </c>
      <c r="AB44" s="7">
        <f t="shared" si="24"/>
        <v>205.5392575824074</v>
      </c>
      <c r="AC44" s="7">
        <f t="shared" si="24"/>
        <v>195.00915750915752</v>
      </c>
      <c r="AD44" s="7">
        <f t="shared" si="24"/>
        <v>184.08882783882783</v>
      </c>
    </row>
    <row r="45" spans="1:30" s="5" customFormat="1" ht="16.5" customHeight="1" x14ac:dyDescent="0.3">
      <c r="A45" s="9" t="s">
        <v>13</v>
      </c>
      <c r="B45" s="10">
        <f t="shared" si="21"/>
        <v>1131.7177688461181</v>
      </c>
      <c r="C45" s="10">
        <f t="shared" ref="C45:N45" si="25">+C12/(C28)*100</f>
        <v>1145.0392067542186</v>
      </c>
      <c r="D45" s="10">
        <f t="shared" si="25"/>
        <v>1218.0842714252776</v>
      </c>
      <c r="E45" s="10">
        <f t="shared" si="25"/>
        <v>1234.35265274473</v>
      </c>
      <c r="F45" s="10">
        <f t="shared" si="25"/>
        <v>1155.4113891610084</v>
      </c>
      <c r="G45" s="10">
        <f t="shared" si="25"/>
        <v>1227.0156863215655</v>
      </c>
      <c r="H45" s="10">
        <f t="shared" si="25"/>
        <v>1258.2646918381583</v>
      </c>
      <c r="I45" s="10">
        <f t="shared" si="25"/>
        <v>1172.0692528332552</v>
      </c>
      <c r="J45" s="10">
        <f t="shared" si="25"/>
        <v>1131.8523853925333</v>
      </c>
      <c r="K45" s="10">
        <f t="shared" si="25"/>
        <v>1105.5684559973115</v>
      </c>
      <c r="L45" s="10">
        <f t="shared" si="25"/>
        <v>1088.0981565441461</v>
      </c>
      <c r="M45" s="10">
        <f t="shared" si="25"/>
        <v>1021.9713068140015</v>
      </c>
      <c r="N45" s="10">
        <f t="shared" si="25"/>
        <v>375.74534980858675</v>
      </c>
      <c r="O45" s="10">
        <f t="shared" si="23"/>
        <v>474.65228045299631</v>
      </c>
      <c r="P45" s="10">
        <f t="shared" si="23"/>
        <v>378.82743652399944</v>
      </c>
      <c r="Q45" s="10">
        <f t="shared" si="24"/>
        <v>387.91150999768081</v>
      </c>
      <c r="R45" s="10">
        <f t="shared" si="24"/>
        <v>388.61125999103268</v>
      </c>
      <c r="S45" s="10">
        <f t="shared" si="24"/>
        <v>415.23430857586226</v>
      </c>
      <c r="T45" s="10">
        <f t="shared" si="24"/>
        <v>304.44564591067609</v>
      </c>
      <c r="U45" s="10">
        <f t="shared" si="24"/>
        <v>289.57512066957054</v>
      </c>
      <c r="V45" s="10">
        <f t="shared" si="24"/>
        <v>325.18456922941652</v>
      </c>
      <c r="W45" s="10">
        <f t="shared" si="24"/>
        <v>357.62711864406776</v>
      </c>
      <c r="X45" s="10">
        <f t="shared" si="24"/>
        <v>336.69827105409928</v>
      </c>
      <c r="Y45" s="12">
        <f t="shared" si="24"/>
        <v>400.05577244841055</v>
      </c>
      <c r="Z45" s="12">
        <f t="shared" si="24"/>
        <v>405.91814159292039</v>
      </c>
      <c r="AA45" s="12">
        <f t="shared" si="24"/>
        <v>367.333984375</v>
      </c>
      <c r="AB45" s="12">
        <f t="shared" si="24"/>
        <v>347.83653846153845</v>
      </c>
      <c r="AC45" s="12">
        <f t="shared" si="24"/>
        <v>326.89556509298995</v>
      </c>
      <c r="AD45" s="12">
        <f t="shared" si="24"/>
        <v>319.6471149260849</v>
      </c>
    </row>
    <row r="46" spans="1:30" s="5" customFormat="1" ht="16.5" customHeight="1" x14ac:dyDescent="0.3">
      <c r="A46" s="13" t="s">
        <v>0</v>
      </c>
      <c r="B46" s="10">
        <f t="shared" si="21"/>
        <v>1933.0558241163637</v>
      </c>
      <c r="C46" s="10">
        <f t="shared" ref="C46:N46" si="26">+C13/(C29)*100</f>
        <v>1735.2187913212701</v>
      </c>
      <c r="D46" s="10">
        <f t="shared" si="26"/>
        <v>1654.4370889161307</v>
      </c>
      <c r="E46" s="10">
        <f t="shared" si="26"/>
        <v>1317.7168675424434</v>
      </c>
      <c r="F46" s="10">
        <f t="shared" si="26"/>
        <v>968.08241170111455</v>
      </c>
      <c r="G46" s="10">
        <f t="shared" si="26"/>
        <v>1030.1353473069403</v>
      </c>
      <c r="H46" s="10">
        <f t="shared" si="26"/>
        <v>1814.8898312496754</v>
      </c>
      <c r="I46" s="10">
        <f t="shared" si="26"/>
        <v>785.32373265253625</v>
      </c>
      <c r="J46" s="10">
        <f t="shared" si="26"/>
        <v>767.04952988989851</v>
      </c>
      <c r="K46" s="10">
        <f t="shared" si="26"/>
        <v>888.51424707625222</v>
      </c>
      <c r="L46" s="10">
        <f t="shared" si="26"/>
        <v>798.31723191598428</v>
      </c>
      <c r="M46" s="10">
        <f t="shared" si="26"/>
        <v>580.20124689242789</v>
      </c>
      <c r="N46" s="10">
        <f t="shared" si="26"/>
        <v>293.30859686834577</v>
      </c>
      <c r="O46" s="10">
        <f>+O13/(O29)*100</f>
        <v>301.81150566765069</v>
      </c>
      <c r="P46" s="10">
        <f>+P13/(P29)*100</f>
        <v>386.41175036179573</v>
      </c>
      <c r="Q46" s="10">
        <f t="shared" si="24"/>
        <v>397.93866583222297</v>
      </c>
      <c r="R46" s="10">
        <f t="shared" si="24"/>
        <v>356.50701140941277</v>
      </c>
      <c r="S46" s="10">
        <f t="shared" si="24"/>
        <v>465.8115548739749</v>
      </c>
      <c r="T46" s="10">
        <f t="shared" si="24"/>
        <v>320.24991398492085</v>
      </c>
      <c r="U46" s="10">
        <f t="shared" si="24"/>
        <v>595.49174539707747</v>
      </c>
      <c r="V46" s="10">
        <f t="shared" si="24"/>
        <v>581.24411225446443</v>
      </c>
      <c r="W46" s="10">
        <f t="shared" si="24"/>
        <v>382.92682926829269</v>
      </c>
      <c r="X46" s="10">
        <f t="shared" si="24"/>
        <v>310.67961165048541</v>
      </c>
      <c r="Y46" s="12">
        <f t="shared" si="24"/>
        <v>174.48979591836735</v>
      </c>
      <c r="Z46" s="12">
        <f t="shared" si="24"/>
        <v>264.70588235294116</v>
      </c>
      <c r="AA46" s="12">
        <f t="shared" si="24"/>
        <v>232.71028037383178</v>
      </c>
      <c r="AB46" s="12">
        <f t="shared" si="24"/>
        <v>223.00884955752213</v>
      </c>
      <c r="AC46" s="12">
        <f t="shared" si="24"/>
        <v>303.96825396825398</v>
      </c>
      <c r="AD46" s="12">
        <f t="shared" si="24"/>
        <v>201.58730158730157</v>
      </c>
    </row>
    <row r="47" spans="1:30" s="5" customFormat="1" ht="16.5" customHeight="1" x14ac:dyDescent="0.3">
      <c r="A47" s="13" t="s">
        <v>1</v>
      </c>
      <c r="B47" s="10">
        <f t="shared" si="21"/>
        <v>55.994089536312231</v>
      </c>
      <c r="C47" s="10">
        <f t="shared" ref="C47:N47" si="27">+C14/(C30)*100</f>
        <v>59.022150445836466</v>
      </c>
      <c r="D47" s="10">
        <f t="shared" si="27"/>
        <v>52.479928143175194</v>
      </c>
      <c r="E47" s="10">
        <f t="shared" si="27"/>
        <v>70.506149818753414</v>
      </c>
      <c r="F47" s="10">
        <f t="shared" si="27"/>
        <v>59.164621621096735</v>
      </c>
      <c r="G47" s="10">
        <f t="shared" si="27"/>
        <v>64.777181795440768</v>
      </c>
      <c r="H47" s="10">
        <f t="shared" si="27"/>
        <v>79.357521505888329</v>
      </c>
      <c r="I47" s="10">
        <f t="shared" si="27"/>
        <v>60.250496928077311</v>
      </c>
      <c r="J47" s="10">
        <f t="shared" si="27"/>
        <v>46.139352930471347</v>
      </c>
      <c r="K47" s="10">
        <f t="shared" si="27"/>
        <v>49.508756547124086</v>
      </c>
      <c r="L47" s="10">
        <f t="shared" si="27"/>
        <v>71.399412628448061</v>
      </c>
      <c r="M47" s="10">
        <f t="shared" si="27"/>
        <v>98.340760968800623</v>
      </c>
      <c r="N47" s="10">
        <f t="shared" si="27"/>
        <v>14.496163769849671</v>
      </c>
      <c r="O47" s="10">
        <f t="shared" si="23"/>
        <v>34.610224046570529</v>
      </c>
      <c r="P47" s="10">
        <f t="shared" si="23"/>
        <v>24.556504630612309</v>
      </c>
      <c r="Q47" s="10">
        <f t="shared" si="24"/>
        <v>13.327116884166065</v>
      </c>
      <c r="R47" s="10">
        <f t="shared" si="24"/>
        <v>14.490807417938662</v>
      </c>
      <c r="S47" s="10">
        <f t="shared" si="24"/>
        <v>15.598438688042847</v>
      </c>
      <c r="T47" s="10">
        <f t="shared" si="24"/>
        <v>9.2415614482600006</v>
      </c>
      <c r="U47" s="10">
        <f t="shared" si="24"/>
        <v>138.62210652139623</v>
      </c>
      <c r="V47" s="10">
        <f t="shared" si="24"/>
        <v>91.639106778047591</v>
      </c>
      <c r="W47" s="10">
        <f t="shared" si="24"/>
        <v>12.73006134969325</v>
      </c>
      <c r="X47" s="10">
        <f t="shared" si="24"/>
        <v>17.080745341614907</v>
      </c>
      <c r="Y47" s="12">
        <f t="shared" si="24"/>
        <v>17.391304347826086</v>
      </c>
      <c r="Z47" s="12">
        <f t="shared" si="24"/>
        <v>19.906687402799378</v>
      </c>
      <c r="AA47" s="12">
        <f t="shared" si="24"/>
        <v>15.39568345323741</v>
      </c>
      <c r="AB47" s="12">
        <f t="shared" si="24"/>
        <v>15.660919540229884</v>
      </c>
      <c r="AC47" s="12">
        <f t="shared" si="24"/>
        <v>30.014224751066855</v>
      </c>
      <c r="AD47" s="12">
        <f t="shared" si="24"/>
        <v>18.776671408250355</v>
      </c>
    </row>
    <row r="48" spans="1:30" s="5" customFormat="1" ht="16.5" customHeight="1" x14ac:dyDescent="0.3">
      <c r="A48" s="13" t="s">
        <v>2</v>
      </c>
      <c r="B48" s="10">
        <f t="shared" si="21"/>
        <v>44.859624781494908</v>
      </c>
      <c r="C48" s="10">
        <f t="shared" ref="C48:N48" si="28">+C15/(C31)*100</f>
        <v>297.33307312441821</v>
      </c>
      <c r="D48" s="10">
        <f t="shared" si="28"/>
        <v>58.50960099733976</v>
      </c>
      <c r="E48" s="10">
        <f t="shared" si="28"/>
        <v>101.7451542029208</v>
      </c>
      <c r="F48" s="10">
        <f t="shared" si="28"/>
        <v>102.78633971068005</v>
      </c>
      <c r="G48" s="10">
        <f t="shared" si="28"/>
        <v>73.247438258375297</v>
      </c>
      <c r="H48" s="10">
        <f t="shared" si="28"/>
        <v>104.7337465333683</v>
      </c>
      <c r="I48" s="10">
        <f t="shared" si="28"/>
        <v>45.789612520944758</v>
      </c>
      <c r="J48" s="10">
        <f t="shared" si="28"/>
        <v>27.223469666682025</v>
      </c>
      <c r="K48" s="10">
        <f t="shared" si="28"/>
        <v>21.722668255199807</v>
      </c>
      <c r="L48" s="10">
        <f t="shared" si="28"/>
        <v>20.911522452857508</v>
      </c>
      <c r="M48" s="10">
        <f t="shared" si="28"/>
        <v>41.998380799093162</v>
      </c>
      <c r="N48" s="10">
        <f t="shared" si="28"/>
        <v>19.636802183995712</v>
      </c>
      <c r="O48" s="10">
        <f t="shared" si="23"/>
        <v>39.834468102122038</v>
      </c>
      <c r="P48" s="10">
        <f t="shared" si="23"/>
        <v>18.296207506143258</v>
      </c>
      <c r="Q48" s="10">
        <f t="shared" si="24"/>
        <v>97.207777914394327</v>
      </c>
      <c r="R48" s="10">
        <f t="shared" si="24"/>
        <v>35.391587870452021</v>
      </c>
      <c r="S48" s="10">
        <f t="shared" si="24"/>
        <v>20.727242955414663</v>
      </c>
      <c r="T48" s="10">
        <f t="shared" si="24"/>
        <v>65.482857861089755</v>
      </c>
      <c r="U48" s="10">
        <f t="shared" si="24"/>
        <v>17.647058823529413</v>
      </c>
      <c r="V48" s="10">
        <f t="shared" si="24"/>
        <v>13.23529411764706</v>
      </c>
      <c r="W48" s="10">
        <f t="shared" si="24"/>
        <v>18.248175182481752</v>
      </c>
      <c r="X48" s="10">
        <f t="shared" si="24"/>
        <v>12.23021582733813</v>
      </c>
      <c r="Y48" s="12">
        <f t="shared" si="24"/>
        <v>103.83275261324042</v>
      </c>
      <c r="Z48" s="12">
        <f t="shared" si="24"/>
        <v>27.89115646258503</v>
      </c>
      <c r="AA48" s="12">
        <f t="shared" si="24"/>
        <v>31.165311653116529</v>
      </c>
      <c r="AB48" s="12">
        <f t="shared" si="24"/>
        <v>32.075471698113205</v>
      </c>
      <c r="AC48" s="12">
        <f t="shared" si="24"/>
        <v>25.201072386058982</v>
      </c>
      <c r="AD48" s="12">
        <f t="shared" si="24"/>
        <v>28.150134048257375</v>
      </c>
    </row>
    <row r="49" spans="1:30" s="5" customFormat="1" ht="16.5" customHeight="1" x14ac:dyDescent="0.3">
      <c r="A49" s="13" t="s">
        <v>6</v>
      </c>
      <c r="B49" s="10">
        <f t="shared" si="21"/>
        <v>385.93883927355728</v>
      </c>
      <c r="C49" s="10">
        <f t="shared" ref="C49:N49" si="29">+C16/(C32)*100</f>
        <v>281.8819913164279</v>
      </c>
      <c r="D49" s="10">
        <f t="shared" si="29"/>
        <v>323.75439491380456</v>
      </c>
      <c r="E49" s="10">
        <f t="shared" si="29"/>
        <v>291.68999427011471</v>
      </c>
      <c r="F49" s="10">
        <f t="shared" si="29"/>
        <v>424.86075588031247</v>
      </c>
      <c r="G49" s="10">
        <f t="shared" si="29"/>
        <v>360.88913434628853</v>
      </c>
      <c r="H49" s="10">
        <f t="shared" si="29"/>
        <v>349.44829674566637</v>
      </c>
      <c r="I49" s="10">
        <f t="shared" si="29"/>
        <v>372.39463218884424</v>
      </c>
      <c r="J49" s="10">
        <f t="shared" si="29"/>
        <v>313.11701394101323</v>
      </c>
      <c r="K49" s="10">
        <f t="shared" si="29"/>
        <v>378.65919212594025</v>
      </c>
      <c r="L49" s="10">
        <f t="shared" si="29"/>
        <v>485.31129416164538</v>
      </c>
      <c r="M49" s="10">
        <f t="shared" si="29"/>
        <v>331.09643153823509</v>
      </c>
      <c r="N49" s="10">
        <f t="shared" si="29"/>
        <v>116.55638790868042</v>
      </c>
      <c r="O49" s="10">
        <f t="shared" si="23"/>
        <v>442.59770610397345</v>
      </c>
      <c r="P49" s="10">
        <f t="shared" si="23"/>
        <v>85.752151414288804</v>
      </c>
      <c r="Q49" s="10">
        <f t="shared" si="24"/>
        <v>143.14280916372454</v>
      </c>
      <c r="R49" s="10">
        <f t="shared" si="24"/>
        <v>190.73954107595961</v>
      </c>
      <c r="S49" s="10">
        <f t="shared" si="24"/>
        <v>211.43574809887241</v>
      </c>
      <c r="T49" s="10">
        <f t="shared" si="24"/>
        <v>125.39525629745427</v>
      </c>
      <c r="U49" s="10">
        <f t="shared" si="24"/>
        <v>47.394305899688383</v>
      </c>
      <c r="V49" s="10">
        <f t="shared" si="24"/>
        <v>19.613502109775752</v>
      </c>
      <c r="W49" s="11">
        <f t="shared" si="24"/>
        <v>24.894514767932492</v>
      </c>
      <c r="X49" s="10">
        <f t="shared" si="24"/>
        <v>25.806451612903224</v>
      </c>
      <c r="Y49" s="12">
        <f t="shared" si="24"/>
        <v>112.09677419354837</v>
      </c>
      <c r="Z49" s="12">
        <f t="shared" si="24"/>
        <v>125.59681697612733</v>
      </c>
      <c r="AA49" s="12">
        <f t="shared" si="24"/>
        <v>115.55819477434679</v>
      </c>
      <c r="AB49" s="12">
        <f t="shared" si="24"/>
        <v>136.27684964200478</v>
      </c>
      <c r="AC49" s="12">
        <f t="shared" si="24"/>
        <v>113.18289786223279</v>
      </c>
      <c r="AD49" s="12">
        <f t="shared" si="24"/>
        <v>98.337292161520182</v>
      </c>
    </row>
    <row r="50" spans="1:30" s="5" customFormat="1" ht="16.5" customHeight="1" x14ac:dyDescent="0.3">
      <c r="A50" s="13" t="s">
        <v>4</v>
      </c>
      <c r="B50" s="10">
        <f t="shared" si="21"/>
        <v>207.70370443451304</v>
      </c>
      <c r="C50" s="10">
        <f t="shared" ref="C50:N50" si="30">+C17/(C33)*100</f>
        <v>430.17552236751396</v>
      </c>
      <c r="D50" s="10">
        <f t="shared" si="30"/>
        <v>103.41060916485274</v>
      </c>
      <c r="E50" s="10">
        <f t="shared" si="30"/>
        <v>362.74952633042454</v>
      </c>
      <c r="F50" s="10">
        <f t="shared" si="30"/>
        <v>132.04245693160178</v>
      </c>
      <c r="G50" s="10">
        <f t="shared" si="30"/>
        <v>123.29809098637882</v>
      </c>
      <c r="H50" s="10">
        <f t="shared" si="30"/>
        <v>100.51844599929952</v>
      </c>
      <c r="I50" s="10">
        <f t="shared" si="30"/>
        <v>157.64610595625189</v>
      </c>
      <c r="J50" s="10">
        <f t="shared" si="30"/>
        <v>120.69497533154112</v>
      </c>
      <c r="K50" s="10">
        <f t="shared" si="30"/>
        <v>74.848073582534255</v>
      </c>
      <c r="L50" s="10">
        <f t="shared" si="30"/>
        <v>94.047125939984227</v>
      </c>
      <c r="M50" s="10">
        <f t="shared" si="30"/>
        <v>69.827247573259669</v>
      </c>
      <c r="N50" s="10">
        <f t="shared" si="30"/>
        <v>76.898348395156503</v>
      </c>
      <c r="O50" s="10">
        <f t="shared" si="23"/>
        <v>32.678444595358343</v>
      </c>
      <c r="P50" s="10">
        <f t="shared" si="23"/>
        <v>63.86794787381185</v>
      </c>
      <c r="Q50" s="10">
        <f t="shared" si="24"/>
        <v>27.769706563990336</v>
      </c>
      <c r="R50" s="10">
        <f t="shared" si="24"/>
        <v>61.202575393955115</v>
      </c>
      <c r="S50" s="10">
        <f t="shared" si="24"/>
        <v>28.646827020145594</v>
      </c>
      <c r="T50" s="10">
        <f t="shared" si="24"/>
        <v>20.276490220648768</v>
      </c>
      <c r="U50" s="10">
        <f t="shared" si="24"/>
        <v>28.668871809977336</v>
      </c>
      <c r="V50" s="10">
        <f t="shared" si="24"/>
        <v>18.230622814645521</v>
      </c>
      <c r="W50" s="10">
        <f t="shared" si="24"/>
        <v>7.6923076923076925</v>
      </c>
      <c r="X50" s="10">
        <f t="shared" si="24"/>
        <v>7.981220657276995</v>
      </c>
      <c r="Y50" s="12">
        <f t="shared" si="24"/>
        <v>25.821596244131456</v>
      </c>
      <c r="Z50" s="12">
        <f t="shared" si="24"/>
        <v>8.5585585585585591</v>
      </c>
      <c r="AA50" s="12">
        <f t="shared" si="24"/>
        <v>14.285714285714285</v>
      </c>
      <c r="AB50" s="12">
        <f t="shared" si="24"/>
        <v>17.699115044247787</v>
      </c>
      <c r="AC50" s="12">
        <f t="shared" si="24"/>
        <v>9.9099099099099099</v>
      </c>
      <c r="AD50" s="12">
        <f t="shared" si="24"/>
        <v>8.5585585585585591</v>
      </c>
    </row>
    <row r="51" spans="1:30" s="5" customFormat="1" ht="16.5" customHeight="1" x14ac:dyDescent="0.3">
      <c r="A51" s="13" t="s">
        <v>5</v>
      </c>
      <c r="B51" s="10">
        <f t="shared" si="21"/>
        <v>0</v>
      </c>
      <c r="C51" s="10">
        <f t="shared" ref="C51:N51" si="31">+C18/(C34)*100</f>
        <v>0</v>
      </c>
      <c r="D51" s="10">
        <f t="shared" si="31"/>
        <v>0</v>
      </c>
      <c r="E51" s="10">
        <f t="shared" si="31"/>
        <v>104.4122529867125</v>
      </c>
      <c r="F51" s="10">
        <f t="shared" si="31"/>
        <v>84.501710314616759</v>
      </c>
      <c r="G51" s="10">
        <f t="shared" si="31"/>
        <v>0</v>
      </c>
      <c r="H51" s="10">
        <f t="shared" si="31"/>
        <v>0</v>
      </c>
      <c r="I51" s="10">
        <f t="shared" si="31"/>
        <v>69.567104777103523</v>
      </c>
      <c r="J51" s="10">
        <f t="shared" si="31"/>
        <v>68.976934113232531</v>
      </c>
      <c r="K51" s="10">
        <f t="shared" si="31"/>
        <v>0</v>
      </c>
      <c r="L51" s="10">
        <f t="shared" si="31"/>
        <v>0</v>
      </c>
      <c r="M51" s="10">
        <f t="shared" si="31"/>
        <v>0</v>
      </c>
      <c r="N51" s="10">
        <f t="shared" si="31"/>
        <v>0</v>
      </c>
      <c r="O51" s="10">
        <f t="shared" si="23"/>
        <v>0</v>
      </c>
      <c r="P51" s="10">
        <f t="shared" si="23"/>
        <v>0</v>
      </c>
      <c r="Q51" s="10">
        <f t="shared" si="24"/>
        <v>0</v>
      </c>
      <c r="R51" s="10">
        <f t="shared" si="24"/>
        <v>388.88888888888886</v>
      </c>
      <c r="S51" s="10">
        <f t="shared" si="24"/>
        <v>55.555555555555557</v>
      </c>
      <c r="T51" s="10">
        <f t="shared" si="24"/>
        <v>0</v>
      </c>
      <c r="U51" s="10">
        <f t="shared" si="24"/>
        <v>0</v>
      </c>
      <c r="V51" s="10">
        <f>+V18/(V34)*100</f>
        <v>1320.4651558589039</v>
      </c>
      <c r="W51" s="10">
        <f>+W18/(W34)*100</f>
        <v>0</v>
      </c>
      <c r="X51" s="10">
        <f>+X18/(X34)*100</f>
        <v>20</v>
      </c>
      <c r="Y51" s="12">
        <f t="shared" si="24"/>
        <v>0</v>
      </c>
      <c r="Z51" s="12">
        <f t="shared" si="24"/>
        <v>0</v>
      </c>
      <c r="AA51" s="12">
        <f t="shared" si="24"/>
        <v>20</v>
      </c>
      <c r="AB51" s="12">
        <f t="shared" si="24"/>
        <v>19.607843137254903</v>
      </c>
      <c r="AC51" s="12">
        <f t="shared" si="24"/>
        <v>0</v>
      </c>
      <c r="AD51" s="12">
        <f t="shared" si="24"/>
        <v>0</v>
      </c>
    </row>
    <row r="52" spans="1:30" s="14" customFormat="1" ht="16.5" customHeight="1" x14ac:dyDescent="0.3">
      <c r="A52" s="14" t="s">
        <v>18</v>
      </c>
      <c r="B52" s="7">
        <f t="shared" ref="B52:B59" si="32">+B19/(B27)*100</f>
        <v>2329.1488587775552</v>
      </c>
      <c r="C52" s="7">
        <f t="shared" ref="C52:N52" si="33">+C19/(C27)*100</f>
        <v>1875.1947522698263</v>
      </c>
      <c r="D52" s="7">
        <f t="shared" si="33"/>
        <v>1449.6459985391414</v>
      </c>
      <c r="E52" s="7">
        <f t="shared" si="33"/>
        <v>1205.3232324530181</v>
      </c>
      <c r="F52" s="7">
        <f t="shared" si="33"/>
        <v>1161.127142734875</v>
      </c>
      <c r="G52" s="7">
        <f t="shared" si="33"/>
        <v>980.40955349181297</v>
      </c>
      <c r="H52" s="7">
        <f t="shared" si="33"/>
        <v>965.94258885793727</v>
      </c>
      <c r="I52" s="7">
        <f t="shared" si="33"/>
        <v>922.49577841037296</v>
      </c>
      <c r="J52" s="7">
        <f t="shared" si="33"/>
        <v>844.95835643725707</v>
      </c>
      <c r="K52" s="7">
        <f t="shared" si="33"/>
        <v>796.25478368592769</v>
      </c>
      <c r="L52" s="7">
        <f t="shared" si="33"/>
        <v>808.22398866904166</v>
      </c>
      <c r="M52" s="7">
        <f t="shared" si="33"/>
        <v>773.09869363749544</v>
      </c>
      <c r="N52" s="7">
        <f t="shared" si="33"/>
        <v>452.88197813983066</v>
      </c>
      <c r="O52" s="7">
        <f t="shared" ref="O52:P59" si="34">+O19/(O27)*100</f>
        <v>253.75165430701446</v>
      </c>
      <c r="P52" s="7">
        <f t="shared" si="34"/>
        <v>249.69950044553423</v>
      </c>
      <c r="Q52" s="7">
        <f t="shared" ref="Q52:AD59" si="35">+Q19/(Q27)*100</f>
        <v>263.13137366031918</v>
      </c>
      <c r="R52" s="7">
        <f t="shared" si="35"/>
        <v>286.94221551042307</v>
      </c>
      <c r="S52" s="7">
        <f t="shared" si="35"/>
        <v>261.77233261004835</v>
      </c>
      <c r="T52" s="7">
        <f t="shared" si="35"/>
        <v>106.92356074289697</v>
      </c>
      <c r="U52" s="7">
        <f t="shared" si="35"/>
        <v>106.42016083258244</v>
      </c>
      <c r="V52" s="7">
        <f t="shared" si="35"/>
        <v>108.37591915777077</v>
      </c>
      <c r="W52" s="8">
        <f t="shared" si="35"/>
        <v>98.247566063977743</v>
      </c>
      <c r="X52" s="7">
        <f t="shared" si="35"/>
        <v>89.391534391534393</v>
      </c>
      <c r="Y52" s="7">
        <f t="shared" si="35"/>
        <v>117.20401691331924</v>
      </c>
      <c r="Z52" s="7">
        <f t="shared" si="35"/>
        <v>122.62277951933125</v>
      </c>
      <c r="AA52" s="7">
        <f t="shared" si="35"/>
        <v>147.94871794871796</v>
      </c>
      <c r="AB52" s="7">
        <f t="shared" si="35"/>
        <v>149.31510013628696</v>
      </c>
      <c r="AC52" s="7">
        <f t="shared" si="35"/>
        <v>158.03571428571428</v>
      </c>
      <c r="AD52" s="7">
        <f t="shared" si="35"/>
        <v>156.9368131868132</v>
      </c>
    </row>
    <row r="53" spans="1:30" s="5" customFormat="1" ht="16.5" customHeight="1" x14ac:dyDescent="0.3">
      <c r="A53" s="9" t="s">
        <v>13</v>
      </c>
      <c r="B53" s="10">
        <f t="shared" si="32"/>
        <v>3314.8730515857715</v>
      </c>
      <c r="C53" s="10">
        <f t="shared" ref="C53:N53" si="36">+C20/(C28)*100</f>
        <v>2677.558813985057</v>
      </c>
      <c r="D53" s="10">
        <f t="shared" si="36"/>
        <v>2031.4441035708001</v>
      </c>
      <c r="E53" s="10">
        <f t="shared" si="36"/>
        <v>1691.9541970035616</v>
      </c>
      <c r="F53" s="10">
        <f t="shared" si="36"/>
        <v>1630.8441079578206</v>
      </c>
      <c r="G53" s="10">
        <f t="shared" si="36"/>
        <v>1399.7934112023261</v>
      </c>
      <c r="H53" s="10">
        <f t="shared" si="36"/>
        <v>1388.8818398976939</v>
      </c>
      <c r="I53" s="10">
        <f t="shared" si="36"/>
        <v>1337.8869431075057</v>
      </c>
      <c r="J53" s="10">
        <f t="shared" si="36"/>
        <v>1252.1988274428618</v>
      </c>
      <c r="K53" s="10">
        <f t="shared" si="36"/>
        <v>1166.3744486488811</v>
      </c>
      <c r="L53" s="10">
        <f t="shared" si="36"/>
        <v>1184.3350833711604</v>
      </c>
      <c r="M53" s="10">
        <f t="shared" si="36"/>
        <v>1140.5873703275863</v>
      </c>
      <c r="N53" s="10">
        <f t="shared" si="36"/>
        <v>668.0669990148233</v>
      </c>
      <c r="O53" s="10">
        <f t="shared" si="34"/>
        <v>358.18790843842055</v>
      </c>
      <c r="P53" s="10">
        <f t="shared" si="34"/>
        <v>361.53589942972974</v>
      </c>
      <c r="Q53" s="10">
        <f t="shared" si="35"/>
        <v>376.90080343868169</v>
      </c>
      <c r="R53" s="10">
        <f t="shared" si="35"/>
        <v>418.46283465218636</v>
      </c>
      <c r="S53" s="10">
        <f t="shared" si="35"/>
        <v>386.28807124491465</v>
      </c>
      <c r="T53" s="10">
        <f t="shared" si="35"/>
        <v>153.19306317055725</v>
      </c>
      <c r="U53" s="10">
        <f t="shared" si="35"/>
        <v>144.66141679032216</v>
      </c>
      <c r="V53" s="10">
        <f t="shared" si="35"/>
        <v>153.62274850554229</v>
      </c>
      <c r="W53" s="10">
        <f t="shared" si="35"/>
        <v>169.03954802259886</v>
      </c>
      <c r="X53" s="10">
        <f t="shared" si="35"/>
        <v>155.88399330730621</v>
      </c>
      <c r="Y53" s="12">
        <f t="shared" si="35"/>
        <v>193.64194088120468</v>
      </c>
      <c r="Z53" s="12">
        <f t="shared" si="35"/>
        <v>202.59955752212392</v>
      </c>
      <c r="AA53" s="12">
        <f t="shared" si="35"/>
        <v>222.998046875</v>
      </c>
      <c r="AB53" s="12">
        <f t="shared" si="35"/>
        <v>222.54807692307693</v>
      </c>
      <c r="AC53" s="12">
        <f t="shared" si="35"/>
        <v>225.22651406771578</v>
      </c>
      <c r="AD53" s="12">
        <f t="shared" si="35"/>
        <v>231.56890796375774</v>
      </c>
    </row>
    <row r="54" spans="1:30" s="5" customFormat="1" ht="16.5" customHeight="1" x14ac:dyDescent="0.3">
      <c r="A54" s="13" t="s">
        <v>0</v>
      </c>
      <c r="B54" s="10">
        <f t="shared" si="32"/>
        <v>2905.8194001233078</v>
      </c>
      <c r="C54" s="10">
        <f t="shared" ref="C54:N54" si="37">+C21/(C29)*100</f>
        <v>2456.3962214695616</v>
      </c>
      <c r="D54" s="10">
        <f t="shared" si="37"/>
        <v>2121.0731909181159</v>
      </c>
      <c r="E54" s="10">
        <f t="shared" si="37"/>
        <v>1638.9331676635934</v>
      </c>
      <c r="F54" s="10">
        <f t="shared" si="37"/>
        <v>1515.7742959968521</v>
      </c>
      <c r="G54" s="10">
        <f t="shared" si="37"/>
        <v>896.65302061364662</v>
      </c>
      <c r="H54" s="10">
        <f t="shared" si="37"/>
        <v>910.11387125902843</v>
      </c>
      <c r="I54" s="10">
        <f t="shared" si="37"/>
        <v>890.85160922772081</v>
      </c>
      <c r="J54" s="10">
        <f t="shared" si="37"/>
        <v>757.80796928881546</v>
      </c>
      <c r="K54" s="10">
        <f t="shared" si="37"/>
        <v>624.24888553366668</v>
      </c>
      <c r="L54" s="10">
        <f t="shared" si="37"/>
        <v>686.74518504579851</v>
      </c>
      <c r="M54" s="10">
        <f t="shared" si="37"/>
        <v>654.39091452785294</v>
      </c>
      <c r="N54" s="10">
        <f t="shared" si="37"/>
        <v>924.66777995783571</v>
      </c>
      <c r="O54" s="10">
        <f>+O21/(O29)*100</f>
        <v>873.99581849590504</v>
      </c>
      <c r="P54" s="10">
        <f>+P21/(P29)*100</f>
        <v>772.82350072359145</v>
      </c>
      <c r="Q54" s="10">
        <f t="shared" si="35"/>
        <v>928.02860501917678</v>
      </c>
      <c r="R54" s="10">
        <f t="shared" si="35"/>
        <v>886.37429503359874</v>
      </c>
      <c r="S54" s="10">
        <f t="shared" si="35"/>
        <v>778.01769084848888</v>
      </c>
      <c r="T54" s="10">
        <f t="shared" si="35"/>
        <v>225.00830387788122</v>
      </c>
      <c r="U54" s="10">
        <f t="shared" si="35"/>
        <v>312.9888354646755</v>
      </c>
      <c r="V54" s="10">
        <f t="shared" si="35"/>
        <v>312.82235208139582</v>
      </c>
      <c r="W54" s="10">
        <f t="shared" si="35"/>
        <v>234.14634146341461</v>
      </c>
      <c r="X54" s="10">
        <f t="shared" si="35"/>
        <v>216.50485436893203</v>
      </c>
      <c r="Y54" s="12">
        <f t="shared" si="35"/>
        <v>161.22448979591837</v>
      </c>
      <c r="Z54" s="12">
        <f t="shared" si="35"/>
        <v>206.86274509803923</v>
      </c>
      <c r="AA54" s="12">
        <f t="shared" si="35"/>
        <v>555.14018691588785</v>
      </c>
      <c r="AB54" s="12">
        <f t="shared" si="35"/>
        <v>492.03539823008845</v>
      </c>
      <c r="AC54" s="12">
        <f t="shared" si="35"/>
        <v>704.7619047619047</v>
      </c>
      <c r="AD54" s="12">
        <f t="shared" si="35"/>
        <v>656.34920634920627</v>
      </c>
    </row>
    <row r="55" spans="1:30" s="5" customFormat="1" ht="16.5" customHeight="1" x14ac:dyDescent="0.3">
      <c r="A55" s="13" t="s">
        <v>1</v>
      </c>
      <c r="B55" s="10">
        <f t="shared" si="32"/>
        <v>27.240367882530276</v>
      </c>
      <c r="C55" s="10">
        <f t="shared" ref="C55:N55" si="38">+C22/(C30)*100</f>
        <v>36.026507414991087</v>
      </c>
      <c r="D55" s="10">
        <f t="shared" si="38"/>
        <v>117.83954561086591</v>
      </c>
      <c r="E55" s="10">
        <f t="shared" si="38"/>
        <v>127.87690734250619</v>
      </c>
      <c r="F55" s="10">
        <f t="shared" si="38"/>
        <v>142.45462293234939</v>
      </c>
      <c r="G55" s="10">
        <f t="shared" si="38"/>
        <v>118.57202529797632</v>
      </c>
      <c r="H55" s="10">
        <f t="shared" si="38"/>
        <v>63.706966220504327</v>
      </c>
      <c r="I55" s="10">
        <f t="shared" si="38"/>
        <v>58.278010421503353</v>
      </c>
      <c r="J55" s="10">
        <f t="shared" si="38"/>
        <v>51.796285090529139</v>
      </c>
      <c r="K55" s="10">
        <f t="shared" si="38"/>
        <v>68.550585988325665</v>
      </c>
      <c r="L55" s="10">
        <f t="shared" si="38"/>
        <v>61.151496933541395</v>
      </c>
      <c r="M55" s="10">
        <f t="shared" si="38"/>
        <v>53.939414043087965</v>
      </c>
      <c r="N55" s="10">
        <f t="shared" si="38"/>
        <v>29.47553299869433</v>
      </c>
      <c r="O55" s="10">
        <f t="shared" si="34"/>
        <v>24.131899335223491</v>
      </c>
      <c r="P55" s="10">
        <f t="shared" si="34"/>
        <v>26.576976530599396</v>
      </c>
      <c r="Q55" s="10">
        <f t="shared" si="35"/>
        <v>18.13107762148174</v>
      </c>
      <c r="R55" s="10">
        <f t="shared" si="35"/>
        <v>20.194635869680479</v>
      </c>
      <c r="S55" s="10">
        <f t="shared" si="35"/>
        <v>21.715473467667497</v>
      </c>
      <c r="T55" s="10">
        <f t="shared" si="35"/>
        <v>11.030250760826451</v>
      </c>
      <c r="U55" s="10">
        <f t="shared" si="35"/>
        <v>92.778575230855751</v>
      </c>
      <c r="V55" s="10">
        <f t="shared" si="35"/>
        <v>134.02219366289458</v>
      </c>
      <c r="W55" s="10">
        <f t="shared" si="35"/>
        <v>16.871165644171779</v>
      </c>
      <c r="X55" s="10">
        <f t="shared" si="35"/>
        <v>22.981366459627328</v>
      </c>
      <c r="Y55" s="12">
        <f t="shared" si="35"/>
        <v>18.633540372670808</v>
      </c>
      <c r="Z55" s="12">
        <f t="shared" si="35"/>
        <v>16.329704510108865</v>
      </c>
      <c r="AA55" s="12">
        <f t="shared" si="35"/>
        <v>25.467625899280577</v>
      </c>
      <c r="AB55" s="12">
        <f t="shared" si="35"/>
        <v>23.275862068965516</v>
      </c>
      <c r="AC55" s="12">
        <f t="shared" si="35"/>
        <v>32.005689900426745</v>
      </c>
      <c r="AD55" s="12">
        <f t="shared" si="35"/>
        <v>29.72972972972973</v>
      </c>
    </row>
    <row r="56" spans="1:30" s="5" customFormat="1" ht="16.5" customHeight="1" x14ac:dyDescent="0.3">
      <c r="A56" s="13" t="s">
        <v>2</v>
      </c>
      <c r="B56" s="10">
        <f t="shared" si="32"/>
        <v>93.457551628114388</v>
      </c>
      <c r="C56" s="10">
        <f t="shared" ref="C56:N56" si="39">+C23/(C31)*100</f>
        <v>131.67607524081376</v>
      </c>
      <c r="D56" s="10">
        <f t="shared" si="39"/>
        <v>96.274888913804517</v>
      </c>
      <c r="E56" s="10">
        <f t="shared" si="39"/>
        <v>100.77615273432157</v>
      </c>
      <c r="F56" s="10">
        <f t="shared" si="39"/>
        <v>126.57947390296711</v>
      </c>
      <c r="G56" s="10">
        <f t="shared" si="39"/>
        <v>99.505953860434374</v>
      </c>
      <c r="H56" s="10">
        <f t="shared" si="39"/>
        <v>98.833253770925012</v>
      </c>
      <c r="I56" s="10">
        <f t="shared" si="39"/>
        <v>88.804097010317108</v>
      </c>
      <c r="J56" s="10">
        <f t="shared" si="39"/>
        <v>79.608024934388339</v>
      </c>
      <c r="K56" s="10">
        <f t="shared" si="39"/>
        <v>86.48840138644367</v>
      </c>
      <c r="L56" s="10">
        <f t="shared" si="39"/>
        <v>101.7957130724007</v>
      </c>
      <c r="M56" s="10">
        <f t="shared" si="39"/>
        <v>92.163113420232222</v>
      </c>
      <c r="N56" s="10">
        <f t="shared" si="39"/>
        <v>34.953507887512373</v>
      </c>
      <c r="O56" s="10">
        <f t="shared" si="34"/>
        <v>34.757526089106484</v>
      </c>
      <c r="P56" s="10">
        <f t="shared" si="34"/>
        <v>33.363672511202417</v>
      </c>
      <c r="Q56" s="10">
        <f t="shared" si="35"/>
        <v>25.133569955052526</v>
      </c>
      <c r="R56" s="10">
        <f t="shared" si="35"/>
        <v>27.251522660248057</v>
      </c>
      <c r="S56" s="10">
        <f t="shared" si="35"/>
        <v>44.218118304884612</v>
      </c>
      <c r="T56" s="10">
        <f t="shared" si="35"/>
        <v>37.470746442734693</v>
      </c>
      <c r="U56" s="10">
        <f t="shared" si="35"/>
        <v>46.32352941176471</v>
      </c>
      <c r="V56" s="10">
        <f t="shared" si="35"/>
        <v>48.161764705882355</v>
      </c>
      <c r="W56" s="10">
        <f t="shared" si="35"/>
        <v>41.240875912408761</v>
      </c>
      <c r="X56" s="10">
        <f t="shared" si="35"/>
        <v>27.697841726618705</v>
      </c>
      <c r="Y56" s="12">
        <f t="shared" si="35"/>
        <v>27.874564459930312</v>
      </c>
      <c r="Z56" s="12">
        <f t="shared" si="35"/>
        <v>19.727891156462583</v>
      </c>
      <c r="AA56" s="12">
        <f t="shared" si="35"/>
        <v>22.222222222222221</v>
      </c>
      <c r="AB56" s="12">
        <f t="shared" si="35"/>
        <v>18.867924528301888</v>
      </c>
      <c r="AC56" s="12">
        <f t="shared" si="35"/>
        <v>23.324396782841823</v>
      </c>
      <c r="AD56" s="12">
        <f t="shared" si="35"/>
        <v>21.983914209115284</v>
      </c>
    </row>
    <row r="57" spans="1:30" s="5" customFormat="1" ht="16.5" customHeight="1" x14ac:dyDescent="0.3">
      <c r="A57" s="13" t="s">
        <v>3</v>
      </c>
      <c r="B57" s="10">
        <f t="shared" si="32"/>
        <v>2176.6410760428248</v>
      </c>
      <c r="C57" s="10">
        <f t="shared" ref="C57:N57" si="40">+C24/(C32)*100</f>
        <v>1147.2597046578617</v>
      </c>
      <c r="D57" s="10">
        <f t="shared" si="40"/>
        <v>928.18856567562841</v>
      </c>
      <c r="E57" s="10">
        <f t="shared" si="40"/>
        <v>682.34623659616113</v>
      </c>
      <c r="F57" s="10">
        <f t="shared" si="40"/>
        <v>701.71237625344838</v>
      </c>
      <c r="G57" s="10">
        <f t="shared" si="40"/>
        <v>591.12726562543969</v>
      </c>
      <c r="H57" s="10">
        <f t="shared" si="40"/>
        <v>713.64902818244263</v>
      </c>
      <c r="I57" s="10">
        <f t="shared" si="40"/>
        <v>661.20569963790774</v>
      </c>
      <c r="J57" s="10">
        <f t="shared" si="40"/>
        <v>422.58068548136742</v>
      </c>
      <c r="K57" s="10">
        <f t="shared" si="40"/>
        <v>516.46237913379821</v>
      </c>
      <c r="L57" s="10">
        <f t="shared" si="40"/>
        <v>556.79558144897635</v>
      </c>
      <c r="M57" s="10">
        <f t="shared" si="40"/>
        <v>475.92064386055586</v>
      </c>
      <c r="N57" s="10">
        <f t="shared" si="40"/>
        <v>164.92728889078282</v>
      </c>
      <c r="O57" s="10">
        <f t="shared" si="34"/>
        <v>141.3559659446901</v>
      </c>
      <c r="P57" s="10">
        <f t="shared" si="34"/>
        <v>107.92943195246694</v>
      </c>
      <c r="Q57" s="10">
        <f t="shared" si="35"/>
        <v>127.29485529202647</v>
      </c>
      <c r="R57" s="10">
        <f t="shared" si="35"/>
        <v>182.04631802424024</v>
      </c>
      <c r="S57" s="10">
        <f t="shared" si="35"/>
        <v>71.766703010061136</v>
      </c>
      <c r="T57" s="10">
        <f t="shared" si="35"/>
        <v>82.551877062490718</v>
      </c>
      <c r="U57" s="10">
        <f t="shared" si="35"/>
        <v>34.820306375281255</v>
      </c>
      <c r="V57" s="10">
        <f t="shared" si="35"/>
        <v>14.383234880502219</v>
      </c>
      <c r="W57" s="11">
        <f t="shared" si="35"/>
        <v>16.736990154711673</v>
      </c>
      <c r="X57" s="10">
        <f t="shared" si="35"/>
        <v>16.801075268817204</v>
      </c>
      <c r="Y57" s="12">
        <f t="shared" si="35"/>
        <v>78.225806451612897</v>
      </c>
      <c r="Z57" s="12">
        <f t="shared" si="35"/>
        <v>85.676392572944295</v>
      </c>
      <c r="AA57" s="12">
        <f t="shared" si="35"/>
        <v>103.91923990498813</v>
      </c>
      <c r="AB57" s="12">
        <f t="shared" si="35"/>
        <v>117.5417661097852</v>
      </c>
      <c r="AC57" s="12">
        <f t="shared" si="35"/>
        <v>110.45130641330165</v>
      </c>
      <c r="AD57" s="12">
        <f t="shared" si="35"/>
        <v>100.8313539192399</v>
      </c>
    </row>
    <row r="58" spans="1:30" s="5" customFormat="1" ht="16.5" customHeight="1" x14ac:dyDescent="0.3">
      <c r="A58" s="13" t="s">
        <v>4</v>
      </c>
      <c r="B58" s="10">
        <f t="shared" si="32"/>
        <v>1051.5000036997224</v>
      </c>
      <c r="C58" s="10">
        <f t="shared" ref="C58:N58" si="41">+C25/(C33)*100</f>
        <v>943.99628519537805</v>
      </c>
      <c r="D58" s="10">
        <f t="shared" si="41"/>
        <v>278.41317852075736</v>
      </c>
      <c r="E58" s="10">
        <f t="shared" si="41"/>
        <v>744.26195919518148</v>
      </c>
      <c r="F58" s="10">
        <f t="shared" si="41"/>
        <v>198.06368539740268</v>
      </c>
      <c r="G58" s="10">
        <f t="shared" si="41"/>
        <v>289.482474489759</v>
      </c>
      <c r="H58" s="10">
        <f t="shared" si="41"/>
        <v>313.61755151781449</v>
      </c>
      <c r="I58" s="10">
        <f t="shared" si="41"/>
        <v>485.06494140385195</v>
      </c>
      <c r="J58" s="10">
        <f t="shared" si="41"/>
        <v>407.63019970463887</v>
      </c>
      <c r="K58" s="10">
        <f t="shared" si="41"/>
        <v>262.97971799268794</v>
      </c>
      <c r="L58" s="10">
        <f t="shared" si="41"/>
        <v>301.33466882811268</v>
      </c>
      <c r="M58" s="10">
        <f t="shared" si="41"/>
        <v>380.37474335959871</v>
      </c>
      <c r="N58" s="10">
        <f t="shared" si="41"/>
        <v>60.803345242681885</v>
      </c>
      <c r="O58" s="10">
        <f t="shared" si="34"/>
        <v>16.339222297679171</v>
      </c>
      <c r="P58" s="10">
        <f t="shared" si="34"/>
        <v>48.332501093695448</v>
      </c>
      <c r="Q58" s="10">
        <f t="shared" si="35"/>
        <v>169.70376233549652</v>
      </c>
      <c r="R58" s="10">
        <f t="shared" si="35"/>
        <v>41.669838566097098</v>
      </c>
      <c r="S58" s="10">
        <f t="shared" si="35"/>
        <v>35.522065504980539</v>
      </c>
      <c r="T58" s="10">
        <f t="shared" si="35"/>
        <v>7.0967715772270692</v>
      </c>
      <c r="U58" s="10">
        <f t="shared" si="35"/>
        <v>9.9463432810125454</v>
      </c>
      <c r="V58" s="10">
        <f t="shared" si="35"/>
        <v>6.0768742715485073</v>
      </c>
      <c r="W58" s="10">
        <f t="shared" si="35"/>
        <v>5.7692307692307692</v>
      </c>
      <c r="X58" s="10">
        <f t="shared" si="35"/>
        <v>4.6948356807511731</v>
      </c>
      <c r="Y58" s="12">
        <f t="shared" si="35"/>
        <v>10.328638497652582</v>
      </c>
      <c r="Z58" s="12">
        <f t="shared" si="35"/>
        <v>4.5045045045045047</v>
      </c>
      <c r="AA58" s="12">
        <f t="shared" si="35"/>
        <v>22.321428571428573</v>
      </c>
      <c r="AB58" s="12">
        <f t="shared" si="35"/>
        <v>26.10619469026549</v>
      </c>
      <c r="AC58" s="12">
        <f t="shared" si="35"/>
        <v>22.522522522522522</v>
      </c>
      <c r="AD58" s="12">
        <f t="shared" si="35"/>
        <v>14.414414414414415</v>
      </c>
    </row>
    <row r="59" spans="1:30" s="5" customFormat="1" ht="16.5" customHeight="1" thickBot="1" x14ac:dyDescent="0.35">
      <c r="A59" s="20" t="s">
        <v>5</v>
      </c>
      <c r="B59" s="21">
        <f t="shared" si="32"/>
        <v>161.96246681793963</v>
      </c>
      <c r="C59" s="21">
        <f t="shared" ref="C59:N59" si="42">+C26/(C34)*100</f>
        <v>203.65147087274838</v>
      </c>
      <c r="D59" s="21">
        <f t="shared" si="42"/>
        <v>101.92931813363342</v>
      </c>
      <c r="E59" s="21">
        <f t="shared" si="42"/>
        <v>104.4122529867125</v>
      </c>
      <c r="F59" s="21">
        <f t="shared" si="42"/>
        <v>84.501710314616759</v>
      </c>
      <c r="G59" s="21">
        <f t="shared" si="42"/>
        <v>87.316264749900014</v>
      </c>
      <c r="H59" s="21">
        <f t="shared" si="42"/>
        <v>69.34197241853704</v>
      </c>
      <c r="I59" s="21">
        <f t="shared" si="42"/>
        <v>208.70131433131056</v>
      </c>
      <c r="J59" s="21">
        <f t="shared" si="42"/>
        <v>206.93080233969764</v>
      </c>
      <c r="K59" s="21">
        <f t="shared" si="42"/>
        <v>0</v>
      </c>
      <c r="L59" s="21">
        <f t="shared" si="42"/>
        <v>61.607689625388282</v>
      </c>
      <c r="M59" s="21">
        <f t="shared" si="42"/>
        <v>0</v>
      </c>
      <c r="N59" s="21">
        <f t="shared" si="42"/>
        <v>0</v>
      </c>
      <c r="O59" s="21">
        <f t="shared" si="34"/>
        <v>0</v>
      </c>
      <c r="P59" s="21">
        <f t="shared" si="34"/>
        <v>0</v>
      </c>
      <c r="Q59" s="21">
        <f t="shared" si="35"/>
        <v>0</v>
      </c>
      <c r="R59" s="21">
        <f t="shared" si="35"/>
        <v>111.11111111111111</v>
      </c>
      <c r="S59" s="21">
        <f t="shared" si="35"/>
        <v>55.555555555555557</v>
      </c>
      <c r="T59" s="21">
        <f t="shared" si="35"/>
        <v>0</v>
      </c>
      <c r="U59" s="21">
        <f t="shared" si="35"/>
        <v>70.97398306702712</v>
      </c>
      <c r="V59" s="21">
        <f t="shared" si="35"/>
        <v>73.359175325494661</v>
      </c>
      <c r="W59" s="21">
        <f t="shared" si="35"/>
        <v>0</v>
      </c>
      <c r="X59" s="21">
        <f t="shared" si="35"/>
        <v>20</v>
      </c>
      <c r="Y59" s="22">
        <f t="shared" si="35"/>
        <v>20</v>
      </c>
      <c r="Z59" s="22">
        <f t="shared" si="35"/>
        <v>20</v>
      </c>
      <c r="AA59" s="22">
        <f t="shared" si="35"/>
        <v>40</v>
      </c>
      <c r="AB59" s="22">
        <f t="shared" si="35"/>
        <v>58.82352941176471</v>
      </c>
      <c r="AC59" s="22">
        <f>+AC26/(AC34)*100</f>
        <v>0</v>
      </c>
      <c r="AD59" s="22">
        <f>+AD26/(AD34)*100</f>
        <v>0</v>
      </c>
    </row>
    <row r="60" spans="1:30" s="23" customFormat="1" ht="12.75" customHeight="1" x14ac:dyDescent="0.2">
      <c r="A60" s="37" t="s">
        <v>29</v>
      </c>
      <c r="B60" s="37"/>
      <c r="C60" s="37"/>
      <c r="D60" s="37"/>
      <c r="E60" s="37"/>
      <c r="F60" s="37"/>
      <c r="G60" s="37"/>
      <c r="H60" s="37"/>
      <c r="I60" s="37"/>
      <c r="J60" s="37"/>
      <c r="K60" s="37"/>
      <c r="L60" s="37"/>
      <c r="M60" s="37"/>
      <c r="N60" s="37"/>
      <c r="O60" s="37"/>
      <c r="P60" s="37"/>
    </row>
    <row r="61" spans="1:30" s="23" customFormat="1" ht="12.75" customHeight="1" x14ac:dyDescent="0.2">
      <c r="A61" s="38"/>
      <c r="B61" s="38"/>
      <c r="C61" s="38"/>
      <c r="D61" s="38"/>
      <c r="E61" s="38"/>
      <c r="F61" s="38"/>
      <c r="G61" s="38"/>
      <c r="H61" s="38"/>
      <c r="I61" s="38"/>
      <c r="J61" s="38"/>
      <c r="K61" s="38"/>
      <c r="L61" s="38"/>
      <c r="M61" s="38"/>
      <c r="N61" s="38"/>
      <c r="O61" s="38"/>
      <c r="P61" s="38"/>
    </row>
    <row r="62" spans="1:30" s="23" customFormat="1" ht="25.5" customHeight="1" x14ac:dyDescent="0.2">
      <c r="A62" s="39" t="s">
        <v>28</v>
      </c>
      <c r="B62" s="39"/>
      <c r="C62" s="39"/>
      <c r="D62" s="39"/>
      <c r="E62" s="39"/>
      <c r="F62" s="39"/>
      <c r="G62" s="39"/>
      <c r="H62" s="39"/>
      <c r="I62" s="39"/>
      <c r="J62" s="39"/>
      <c r="K62" s="39"/>
      <c r="L62" s="39"/>
      <c r="M62" s="39"/>
      <c r="N62" s="39"/>
      <c r="O62" s="39"/>
      <c r="P62" s="39"/>
    </row>
    <row r="63" spans="1:30" s="23" customFormat="1" ht="12.75" customHeight="1" x14ac:dyDescent="0.2">
      <c r="A63" s="39" t="s">
        <v>20</v>
      </c>
      <c r="B63" s="39"/>
      <c r="C63" s="39"/>
      <c r="D63" s="39"/>
      <c r="E63" s="39"/>
      <c r="F63" s="39"/>
      <c r="G63" s="39"/>
      <c r="H63" s="39"/>
      <c r="I63" s="39"/>
      <c r="J63" s="39"/>
      <c r="K63" s="39"/>
      <c r="L63" s="39"/>
      <c r="M63" s="39"/>
      <c r="N63" s="39"/>
      <c r="O63" s="39"/>
      <c r="P63" s="39"/>
    </row>
    <row r="64" spans="1:30" s="23" customFormat="1" ht="12.75" customHeight="1" x14ac:dyDescent="0.2">
      <c r="A64" s="39" t="s">
        <v>19</v>
      </c>
      <c r="B64" s="39"/>
      <c r="C64" s="39"/>
      <c r="D64" s="39"/>
      <c r="E64" s="39"/>
      <c r="F64" s="39"/>
      <c r="G64" s="39"/>
      <c r="H64" s="39"/>
      <c r="I64" s="39"/>
      <c r="J64" s="39"/>
      <c r="K64" s="39"/>
      <c r="L64" s="39"/>
      <c r="M64" s="39"/>
      <c r="N64" s="39"/>
      <c r="O64" s="39"/>
      <c r="P64" s="39"/>
    </row>
    <row r="65" spans="1:16" s="23" customFormat="1" ht="38.25" customHeight="1" x14ac:dyDescent="0.2">
      <c r="A65" s="39" t="s">
        <v>21</v>
      </c>
      <c r="B65" s="39"/>
      <c r="C65" s="39"/>
      <c r="D65" s="39"/>
      <c r="E65" s="39"/>
      <c r="F65" s="39"/>
      <c r="G65" s="39"/>
      <c r="H65" s="39"/>
      <c r="I65" s="39"/>
      <c r="J65" s="39"/>
      <c r="K65" s="39"/>
      <c r="L65" s="39"/>
      <c r="M65" s="39"/>
      <c r="N65" s="39"/>
      <c r="O65" s="39"/>
      <c r="P65" s="39"/>
    </row>
    <row r="66" spans="1:16" s="23" customFormat="1" ht="25.5" customHeight="1" x14ac:dyDescent="0.2">
      <c r="A66" s="39" t="s">
        <v>25</v>
      </c>
      <c r="B66" s="39"/>
      <c r="C66" s="39"/>
      <c r="D66" s="39"/>
      <c r="E66" s="39"/>
      <c r="F66" s="39"/>
      <c r="G66" s="39"/>
      <c r="H66" s="39"/>
      <c r="I66" s="39"/>
      <c r="J66" s="39"/>
      <c r="K66" s="39"/>
      <c r="L66" s="39"/>
      <c r="M66" s="39"/>
      <c r="N66" s="39"/>
      <c r="O66" s="39"/>
      <c r="P66" s="39"/>
    </row>
    <row r="67" spans="1:16" s="23" customFormat="1" ht="12.75" customHeight="1" x14ac:dyDescent="0.2">
      <c r="A67" s="40"/>
      <c r="B67" s="40"/>
      <c r="C67" s="40"/>
      <c r="D67" s="40"/>
      <c r="E67" s="40"/>
      <c r="F67" s="40"/>
      <c r="G67" s="40"/>
      <c r="H67" s="40"/>
      <c r="I67" s="40"/>
      <c r="J67" s="40"/>
      <c r="K67" s="40"/>
      <c r="L67" s="40"/>
      <c r="M67" s="40"/>
      <c r="N67" s="40"/>
      <c r="O67" s="40"/>
      <c r="P67" s="40"/>
    </row>
    <row r="68" spans="1:16" s="23" customFormat="1" ht="12.75" customHeight="1" x14ac:dyDescent="0.2">
      <c r="A68" s="35" t="s">
        <v>8</v>
      </c>
      <c r="B68" s="35"/>
      <c r="C68" s="35"/>
      <c r="D68" s="35"/>
      <c r="E68" s="35"/>
      <c r="F68" s="35"/>
      <c r="G68" s="35"/>
      <c r="H68" s="35"/>
      <c r="I68" s="35"/>
      <c r="J68" s="35"/>
      <c r="K68" s="35"/>
      <c r="L68" s="35"/>
      <c r="M68" s="35"/>
      <c r="N68" s="35"/>
      <c r="O68" s="35"/>
      <c r="P68" s="35"/>
    </row>
    <row r="69" spans="1:16" s="23" customFormat="1" ht="38.25" customHeight="1" x14ac:dyDescent="0.2">
      <c r="A69" s="36" t="s">
        <v>22</v>
      </c>
      <c r="B69" s="36"/>
      <c r="C69" s="36"/>
      <c r="D69" s="36"/>
      <c r="E69" s="36"/>
      <c r="F69" s="36"/>
      <c r="G69" s="36"/>
      <c r="H69" s="36"/>
      <c r="I69" s="36"/>
      <c r="J69" s="36"/>
      <c r="K69" s="36"/>
      <c r="L69" s="36"/>
      <c r="M69" s="36"/>
      <c r="N69" s="36"/>
      <c r="O69" s="36"/>
      <c r="P69" s="36"/>
    </row>
    <row r="70" spans="1:16" s="23" customFormat="1" ht="12.75" customHeight="1" x14ac:dyDescent="0.2">
      <c r="A70" s="36" t="s">
        <v>7</v>
      </c>
      <c r="B70" s="36"/>
      <c r="C70" s="36"/>
      <c r="D70" s="36"/>
      <c r="E70" s="36"/>
      <c r="F70" s="36"/>
      <c r="G70" s="36"/>
      <c r="H70" s="36"/>
      <c r="I70" s="36"/>
      <c r="J70" s="36"/>
      <c r="K70" s="36"/>
      <c r="L70" s="36"/>
      <c r="M70" s="36"/>
      <c r="N70" s="36"/>
      <c r="O70" s="36"/>
      <c r="P70" s="36"/>
    </row>
    <row r="71" spans="1:16" s="23" customFormat="1" ht="25.5" customHeight="1" x14ac:dyDescent="0.2">
      <c r="A71" s="33" t="s">
        <v>23</v>
      </c>
      <c r="B71" s="33"/>
      <c r="C71" s="33"/>
      <c r="D71" s="33"/>
      <c r="E71" s="33"/>
      <c r="F71" s="33"/>
      <c r="G71" s="33"/>
      <c r="H71" s="33"/>
      <c r="I71" s="33"/>
      <c r="J71" s="33"/>
      <c r="K71" s="33"/>
      <c r="L71" s="33"/>
      <c r="M71" s="33"/>
      <c r="N71" s="33"/>
      <c r="O71" s="33"/>
      <c r="P71" s="33"/>
    </row>
    <row r="72" spans="1:16" s="23" customFormat="1" ht="12.75" customHeight="1" x14ac:dyDescent="0.2">
      <c r="A72" s="41" t="s">
        <v>24</v>
      </c>
      <c r="B72" s="41"/>
      <c r="C72" s="41"/>
      <c r="D72" s="41"/>
      <c r="E72" s="41"/>
      <c r="F72" s="41"/>
      <c r="G72" s="41"/>
      <c r="H72" s="41"/>
      <c r="I72" s="41"/>
      <c r="J72" s="41"/>
      <c r="K72" s="41"/>
      <c r="L72" s="41"/>
      <c r="M72" s="41"/>
      <c r="N72" s="41"/>
      <c r="O72" s="41"/>
      <c r="P72" s="41"/>
    </row>
    <row r="73" spans="1:16" s="23" customFormat="1" ht="51" customHeight="1" x14ac:dyDescent="0.2">
      <c r="A73" s="33" t="s">
        <v>27</v>
      </c>
      <c r="B73" s="33"/>
      <c r="C73" s="33"/>
      <c r="D73" s="33"/>
      <c r="E73" s="33"/>
      <c r="F73" s="33"/>
      <c r="G73" s="33"/>
      <c r="H73" s="33"/>
      <c r="I73" s="33"/>
      <c r="J73" s="33"/>
      <c r="K73" s="33"/>
      <c r="L73" s="33"/>
      <c r="M73" s="33"/>
      <c r="N73" s="33"/>
      <c r="O73" s="33"/>
      <c r="P73" s="33"/>
    </row>
    <row r="74" spans="1:16" s="23" customFormat="1" ht="12.75" customHeight="1" x14ac:dyDescent="0.2">
      <c r="A74" s="34"/>
      <c r="B74" s="34"/>
      <c r="C74" s="34"/>
      <c r="D74" s="34"/>
      <c r="E74" s="34"/>
      <c r="F74" s="34"/>
      <c r="G74" s="34"/>
      <c r="H74" s="34"/>
      <c r="I74" s="34"/>
      <c r="J74" s="34"/>
      <c r="K74" s="34"/>
      <c r="L74" s="34"/>
      <c r="M74" s="34"/>
      <c r="N74" s="34"/>
      <c r="O74" s="34"/>
      <c r="P74" s="34"/>
    </row>
    <row r="75" spans="1:16" s="23" customFormat="1" ht="12.75" customHeight="1" x14ac:dyDescent="0.2">
      <c r="A75" s="35" t="s">
        <v>9</v>
      </c>
      <c r="B75" s="35"/>
      <c r="C75" s="35"/>
      <c r="D75" s="35"/>
      <c r="E75" s="35"/>
      <c r="F75" s="35"/>
      <c r="G75" s="35"/>
      <c r="H75" s="35"/>
      <c r="I75" s="35"/>
      <c r="J75" s="35"/>
      <c r="K75" s="35"/>
      <c r="L75" s="35"/>
      <c r="M75" s="35"/>
      <c r="N75" s="35"/>
      <c r="O75" s="35"/>
      <c r="P75" s="35"/>
    </row>
    <row r="76" spans="1:16" s="23" customFormat="1" ht="38.25" customHeight="1" x14ac:dyDescent="0.2">
      <c r="A76" s="36" t="s">
        <v>30</v>
      </c>
      <c r="B76" s="36"/>
      <c r="C76" s="36"/>
      <c r="D76" s="36"/>
      <c r="E76" s="36"/>
      <c r="F76" s="36"/>
      <c r="G76" s="36"/>
      <c r="H76" s="36"/>
      <c r="I76" s="36"/>
      <c r="J76" s="36"/>
      <c r="K76" s="36"/>
      <c r="L76" s="36"/>
      <c r="M76" s="36"/>
      <c r="N76" s="36"/>
      <c r="O76" s="36"/>
      <c r="P76" s="36"/>
    </row>
    <row r="77" spans="1:16" s="23" customFormat="1" ht="14.25" customHeight="1" x14ac:dyDescent="0.2">
      <c r="A77" s="24"/>
      <c r="B77" s="24"/>
      <c r="C77" s="24"/>
      <c r="D77" s="24"/>
      <c r="E77" s="24"/>
      <c r="F77" s="24"/>
      <c r="G77" s="24"/>
      <c r="H77" s="24"/>
      <c r="I77" s="25"/>
      <c r="J77" s="25"/>
      <c r="K77" s="26"/>
    </row>
    <row r="78" spans="1:16" s="23" customFormat="1" ht="12" customHeight="1" x14ac:dyDescent="0.2">
      <c r="A78" s="29"/>
      <c r="B78" s="25"/>
      <c r="C78" s="25"/>
      <c r="D78" s="25"/>
      <c r="E78" s="25"/>
      <c r="F78" s="25"/>
      <c r="G78" s="25"/>
      <c r="H78" s="25"/>
      <c r="I78" s="25"/>
      <c r="J78" s="27"/>
      <c r="K78" s="26"/>
    </row>
    <row r="79" spans="1:16" s="23" customFormat="1" ht="12" customHeight="1" x14ac:dyDescent="0.2">
      <c r="A79" s="29"/>
      <c r="B79" s="27"/>
      <c r="C79" s="27"/>
      <c r="D79" s="27"/>
      <c r="E79" s="27"/>
      <c r="F79" s="27"/>
      <c r="G79" s="27"/>
      <c r="H79" s="27"/>
      <c r="I79" s="27"/>
      <c r="J79" s="28"/>
      <c r="K79" s="26"/>
    </row>
    <row r="80" spans="1:16" x14ac:dyDescent="0.2">
      <c r="B80" s="28"/>
      <c r="C80" s="28"/>
      <c r="D80" s="28"/>
      <c r="E80" s="28"/>
      <c r="F80" s="28"/>
      <c r="G80" s="28"/>
      <c r="H80" s="28"/>
      <c r="I80" s="28"/>
    </row>
    <row r="89" spans="5:11" x14ac:dyDescent="0.2">
      <c r="E89" s="31"/>
      <c r="F89" s="31"/>
      <c r="K89" s="29"/>
    </row>
    <row r="90" spans="5:11" x14ac:dyDescent="0.2">
      <c r="E90" s="31"/>
      <c r="F90" s="31"/>
      <c r="K90" s="29"/>
    </row>
  </sheetData>
  <mergeCells count="18">
    <mergeCell ref="A71:P71"/>
    <mergeCell ref="A72:P72"/>
    <mergeCell ref="A1:AD1"/>
    <mergeCell ref="A73:P73"/>
    <mergeCell ref="A74:P74"/>
    <mergeCell ref="A75:P75"/>
    <mergeCell ref="A76:P76"/>
    <mergeCell ref="A60:P60"/>
    <mergeCell ref="A61:P61"/>
    <mergeCell ref="A62:P62"/>
    <mergeCell ref="A63:P63"/>
    <mergeCell ref="A64:P64"/>
    <mergeCell ref="A65:P65"/>
    <mergeCell ref="A66:P66"/>
    <mergeCell ref="A67:P67"/>
    <mergeCell ref="A68:P68"/>
    <mergeCell ref="A69:P69"/>
    <mergeCell ref="A70:P70"/>
  </mergeCells>
  <phoneticPr fontId="0" type="noConversion"/>
  <pageMargins left="0.5" right="0.5" top="0.5" bottom="0.5" header="0.25" footer="0.25"/>
  <pageSetup scale="53"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2-33</vt:lpstr>
    </vt:vector>
  </TitlesOfParts>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Riley, Demi CTR (OST)</cp:lastModifiedBy>
  <cp:revision>0</cp:revision>
  <cp:lastPrinted>2008-06-20T19:10:40Z</cp:lastPrinted>
  <dcterms:created xsi:type="dcterms:W3CDTF">1980-01-01T04:00:00Z</dcterms:created>
  <dcterms:modified xsi:type="dcterms:W3CDTF">2019-04-03T18:51:30Z</dcterms:modified>
</cp:coreProperties>
</file>