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zie\Downloads\"/>
    </mc:Choice>
  </mc:AlternateContent>
  <xr:revisionPtr revIDLastSave="0" documentId="8_{D9251C4D-F4BA-FD4D-AF6A-B75D17DB4772}" xr6:coauthVersionLast="47" xr6:coauthVersionMax="47" xr10:uidLastSave="{00000000-0000-0000-0000-000000000000}"/>
  <bookViews>
    <workbookView xWindow="-108" yWindow="-108" windowWidth="23256" windowHeight="12576" xr2:uid="{AAEC1D91-A499-0B43-9644-662D3BE46A58}"/>
  </bookViews>
  <sheets>
    <sheet name="SSML - Dividends, Stock and Mkt" sheetId="1" r:id="rId1"/>
    <sheet name="SSML - Ratios" sheetId="4" r:id="rId2"/>
    <sheet name="SSML - Ratios (2)" sheetId="32" r:id="rId3"/>
    <sheet name="SSML - Ratio Graphs" sheetId="6" r:id="rId4"/>
    <sheet name="SSML - Balance Sheet Elements" sheetId="5" r:id="rId5"/>
    <sheet name="BDMCL - Dividend, Stock &amp; Mkt" sheetId="18" r:id="rId6"/>
    <sheet name="BDMCL - Mkt Cap" sheetId="19" r:id="rId7"/>
    <sheet name="BDMCL - Financials" sheetId="20" r:id="rId8"/>
    <sheet name="BDMCL - Ratios" sheetId="21" r:id="rId9"/>
    <sheet name="Bombay Dyeing" sheetId="17" r:id="rId10"/>
    <sheet name="Trident - Dividend, Stock &amp; Mkt" sheetId="7" r:id="rId11"/>
    <sheet name="Trident - Ratio Analysis " sheetId="12" r:id="rId12"/>
    <sheet name="Trident - Balance Sheet, P&amp;L" sheetId="16" r:id="rId13"/>
    <sheet name="Trident - Comparison &amp; Graphs" sheetId="14" r:id="rId14"/>
    <sheet name="Raymond" sheetId="22" r:id="rId15"/>
    <sheet name="Rupa - Dividend" sheetId="23" r:id="rId16"/>
    <sheet name="Rupa - Share Data" sheetId="26" r:id="rId17"/>
    <sheet name="Rupa - Market Cap" sheetId="28" r:id="rId18"/>
    <sheet name="Rupa - Standalone Balance Sheet" sheetId="29" r:id="rId19"/>
    <sheet name="Rupa Standalone Profit and Loss" sheetId="30" r:id="rId20"/>
    <sheet name="Rupa - Ratios" sheetId="31" r:id="rId21"/>
    <sheet name="Page - SoPL" sheetId="24" r:id="rId22"/>
    <sheet name="Page - Balance Sheet" sheetId="25" r:id="rId23"/>
    <sheet name="Page - Ratios Analysis" sheetId="27" r:id="rId24"/>
  </sheets>
  <externalReferences>
    <externalReference r:id="rId25"/>
    <externalReference r:id="rId26"/>
  </externalReferences>
  <definedNames>
    <definedName name="_xlnm.Print_Area" localSheetId="5">'BDMCL - Dividend, Stock &amp; Mkt'!$A$1:$H$41</definedName>
    <definedName name="_xlnm.Print_Area" localSheetId="6">'BDMCL - Mkt Cap'!$A$1:$H$33</definedName>
    <definedName name="_xlnm.Print_Area" localSheetId="15">'Rupa - Dividend'!$A$1:$I$54</definedName>
    <definedName name="_xlnm.Print_Area" localSheetId="16">'Rupa - Share Data'!$A$1:$I$37</definedName>
    <definedName name="_xlnm.Print_Area" localSheetId="4">'SSML - Balance Sheet Elements'!$A$1:$I$71</definedName>
    <definedName name="_xlnm.Print_Area" localSheetId="0">'SSML - Dividends, Stock and Mkt'!$A$1:$Y$38</definedName>
    <definedName name="_xlnm.Print_Area" localSheetId="3">'SSML - Ratio Graphs'!$A$1:$J$77</definedName>
    <definedName name="_xlnm.Print_Area" localSheetId="1">'SSML - Ratios'!$A$1:$L$25</definedName>
    <definedName name="_xlnm.Print_Area" localSheetId="2">'SSML - Ratios (2)'!$A$1:$K$151</definedName>
    <definedName name="_xlnm.Print_Area" localSheetId="12">'Trident - Balance Sheet, P&amp;L'!$A$1:$G$79</definedName>
    <definedName name="_xlnm.Print_Area" localSheetId="13">'Trident - Comparison &amp; Graphs'!$A$1:$N$49</definedName>
    <definedName name="_xlnm.Print_Area" localSheetId="11">'Trident - Ratio Analysis '!$A$1:$F$30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32" l="1"/>
  <c r="H24" i="32"/>
  <c r="E24" i="32"/>
  <c r="D24" i="32"/>
  <c r="G23" i="32"/>
  <c r="G24" i="32"/>
  <c r="J24" i="32"/>
  <c r="C23" i="32"/>
  <c r="C24" i="32"/>
  <c r="H20" i="32"/>
  <c r="G20" i="32"/>
  <c r="D20" i="32"/>
  <c r="C20" i="32"/>
  <c r="F20" i="32"/>
  <c r="H19" i="32"/>
  <c r="G19" i="32"/>
  <c r="D19" i="32"/>
  <c r="C19" i="32"/>
  <c r="I16" i="32"/>
  <c r="H16" i="32"/>
  <c r="G16" i="32"/>
  <c r="E16" i="32"/>
  <c r="D16" i="32"/>
  <c r="C16" i="32"/>
  <c r="G15" i="32"/>
  <c r="J15" i="32"/>
  <c r="D15" i="32"/>
  <c r="C15" i="32"/>
  <c r="I12" i="32"/>
  <c r="H12" i="32"/>
  <c r="G12" i="32"/>
  <c r="E12" i="32"/>
  <c r="D12" i="32"/>
  <c r="C12" i="32"/>
  <c r="G11" i="32"/>
  <c r="J11" i="32"/>
  <c r="C11" i="32"/>
  <c r="F11" i="32"/>
  <c r="I8" i="32"/>
  <c r="H8" i="32"/>
  <c r="G8" i="32"/>
  <c r="E8" i="32"/>
  <c r="D8" i="32"/>
  <c r="C8" i="32"/>
  <c r="J7" i="32"/>
  <c r="C7" i="32"/>
  <c r="F7" i="32"/>
  <c r="D26" i="31"/>
  <c r="C26" i="31"/>
  <c r="D25" i="31"/>
  <c r="C25" i="31"/>
  <c r="D24" i="31"/>
  <c r="C24" i="31"/>
  <c r="D21" i="31"/>
  <c r="C21" i="31"/>
  <c r="D20" i="31"/>
  <c r="C20" i="31"/>
  <c r="D17" i="31"/>
  <c r="C17" i="31"/>
  <c r="D16" i="31"/>
  <c r="C16" i="31"/>
  <c r="D15" i="31"/>
  <c r="C15" i="31"/>
  <c r="D14" i="31"/>
  <c r="C14" i="31"/>
  <c r="D13" i="31"/>
  <c r="C13" i="31"/>
  <c r="D10" i="31"/>
  <c r="C10" i="31"/>
  <c r="D9" i="31"/>
  <c r="C9" i="31"/>
  <c r="D6" i="31"/>
  <c r="C6" i="31"/>
  <c r="D5" i="31"/>
  <c r="C5" i="31"/>
  <c r="D41" i="30"/>
  <c r="D42" i="30"/>
  <c r="D43" i="30"/>
  <c r="C41" i="30"/>
  <c r="C42" i="30"/>
  <c r="C43" i="30"/>
  <c r="C65" i="29"/>
  <c r="B65" i="29"/>
  <c r="C64" i="29"/>
  <c r="B64" i="29"/>
  <c r="C63" i="29"/>
  <c r="B63" i="29"/>
  <c r="C60" i="29"/>
  <c r="B60" i="29"/>
  <c r="C28" i="29"/>
  <c r="C29" i="29"/>
  <c r="C62" i="29"/>
  <c r="B28" i="29"/>
  <c r="B29" i="29"/>
  <c r="B62" i="29"/>
  <c r="C17" i="29"/>
  <c r="B17" i="29"/>
  <c r="I20" i="4"/>
  <c r="E20" i="4"/>
  <c r="G20" i="4"/>
  <c r="I19" i="4"/>
  <c r="E19" i="4"/>
  <c r="C27" i="27"/>
  <c r="B27" i="27"/>
  <c r="C19" i="27"/>
  <c r="B19" i="27"/>
  <c r="C18" i="27"/>
  <c r="B18" i="27"/>
  <c r="C15" i="27"/>
  <c r="B15" i="27"/>
  <c r="C14" i="27"/>
  <c r="B14" i="27"/>
  <c r="C11" i="27"/>
  <c r="B11" i="27"/>
  <c r="C10" i="27"/>
  <c r="B10" i="27"/>
  <c r="C7" i="27"/>
  <c r="B7" i="27"/>
  <c r="C6" i="27"/>
  <c r="B6" i="27"/>
  <c r="D89" i="22"/>
  <c r="C89" i="22"/>
  <c r="D88" i="22"/>
  <c r="C88" i="22"/>
  <c r="D78" i="22"/>
  <c r="C78" i="22"/>
  <c r="D76" i="22"/>
  <c r="D77" i="22"/>
  <c r="C76" i="22"/>
  <c r="C77" i="22"/>
  <c r="D68" i="22"/>
  <c r="D79" i="22"/>
  <c r="C68" i="22"/>
  <c r="C79" i="22"/>
  <c r="D60" i="22"/>
  <c r="C60" i="22"/>
  <c r="D48" i="22"/>
  <c r="D61" i="22"/>
  <c r="C48" i="22"/>
  <c r="C61" i="22"/>
  <c r="D33" i="22"/>
  <c r="D70" i="22"/>
  <c r="C33" i="22"/>
  <c r="C70" i="22"/>
  <c r="D21" i="22"/>
  <c r="C21" i="22"/>
  <c r="F24" i="32"/>
  <c r="F16" i="32"/>
  <c r="J19" i="32"/>
  <c r="F15" i="32"/>
  <c r="J12" i="32"/>
  <c r="F19" i="32"/>
  <c r="F12" i="32"/>
  <c r="J8" i="32"/>
  <c r="J16" i="32"/>
  <c r="F8" i="32"/>
  <c r="J20" i="32"/>
  <c r="C40" i="30"/>
  <c r="D40" i="30"/>
  <c r="C71" i="22"/>
  <c r="D71" i="22"/>
  <c r="D74" i="22"/>
  <c r="C74" i="22"/>
  <c r="C69" i="22"/>
  <c r="D69" i="22"/>
  <c r="P78" i="21"/>
  <c r="O78" i="21"/>
  <c r="N78" i="21"/>
  <c r="P72" i="21"/>
  <c r="O72" i="21"/>
  <c r="N72" i="21"/>
  <c r="P66" i="21"/>
  <c r="O66" i="21"/>
  <c r="N66" i="21"/>
  <c r="P60" i="21"/>
  <c r="O60" i="21"/>
  <c r="N60" i="21"/>
  <c r="P50" i="21"/>
  <c r="O50" i="21"/>
  <c r="N50" i="21"/>
  <c r="P44" i="21"/>
  <c r="O44" i="21"/>
  <c r="N44" i="21"/>
  <c r="P38" i="21"/>
  <c r="O38" i="21"/>
  <c r="N38" i="21"/>
  <c r="P32" i="21"/>
  <c r="O32" i="21"/>
  <c r="N32" i="21"/>
  <c r="P26" i="21"/>
  <c r="O26" i="21"/>
  <c r="N26" i="21"/>
  <c r="P20" i="21"/>
  <c r="O20" i="21"/>
  <c r="N20" i="21"/>
  <c r="P14" i="21"/>
  <c r="O14" i="21"/>
  <c r="N14" i="21"/>
  <c r="P8" i="21"/>
  <c r="O8" i="21"/>
  <c r="N8" i="21"/>
  <c r="J28" i="21"/>
  <c r="I28" i="21"/>
  <c r="H28" i="21"/>
  <c r="J27" i="21"/>
  <c r="I27" i="21"/>
  <c r="H27" i="21"/>
  <c r="J24" i="21"/>
  <c r="I24" i="21"/>
  <c r="H24" i="21"/>
  <c r="J21" i="21"/>
  <c r="J20" i="21"/>
  <c r="I20" i="21"/>
  <c r="H20" i="21"/>
  <c r="J17" i="21"/>
  <c r="I17" i="21"/>
  <c r="H17" i="21"/>
  <c r="J16" i="21"/>
  <c r="I16" i="21"/>
  <c r="H16" i="21"/>
  <c r="J15" i="21"/>
  <c r="I15" i="21"/>
  <c r="H15" i="21"/>
  <c r="J14" i="21"/>
  <c r="I14" i="21"/>
  <c r="H14" i="21"/>
  <c r="J11" i="21"/>
  <c r="I11" i="21"/>
  <c r="H11" i="21"/>
  <c r="J10" i="21"/>
  <c r="I10" i="21"/>
  <c r="H10" i="21"/>
  <c r="J7" i="21"/>
  <c r="I7" i="21"/>
  <c r="H7" i="21"/>
  <c r="J6" i="21"/>
  <c r="I6" i="21"/>
  <c r="H6" i="21"/>
  <c r="S142" i="17"/>
  <c r="R142" i="17"/>
  <c r="Q142" i="17"/>
  <c r="S136" i="17"/>
  <c r="R136" i="17"/>
  <c r="Q136" i="17"/>
  <c r="S130" i="17"/>
  <c r="R130" i="17"/>
  <c r="Q130" i="17"/>
  <c r="S124" i="17"/>
  <c r="R124" i="17"/>
  <c r="Q124" i="17"/>
  <c r="S118" i="17"/>
  <c r="R118" i="17"/>
  <c r="Q118" i="17"/>
  <c r="S112" i="17"/>
  <c r="R112" i="17"/>
  <c r="Q112" i="17"/>
  <c r="S106" i="17"/>
  <c r="R106" i="17"/>
  <c r="Q106" i="17"/>
  <c r="S100" i="17"/>
  <c r="R100" i="17"/>
  <c r="Q100" i="17"/>
  <c r="S94" i="17"/>
  <c r="R94" i="17"/>
  <c r="Q94" i="17"/>
  <c r="S88" i="17"/>
  <c r="R88" i="17"/>
  <c r="Q88" i="17"/>
  <c r="S82" i="17"/>
  <c r="R82" i="17"/>
  <c r="Q82" i="17"/>
  <c r="S76" i="17"/>
  <c r="R76" i="17"/>
  <c r="Q76" i="17"/>
  <c r="N56" i="17"/>
  <c r="M56" i="17"/>
  <c r="L56" i="17"/>
  <c r="N55" i="17"/>
  <c r="M55" i="17"/>
  <c r="L55" i="17"/>
  <c r="N52" i="17"/>
  <c r="M52" i="17"/>
  <c r="L52" i="17"/>
  <c r="N49" i="17"/>
  <c r="N48" i="17"/>
  <c r="M48" i="17"/>
  <c r="L48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39" i="17"/>
  <c r="M39" i="17"/>
  <c r="L39" i="17"/>
  <c r="N38" i="17"/>
  <c r="M38" i="17"/>
  <c r="L38" i="17"/>
  <c r="N35" i="17"/>
  <c r="M35" i="17"/>
  <c r="L35" i="17"/>
  <c r="N34" i="17"/>
  <c r="M34" i="17"/>
  <c r="L34" i="17"/>
  <c r="F16" i="14"/>
  <c r="F15" i="14"/>
  <c r="F14" i="14"/>
  <c r="F13" i="14"/>
  <c r="F12" i="14"/>
  <c r="F11" i="14"/>
  <c r="F10" i="14"/>
  <c r="F9" i="14"/>
  <c r="F8" i="14"/>
  <c r="F7" i="14"/>
  <c r="F6" i="14"/>
  <c r="F5" i="14"/>
  <c r="F45" i="16"/>
  <c r="E45" i="16"/>
  <c r="F41" i="16"/>
  <c r="E41" i="16"/>
  <c r="E37" i="16"/>
  <c r="F78" i="16"/>
  <c r="E78" i="16"/>
  <c r="F27" i="16"/>
  <c r="E27" i="16"/>
  <c r="E73" i="16"/>
  <c r="F72" i="16"/>
  <c r="E72" i="16"/>
  <c r="F21" i="16"/>
  <c r="E21" i="16"/>
  <c r="F63" i="16"/>
  <c r="F66" i="16"/>
  <c r="E63" i="16"/>
  <c r="E66" i="16"/>
  <c r="F13" i="16"/>
  <c r="F20" i="16"/>
  <c r="F23" i="16"/>
  <c r="E13" i="16"/>
  <c r="E16" i="16"/>
  <c r="R35" i="12"/>
  <c r="R36" i="12"/>
  <c r="R37" i="12"/>
  <c r="R38" i="12"/>
  <c r="R39" i="12"/>
  <c r="R40" i="12"/>
  <c r="R41" i="12"/>
  <c r="R42" i="12"/>
  <c r="R43" i="12"/>
  <c r="R44" i="12"/>
  <c r="R45" i="12"/>
  <c r="R46" i="12"/>
  <c r="K45" i="12"/>
  <c r="J45" i="12"/>
  <c r="K41" i="12"/>
  <c r="J41" i="12"/>
  <c r="J37" i="12"/>
  <c r="P31" i="12"/>
  <c r="O31" i="12"/>
  <c r="K27" i="12"/>
  <c r="D26" i="12"/>
  <c r="J27" i="12"/>
  <c r="O23" i="12"/>
  <c r="P22" i="12"/>
  <c r="O22" i="12"/>
  <c r="K21" i="12"/>
  <c r="J21" i="12"/>
  <c r="P13" i="12"/>
  <c r="P16" i="12"/>
  <c r="O13" i="12"/>
  <c r="O16" i="12"/>
  <c r="K13" i="12"/>
  <c r="K20" i="12"/>
  <c r="J13" i="12"/>
  <c r="J20" i="12"/>
  <c r="J24" i="4"/>
  <c r="F24" i="4"/>
  <c r="I24" i="4"/>
  <c r="E24" i="4"/>
  <c r="G24" i="4"/>
  <c r="H24" i="4"/>
  <c r="D24" i="4"/>
  <c r="H23" i="4"/>
  <c r="D23" i="4"/>
  <c r="H20" i="4"/>
  <c r="H19" i="4"/>
  <c r="D20" i="4"/>
  <c r="D19" i="4"/>
  <c r="G19" i="4"/>
  <c r="J16" i="4"/>
  <c r="I16" i="4"/>
  <c r="H16" i="4"/>
  <c r="H15" i="4"/>
  <c r="F16" i="4"/>
  <c r="E16" i="4"/>
  <c r="E15" i="4"/>
  <c r="D16" i="4"/>
  <c r="D15" i="4"/>
  <c r="J12" i="4"/>
  <c r="I12" i="4"/>
  <c r="H12" i="4"/>
  <c r="F12" i="4"/>
  <c r="E12" i="4"/>
  <c r="D12" i="4"/>
  <c r="H11" i="4"/>
  <c r="D11" i="4"/>
  <c r="J8" i="4"/>
  <c r="I8" i="4"/>
  <c r="H8" i="4"/>
  <c r="F8" i="4"/>
  <c r="E8" i="4"/>
  <c r="D8" i="4"/>
  <c r="K20" i="4"/>
  <c r="K19" i="4"/>
  <c r="G16" i="4"/>
  <c r="G15" i="4"/>
  <c r="K16" i="4"/>
  <c r="K15" i="4"/>
  <c r="K12" i="4"/>
  <c r="K11" i="4"/>
  <c r="G12" i="4"/>
  <c r="G11" i="4"/>
  <c r="K8" i="4"/>
  <c r="K7" i="4"/>
  <c r="D7" i="4"/>
  <c r="G7" i="4"/>
  <c r="F42" i="16"/>
  <c r="E42" i="16"/>
  <c r="E43" i="16"/>
  <c r="E44" i="16"/>
  <c r="F16" i="16"/>
  <c r="E46" i="16"/>
  <c r="E48" i="16"/>
  <c r="E50" i="16"/>
  <c r="E18" i="16"/>
  <c r="F18" i="16"/>
  <c r="F43" i="16"/>
  <c r="F44" i="16"/>
  <c r="E20" i="16"/>
  <c r="E23" i="16"/>
  <c r="J23" i="12"/>
  <c r="C9" i="12"/>
  <c r="D25" i="12"/>
  <c r="K23" i="12"/>
  <c r="J42" i="12"/>
  <c r="C13" i="12"/>
  <c r="D9" i="12"/>
  <c r="K42" i="12"/>
  <c r="D13" i="12"/>
  <c r="C26" i="12"/>
  <c r="C25" i="12"/>
  <c r="J18" i="12"/>
  <c r="J43" i="12"/>
  <c r="J44" i="12"/>
  <c r="C6" i="12"/>
  <c r="D6" i="12"/>
  <c r="K43" i="12"/>
  <c r="K44" i="12"/>
  <c r="K18" i="12"/>
  <c r="J16" i="12"/>
  <c r="C28" i="12"/>
  <c r="K16" i="12"/>
  <c r="D28" i="12"/>
  <c r="C5" i="12"/>
  <c r="D5" i="12"/>
  <c r="K24" i="4"/>
  <c r="G8" i="4"/>
  <c r="F46" i="16"/>
  <c r="F48" i="16"/>
  <c r="F50" i="16"/>
  <c r="J46" i="12"/>
  <c r="J48" i="12"/>
  <c r="J50" i="12"/>
  <c r="C17" i="12"/>
  <c r="D10" i="12"/>
  <c r="K46" i="12"/>
  <c r="K48" i="12"/>
  <c r="K50" i="12"/>
  <c r="D17" i="12"/>
  <c r="C10" i="12"/>
  <c r="D15" i="12"/>
  <c r="D14" i="12"/>
  <c r="D19" i="12"/>
  <c r="D20" i="12"/>
  <c r="D16" i="12"/>
  <c r="D29" i="12"/>
  <c r="C29" i="12"/>
  <c r="C15" i="12"/>
  <c r="C14" i="12"/>
  <c r="C19" i="12"/>
  <c r="C20" i="12"/>
  <c r="C16" i="12"/>
</calcChain>
</file>

<file path=xl/sharedStrings.xml><?xml version="1.0" encoding="utf-8"?>
<sst xmlns="http://schemas.openxmlformats.org/spreadsheetml/2006/main" count="1462" uniqueCount="726">
  <si>
    <t>Dividend Distribution Statistics</t>
  </si>
  <si>
    <t>Financial Year</t>
  </si>
  <si>
    <t>Dividend Type</t>
  </si>
  <si>
    <t>Dividend Amount</t>
  </si>
  <si>
    <t>Share Face Value</t>
  </si>
  <si>
    <t>Dividend (%)</t>
  </si>
  <si>
    <t>2021-22</t>
  </si>
  <si>
    <t>Interim Dividend</t>
  </si>
  <si>
    <t>Final Dividend</t>
  </si>
  <si>
    <t>Total for the Year</t>
  </si>
  <si>
    <t>2020-21</t>
  </si>
  <si>
    <t>2019-20</t>
  </si>
  <si>
    <t>Special Dividend</t>
  </si>
  <si>
    <t>Face Value of Share</t>
  </si>
  <si>
    <t>Dividend Declared</t>
  </si>
  <si>
    <t>SIYARAM SILK MILLS LIMITED - DIVIDEND DATA</t>
  </si>
  <si>
    <t>SIYARAM SILK MILLS LIMITED - STOCK DATA</t>
  </si>
  <si>
    <t>Siyaram Silk Mills Limited</t>
  </si>
  <si>
    <t>Raymond Ltd.</t>
  </si>
  <si>
    <t>Aditya Birla Fashion and Retail Limited</t>
  </si>
  <si>
    <t>High</t>
  </si>
  <si>
    <t>Low</t>
  </si>
  <si>
    <t>Stock Price Data</t>
  </si>
  <si>
    <t>Source: BSE Prices for Shares</t>
  </si>
  <si>
    <t>SIYARAM SILK MILLS LIMITED - MARKET CAP ANALYSIS</t>
  </si>
  <si>
    <t>Movement</t>
  </si>
  <si>
    <t>Market Cap
(₹ crore)</t>
  </si>
  <si>
    <t>ABFRL</t>
  </si>
  <si>
    <t>SSML</t>
  </si>
  <si>
    <t>Raymond</t>
  </si>
  <si>
    <t>FY 2021-22</t>
  </si>
  <si>
    <t>FY 2020-21</t>
  </si>
  <si>
    <t>FORMULA</t>
  </si>
  <si>
    <t>Industry Avg.</t>
  </si>
  <si>
    <t>LIQUIDITY RATIOS</t>
  </si>
  <si>
    <t>Current Ratio</t>
  </si>
  <si>
    <t>Current Assets / Current Liabilities</t>
  </si>
  <si>
    <t>Quick Ratio</t>
  </si>
  <si>
    <t>Quick Assets / Current Liabilities</t>
  </si>
  <si>
    <t>LEVERAGE RATIOS</t>
  </si>
  <si>
    <t>Debt-Equity Ratio</t>
  </si>
  <si>
    <t>Total Long-Term Debt / Shareholders’ Funds</t>
  </si>
  <si>
    <t>Proprietary Ratio</t>
  </si>
  <si>
    <t>Shareholders’ Funds / Total Assets</t>
  </si>
  <si>
    <t>ACTIVITY RATIOS</t>
  </si>
  <si>
    <t>Inventory Turnover Ratio</t>
  </si>
  <si>
    <t>Cost of Goods Sold / Average Inventory</t>
  </si>
  <si>
    <t>Fixed Assets Turnover Ratio</t>
  </si>
  <si>
    <t>Sales / Net Fixed Assets</t>
  </si>
  <si>
    <t>PROFITABILITY RATIOS</t>
  </si>
  <si>
    <t>Net Profit Ratio/Margin</t>
  </si>
  <si>
    <t>Net Profit After Interest, Tax and Preference Dividend / Net Sales</t>
  </si>
  <si>
    <t>Return on Equity</t>
  </si>
  <si>
    <t>Net Profit After Interest and Tax / Shareholders’ Funds</t>
  </si>
  <si>
    <t>VALUATION RATIOS</t>
  </si>
  <si>
    <t>Earnings per Share</t>
  </si>
  <si>
    <t>Net Profit After Interest, Tax and Preference Dividend / No. of equity shares outstanding</t>
  </si>
  <si>
    <t>Earnings Yield Ratio</t>
  </si>
  <si>
    <t>EPS / Market Value per Share</t>
  </si>
  <si>
    <t>SIYARAM SILK MILLS LIMITED - RATIO ANALYSIS</t>
  </si>
  <si>
    <t>ABFRL (₹ crore)</t>
  </si>
  <si>
    <t>CURRENT ASSETS (₹ lakhs)</t>
  </si>
  <si>
    <t>Inventories</t>
  </si>
  <si>
    <t>Current Investments</t>
  </si>
  <si>
    <t>Trade Receivables</t>
  </si>
  <si>
    <t>Cash and Cash Equivalents</t>
  </si>
  <si>
    <t>Bank Balance Other Than Cash &amp; Cash Equivalents</t>
  </si>
  <si>
    <t>Loans</t>
  </si>
  <si>
    <t>Other Current Financial Assets</t>
  </si>
  <si>
    <t>Current Tax Assets (Net)</t>
  </si>
  <si>
    <t>Other Current Assets, of which</t>
  </si>
  <si>
    <t>Prepaid Expenses</t>
  </si>
  <si>
    <t>Current Assets</t>
  </si>
  <si>
    <t>QUICK ASSETS (₹ lakhs)</t>
  </si>
  <si>
    <t>Total Current Assets</t>
  </si>
  <si>
    <t>(-) Inventories</t>
  </si>
  <si>
    <t>(-) Prepaid Expenses</t>
  </si>
  <si>
    <t>Quick Assets</t>
  </si>
  <si>
    <t>CURRENT LIABILITIES (₹ lakhs)</t>
  </si>
  <si>
    <t>LONG-TERM DEBT (₹ lakhs)</t>
  </si>
  <si>
    <t>Non-Current Borrowings</t>
  </si>
  <si>
    <t>Non-Current Lease Liabilities</t>
  </si>
  <si>
    <t>Other Non-Current Financial Liabilities</t>
  </si>
  <si>
    <t>Non-Current Provisions</t>
  </si>
  <si>
    <t>Non-Current Deferred Tax Liabilities</t>
  </si>
  <si>
    <t>Other Non-Current Liabilities </t>
  </si>
  <si>
    <t>Current Borrowings</t>
  </si>
  <si>
    <t>Current Lease Liabilities</t>
  </si>
  <si>
    <t>Long-Term Debt</t>
  </si>
  <si>
    <t>SHAREHOLDERS’ FUNDS (₹ lakhs)</t>
  </si>
  <si>
    <t>TOTAL ASSETS (₹ lakhs)</t>
  </si>
  <si>
    <t>COST OF GOODS SOLD (₹ lakhs)</t>
  </si>
  <si>
    <t>Cost of Materials Consumed</t>
  </si>
  <si>
    <t>Purchases of Stock-in-Trade</t>
  </si>
  <si>
    <t>Changes in Inventories of Finished Goods, Work in Progress and Stock in Trade</t>
  </si>
  <si>
    <t>COGS</t>
  </si>
  <si>
    <t>AVERAGE INVENTORY (₹ lakhs)</t>
  </si>
  <si>
    <t>Opening Inventory</t>
  </si>
  <si>
    <t>Closing Inventory</t>
  </si>
  <si>
    <t>Average Inventory</t>
  </si>
  <si>
    <t>SALES (₹ lakhs)</t>
  </si>
  <si>
    <t>NET FIXED ASSETS (₹ lakhs)</t>
  </si>
  <si>
    <t>Property, Plant and Equipment</t>
  </si>
  <si>
    <t>Capital Work-in-Progress</t>
  </si>
  <si>
    <t>Investment Properties</t>
  </si>
  <si>
    <t>Goodwill</t>
  </si>
  <si>
    <t>Other Intangible Assets</t>
  </si>
  <si>
    <t>Right of Use Assets</t>
  </si>
  <si>
    <t>Other Non-Current Assets</t>
  </si>
  <si>
    <t>Net Fixed Assets</t>
  </si>
  <si>
    <t>PROFIT FOR THE YEAR (Net Profit After Interest, Tax and Preference Dividend) (₹ lakhs)</t>
  </si>
  <si>
    <t>No. of Outstanding Equity Shares</t>
  </si>
  <si>
    <t>Market Value per Share</t>
  </si>
  <si>
    <t>SIYARAM SILK MILLS LIMITED - BALANCE SHEET ELEMENTS FOR RATIO CALCULATIONS</t>
  </si>
  <si>
    <t>Market Capitalisation
31-03-2020 (₹ crore)</t>
  </si>
  <si>
    <t>Market Capitalisation
31-03-2021 (₹ crore)</t>
  </si>
  <si>
    <t>Market Capitalisation
31-03-2022 (₹ crore)</t>
  </si>
  <si>
    <t>RATIO</t>
  </si>
  <si>
    <t>RATIOS (x times)</t>
  </si>
  <si>
    <t>EPS</t>
  </si>
  <si>
    <t>RATIOS (%)</t>
  </si>
  <si>
    <t>SIYARAM SILK MILLS LIMITED - RATIO GRAPHICAL ANALYSIS</t>
  </si>
  <si>
    <t>Dividend Date</t>
  </si>
  <si>
    <t>Textile and Apparel Exports from India
(USD billion)</t>
  </si>
  <si>
    <t>FY18</t>
  </si>
  <si>
    <t>FY19</t>
  </si>
  <si>
    <t>FY20</t>
  </si>
  <si>
    <t>FY21</t>
  </si>
  <si>
    <t>FY26 (Forecast)</t>
  </si>
  <si>
    <t>Year</t>
  </si>
  <si>
    <t>Amount</t>
  </si>
  <si>
    <t xml:space="preserve">Market Share in ₹ Cr. </t>
  </si>
  <si>
    <t>Company</t>
  </si>
  <si>
    <t>Page Industries</t>
  </si>
  <si>
    <t>KPR Mill</t>
  </si>
  <si>
    <t>Trident Limited</t>
  </si>
  <si>
    <t>Alok Industries</t>
  </si>
  <si>
    <t>TRIDENT LIMITED - DIVIDEND DATA</t>
  </si>
  <si>
    <t>TEXTILE INDUSTRY DATA</t>
  </si>
  <si>
    <t>TRIDENT LIMITED - MARKET CAPITALISATION</t>
  </si>
  <si>
    <t>TRIDENT LIMITED - SHARE PRICE</t>
  </si>
  <si>
    <t>FY 2022</t>
  </si>
  <si>
    <t>FY 2021</t>
  </si>
  <si>
    <t>Types of Ratios</t>
  </si>
  <si>
    <t xml:space="preserve">Formula used </t>
  </si>
  <si>
    <t xml:space="preserve">Amount  </t>
  </si>
  <si>
    <t>1. Liquidity  Ratios</t>
  </si>
  <si>
    <t>Assets</t>
  </si>
  <si>
    <t xml:space="preserve">Liablities </t>
  </si>
  <si>
    <t xml:space="preserve">a. Current Ratio </t>
  </si>
  <si>
    <t>Current assets / Current Liabilities</t>
  </si>
  <si>
    <t xml:space="preserve">Current assets </t>
  </si>
  <si>
    <t xml:space="preserve">Current Libalities </t>
  </si>
  <si>
    <t xml:space="preserve">b. Quick Ratio </t>
  </si>
  <si>
    <t>Quick Assets/ Current liabilities</t>
  </si>
  <si>
    <t xml:space="preserve">inventory </t>
  </si>
  <si>
    <t xml:space="preserve">Borrowings </t>
  </si>
  <si>
    <t>Trade Recievables</t>
  </si>
  <si>
    <t>2. Solvency Ratios</t>
  </si>
  <si>
    <t xml:space="preserve">Cash And Cash Equivalents </t>
  </si>
  <si>
    <t>a. Debt- Equity Ratio</t>
  </si>
  <si>
    <t>total liablities / sharehoders fund</t>
  </si>
  <si>
    <t xml:space="preserve">Other bank Balances </t>
  </si>
  <si>
    <t xml:space="preserve">Other finacial Libalities </t>
  </si>
  <si>
    <t xml:space="preserve">b. Proprietary Ratio </t>
  </si>
  <si>
    <t xml:space="preserve">share holderfunds /Total aassets </t>
  </si>
  <si>
    <t xml:space="preserve">Other Financial asssets </t>
  </si>
  <si>
    <t>Provisions</t>
  </si>
  <si>
    <t xml:space="preserve">Other Current Assets </t>
  </si>
  <si>
    <t xml:space="preserve">Other current liablities </t>
  </si>
  <si>
    <t xml:space="preserve">3. Profitability Ratios </t>
  </si>
  <si>
    <t xml:space="preserve">Current Tax Liablities </t>
  </si>
  <si>
    <t xml:space="preserve">a. Gross Profit </t>
  </si>
  <si>
    <t>Gross profit / Net sales  *100</t>
  </si>
  <si>
    <t xml:space="preserve">Total  Curent Assets </t>
  </si>
  <si>
    <t xml:space="preserve">Total Current  Liablities </t>
  </si>
  <si>
    <t>b. Net Profit ratio</t>
  </si>
  <si>
    <t>Net profit after interest and tax / Net sales *100</t>
  </si>
  <si>
    <t xml:space="preserve">Toal Non current assets </t>
  </si>
  <si>
    <t>c. ROE</t>
  </si>
  <si>
    <t>profit after intrest and tax / SHF *100</t>
  </si>
  <si>
    <t>Long term Debt</t>
  </si>
  <si>
    <t>d. ROA</t>
  </si>
  <si>
    <t>profit after intrest and tax / total asset *100</t>
  </si>
  <si>
    <t xml:space="preserve">Total Assets </t>
  </si>
  <si>
    <t>Total Current + Non current assets</t>
  </si>
  <si>
    <t xml:space="preserve">Total Liabilites </t>
  </si>
  <si>
    <t>e .RoCE</t>
  </si>
  <si>
    <t>EBITD/ Captial employeed *100</t>
  </si>
  <si>
    <t xml:space="preserve">Fixed assets </t>
  </si>
  <si>
    <t>4. Valuation Ratios</t>
  </si>
  <si>
    <t xml:space="preserve">Capital emolyed </t>
  </si>
  <si>
    <t>a. EPS</t>
  </si>
  <si>
    <t>net profit after intrest and Tax / No of equity share *100</t>
  </si>
  <si>
    <t xml:space="preserve">Quick Assets </t>
  </si>
  <si>
    <t xml:space="preserve">Share holders Funds </t>
  </si>
  <si>
    <t>b. P/E Ratio</t>
  </si>
  <si>
    <t xml:space="preserve">market price per share / Earnings per share </t>
  </si>
  <si>
    <t>MPS is 39.40 as on 15 th sep 2022</t>
  </si>
  <si>
    <t xml:space="preserve">Inventory </t>
  </si>
  <si>
    <t>5. Activity Ratios</t>
  </si>
  <si>
    <t>Mps is 14.20 on 31st march 2021</t>
  </si>
  <si>
    <t xml:space="preserve">Prepaid expenses </t>
  </si>
  <si>
    <t xml:space="preserve">Total share holder Funds </t>
  </si>
  <si>
    <t>a. Inventory  Turnover Ratio</t>
  </si>
  <si>
    <t xml:space="preserve">Cost of goods sold ./ avg os stock </t>
  </si>
  <si>
    <t xml:space="preserve">Total Quick Assets </t>
  </si>
  <si>
    <t xml:space="preserve">Current assets - Inventory </t>
  </si>
  <si>
    <t>b Fixed Asset  Turnover Ratio</t>
  </si>
  <si>
    <t>net sales/ Net fixed assets</t>
  </si>
  <si>
    <t xml:space="preserve">Revenue from Operations </t>
  </si>
  <si>
    <t xml:space="preserve">Other income </t>
  </si>
  <si>
    <t xml:space="preserve">Equity Multiplier </t>
  </si>
  <si>
    <t xml:space="preserve">total assets/ shareholders equity </t>
  </si>
  <si>
    <t xml:space="preserve">Total income  or total sales </t>
  </si>
  <si>
    <t xml:space="preserve">DU point analysis </t>
  </si>
  <si>
    <t>(Profit after tax/net sales) * (net sales/Total assets) * (Total assets/ Equity)</t>
  </si>
  <si>
    <t xml:space="preserve"> Cost of raw materials consumed </t>
  </si>
  <si>
    <t xml:space="preserve">Purchase of stock in Trade </t>
  </si>
  <si>
    <t xml:space="preserve">Avg of stock </t>
  </si>
  <si>
    <t>Forex gain</t>
  </si>
  <si>
    <t xml:space="preserve">Total Expenses </t>
  </si>
  <si>
    <t xml:space="preserve">Cost of goods sold </t>
  </si>
  <si>
    <t xml:space="preserve">Gross profit </t>
  </si>
  <si>
    <t>Total income - COGS</t>
  </si>
  <si>
    <t>EBITDA</t>
  </si>
  <si>
    <t xml:space="preserve">EBIT </t>
  </si>
  <si>
    <t xml:space="preserve">Intrest </t>
  </si>
  <si>
    <t>Tax</t>
  </si>
  <si>
    <t>Profit after tax</t>
  </si>
  <si>
    <t>FY2022</t>
  </si>
  <si>
    <t xml:space="preserve">KPR Mill </t>
  </si>
  <si>
    <t xml:space="preserve">Page industries </t>
  </si>
  <si>
    <t xml:space="preserve">Trident ltd </t>
  </si>
  <si>
    <t>Industry avg</t>
  </si>
  <si>
    <t xml:space="preserve">Current Ratio </t>
  </si>
  <si>
    <t xml:space="preserve">Quick Ratio </t>
  </si>
  <si>
    <t>Debt- Equity Ratio</t>
  </si>
  <si>
    <t>Net profit Ratio</t>
  </si>
  <si>
    <t>ROCE</t>
  </si>
  <si>
    <t xml:space="preserve">ROA </t>
  </si>
  <si>
    <t>ROE</t>
  </si>
  <si>
    <t xml:space="preserve">Asset turnover ratio </t>
  </si>
  <si>
    <t>Inventory turnover ratio</t>
  </si>
  <si>
    <t xml:space="preserve">Financial Statements Analaysis  Of Trident Ltd. for FY 2021 and 2022 </t>
  </si>
  <si>
    <t xml:space="preserve">Formula Used </t>
  </si>
  <si>
    <t>Profit before  Tax</t>
  </si>
  <si>
    <t xml:space="preserve">Exceptional items </t>
  </si>
  <si>
    <t xml:space="preserve">Profit before  Tax without exceptional items </t>
  </si>
  <si>
    <t xml:space="preserve">Other expenses </t>
  </si>
  <si>
    <t xml:space="preserve">Depreciation and ammortization expense </t>
  </si>
  <si>
    <t xml:space="preserve">Finance cost </t>
  </si>
  <si>
    <t xml:space="preserve">Employee benefit expense </t>
  </si>
  <si>
    <t xml:space="preserve">Increase in inventory </t>
  </si>
  <si>
    <t>Opening stock + purchases - closing stock</t>
  </si>
  <si>
    <t xml:space="preserve">Purchases </t>
  </si>
  <si>
    <t xml:space="preserve">Closing stock </t>
  </si>
  <si>
    <t xml:space="preserve">Opening stock </t>
  </si>
  <si>
    <t xml:space="preserve">No. of shares </t>
  </si>
  <si>
    <t xml:space="preserve">Other equity </t>
  </si>
  <si>
    <t>Equity Share capital</t>
  </si>
  <si>
    <t xml:space="preserve">Lease libaliites </t>
  </si>
  <si>
    <t xml:space="preserve">Trade payables </t>
  </si>
  <si>
    <t xml:space="preserve">Total Non Current Libaites </t>
  </si>
  <si>
    <t>Fixed asset + Current asset - Libalities</t>
  </si>
  <si>
    <t>total income - total expense + finance cost + depreciation</t>
  </si>
  <si>
    <t>EBIT - Interest</t>
  </si>
  <si>
    <t xml:space="preserve">EBITD - Depreciation </t>
  </si>
  <si>
    <t>Profit before tax - Tax</t>
  </si>
  <si>
    <t>TRIDENT LIMITED - RATIO COMPARATIVE ANALYSIS</t>
  </si>
  <si>
    <t>Market Capitalization of Bombay Dyeing with respect to the other Industry leaders and competitors</t>
  </si>
  <si>
    <t>Stock Performance of Bombay Dyeing</t>
  </si>
  <si>
    <t>Company Name</t>
  </si>
  <si>
    <t>Market Capitalization (in Cr)</t>
  </si>
  <si>
    <t>Bombay Dyeing</t>
  </si>
  <si>
    <t>Arvind Ltd</t>
  </si>
  <si>
    <t>Welspun India</t>
  </si>
  <si>
    <t>Trident</t>
  </si>
  <si>
    <t>Banswara Syntex</t>
  </si>
  <si>
    <t>Standalone Balance Sheet for Bombay Dyeing (in Cr.)</t>
  </si>
  <si>
    <t>Source- BSE Data</t>
  </si>
  <si>
    <t>Particulars</t>
  </si>
  <si>
    <t>ASSETS-</t>
  </si>
  <si>
    <t>Non-current Assets-</t>
  </si>
  <si>
    <t>Property Plant and Equipment</t>
  </si>
  <si>
    <t>Capital Work-in Progress</t>
  </si>
  <si>
    <t>Right-of-Use Assets</t>
  </si>
  <si>
    <t>Investment Property</t>
  </si>
  <si>
    <t>Ratios for Bombay Dyeing</t>
  </si>
  <si>
    <t>Intangible assets under development</t>
  </si>
  <si>
    <t>Name</t>
  </si>
  <si>
    <t>Formula</t>
  </si>
  <si>
    <t>Value</t>
  </si>
  <si>
    <t>Financial Assets</t>
  </si>
  <si>
    <t>Liquidity Ratios-</t>
  </si>
  <si>
    <t>i. Investments</t>
  </si>
  <si>
    <t>CA/CL</t>
  </si>
  <si>
    <t>ii. Loans</t>
  </si>
  <si>
    <t>(CA-Inventories-P.Expense)/CL</t>
  </si>
  <si>
    <t>iii. Others</t>
  </si>
  <si>
    <t>Deferred Tax assets (Net)</t>
  </si>
  <si>
    <t>Solvency Ratios-</t>
  </si>
  <si>
    <t>Other Non-current Assets</t>
  </si>
  <si>
    <t>Total L.T Debt/ SHF</t>
  </si>
  <si>
    <t>Total Non-current Assets</t>
  </si>
  <si>
    <t>Propreitary Ratio</t>
  </si>
  <si>
    <t>SHF/Total Assets</t>
  </si>
  <si>
    <t>Current Assets-</t>
  </si>
  <si>
    <t>Profitability Ratios-</t>
  </si>
  <si>
    <t>Net Profit Ratio (IN %)</t>
  </si>
  <si>
    <t>(EAIT/Net Sales)*100</t>
  </si>
  <si>
    <t>Gross Profit Ratio (IN %)</t>
  </si>
  <si>
    <t>(Gross Profit/Net Sales)*100</t>
  </si>
  <si>
    <t>i. Trade Receivables</t>
  </si>
  <si>
    <t>ROA (IN %)</t>
  </si>
  <si>
    <t>(EAT/Total Assets)*100</t>
  </si>
  <si>
    <t>ii. Cash and Cash Equivalents</t>
  </si>
  <si>
    <t>ROC (IN %)</t>
  </si>
  <si>
    <t>(EBIT/Capital Employed)*100</t>
  </si>
  <si>
    <t xml:space="preserve">iii. Bank Balances other than (ii) </t>
  </si>
  <si>
    <t>iv. Loans</t>
  </si>
  <si>
    <t>Valuation Ratios-</t>
  </si>
  <si>
    <t>v. Others</t>
  </si>
  <si>
    <t>Earnings per share</t>
  </si>
  <si>
    <t>EATPD/Number of Equity shares</t>
  </si>
  <si>
    <t>Other Current Assets &amp; CTA</t>
  </si>
  <si>
    <t>Dividend Yield Ratio</t>
  </si>
  <si>
    <t>Dividend Per share/ Share Market value</t>
  </si>
  <si>
    <t>TOTAL ASSETS</t>
  </si>
  <si>
    <t>Coverage Ratios-</t>
  </si>
  <si>
    <t>Interest Coverage Ratio</t>
  </si>
  <si>
    <t>EBIT/Interest Charges (Finance Cost)</t>
  </si>
  <si>
    <t>EQUITY AND LIABILITIES</t>
  </si>
  <si>
    <t>Equity-</t>
  </si>
  <si>
    <t>Activity Ratios-</t>
  </si>
  <si>
    <t>Equity Share Capital</t>
  </si>
  <si>
    <t>41,31</t>
  </si>
  <si>
    <t>COGS/Average stock</t>
  </si>
  <si>
    <t>Other Equity</t>
  </si>
  <si>
    <t>Fixed Asset Turnover Ratio</t>
  </si>
  <si>
    <t>COGS/Average Net Fixed Assets</t>
  </si>
  <si>
    <t>Total Equity</t>
  </si>
  <si>
    <t>Liabilities-</t>
  </si>
  <si>
    <t>Non current Liabilities</t>
  </si>
  <si>
    <t>Financial Liabilities</t>
  </si>
  <si>
    <t>i. Borrowings</t>
  </si>
  <si>
    <t>ii. Other Financial Liabilities</t>
  </si>
  <si>
    <t>Total Non-current Liabilities</t>
  </si>
  <si>
    <t>Current Liabilities</t>
  </si>
  <si>
    <t>Financial Liabilities-</t>
  </si>
  <si>
    <t>ii. Lease Liabilities</t>
  </si>
  <si>
    <t>Ratio Comparison with Industry</t>
  </si>
  <si>
    <t>iii. Trade Payables</t>
  </si>
  <si>
    <t>iv. Other Financial Liabilities</t>
  </si>
  <si>
    <t>Current Ratio-</t>
  </si>
  <si>
    <t>Other Current Liabilities</t>
  </si>
  <si>
    <t>Total Current Liabilities</t>
  </si>
  <si>
    <t>TOTAL EQUITIES AND LIABILITIES</t>
  </si>
  <si>
    <t>Industry Average</t>
  </si>
  <si>
    <t>Quick Ratio-</t>
  </si>
  <si>
    <t>Profit and Loss Statement for Bombay Dyeing (In Cr)</t>
  </si>
  <si>
    <t>Revenue from Operations</t>
  </si>
  <si>
    <t>Other Income</t>
  </si>
  <si>
    <t>Total Income</t>
  </si>
  <si>
    <t>Debt-Equity-</t>
  </si>
  <si>
    <t>EXPENSES</t>
  </si>
  <si>
    <t>Purchase of Stock in trade</t>
  </si>
  <si>
    <t>Change in Inventories of F. Goods,WIP</t>
  </si>
  <si>
    <t>Employee Benefit Expense</t>
  </si>
  <si>
    <t>Propreitary Ratio-</t>
  </si>
  <si>
    <t>Finance Cost</t>
  </si>
  <si>
    <t>Depriciation and Ammortization</t>
  </si>
  <si>
    <t>Other Expenses</t>
  </si>
  <si>
    <t>Total Expenses</t>
  </si>
  <si>
    <t xml:space="preserve">Profit/Loss before tax </t>
  </si>
  <si>
    <t>Exceptional Items</t>
  </si>
  <si>
    <t>Net Profit Ratio-</t>
  </si>
  <si>
    <t>Tax Expense-</t>
  </si>
  <si>
    <t>Current Tax</t>
  </si>
  <si>
    <t>Deferred Tax</t>
  </si>
  <si>
    <t>Excess/Short provision of tax</t>
  </si>
  <si>
    <t>Gross Profit Ratio-</t>
  </si>
  <si>
    <t>Total Tax Expense</t>
  </si>
  <si>
    <t>Profit/Loss for the year</t>
  </si>
  <si>
    <t>Other Comprehensive Income-</t>
  </si>
  <si>
    <t>Items that will not be reclassified to P</t>
  </si>
  <si>
    <t>:Acturial loss/gain on defined benefit</t>
  </si>
  <si>
    <t>ROA-</t>
  </si>
  <si>
    <t>:Fair Value changes of investments</t>
  </si>
  <si>
    <t>Income tax relating to above</t>
  </si>
  <si>
    <t>Total Other Comprehensive Income</t>
  </si>
  <si>
    <t>Total Comprehensive Income for year</t>
  </si>
  <si>
    <t>Earnings per equity share-</t>
  </si>
  <si>
    <t>ROC-</t>
  </si>
  <si>
    <t>: Basic</t>
  </si>
  <si>
    <t>: Diluted</t>
  </si>
  <si>
    <t>Important Particulars (in Cr)</t>
  </si>
  <si>
    <t>EPS-</t>
  </si>
  <si>
    <t>Net Profit</t>
  </si>
  <si>
    <t>Cost of Goods Sold</t>
  </si>
  <si>
    <t>Opening Stock</t>
  </si>
  <si>
    <t>Purchases</t>
  </si>
  <si>
    <t>Closing Stock</t>
  </si>
  <si>
    <t>Number of Equity Shares</t>
  </si>
  <si>
    <t>Inventory Turnover-</t>
  </si>
  <si>
    <t>F.Asset Turnover-</t>
  </si>
  <si>
    <t>Source of Industry Average- Annual Reports of Companies</t>
  </si>
  <si>
    <t>BDMCL - DIVIDEND DATA</t>
  </si>
  <si>
    <t>Market Capitalisation (in Cr)</t>
  </si>
  <si>
    <t>BDMCL - FINANCIALS</t>
  </si>
  <si>
    <t>Amount in lakhs</t>
  </si>
  <si>
    <t>Note No.</t>
  </si>
  <si>
    <t xml:space="preserve">I. </t>
  </si>
  <si>
    <t>ASSETS</t>
  </si>
  <si>
    <t>Non-current assets</t>
  </si>
  <si>
    <t>(a)   Property, plant and equipment</t>
  </si>
  <si>
    <t>(b)   Capital work - in - progress</t>
  </si>
  <si>
    <t>(c)   Investment properties</t>
  </si>
  <si>
    <t>(d)   Intangible assets</t>
  </si>
  <si>
    <t>(e)   Intangible assets under development</t>
  </si>
  <si>
    <t>(f)   Investments in Subsidiaries, Associates and Joint venture</t>
  </si>
  <si>
    <t>(g)   Financial assets</t>
  </si>
  <si>
    <t>(i) Investments</t>
  </si>
  <si>
    <t>(ii)  Loans</t>
  </si>
  <si>
    <t>(iii)  Other financial assets</t>
  </si>
  <si>
    <t>(h)   Deferred tax assets (net)</t>
  </si>
  <si>
    <t>(i)   Income tax assets (net)</t>
  </si>
  <si>
    <t>(j)   Other non - current assets</t>
  </si>
  <si>
    <t xml:space="preserve">Total Fixed assets </t>
  </si>
  <si>
    <t>Current assets</t>
  </si>
  <si>
    <t>(a)   Inventories</t>
  </si>
  <si>
    <t>(b)   Financial assets</t>
  </si>
  <si>
    <t>(ii)   Trade receivables</t>
  </si>
  <si>
    <t>(iii)  Cash and cash equivalents</t>
  </si>
  <si>
    <t>(iv)  Bank balances other than cash and cash equivalents</t>
  </si>
  <si>
    <t>(v)   Loans</t>
  </si>
  <si>
    <t>(vi)  Other financial assets</t>
  </si>
  <si>
    <t>(c)    Other current assets</t>
  </si>
  <si>
    <t xml:space="preserve">Total Current assets </t>
  </si>
  <si>
    <t xml:space="preserve">II. </t>
  </si>
  <si>
    <t>Equity</t>
  </si>
  <si>
    <t>(a) Equity share capital</t>
  </si>
  <si>
    <t>(b) Other equity</t>
  </si>
  <si>
    <t>Liabilities</t>
  </si>
  <si>
    <t>Non-current liabilities</t>
  </si>
  <si>
    <t>(a)   Financial liabilities</t>
  </si>
  <si>
    <t>(i)    Borrowings</t>
  </si>
  <si>
    <t>(ii)   Lease liabilities</t>
  </si>
  <si>
    <t>(iii)  Other financial liabilities</t>
  </si>
  <si>
    <t>(b)  Other non - current liabilities</t>
  </si>
  <si>
    <t>Total non-current Liabilities</t>
  </si>
  <si>
    <t>Current liabilities</t>
  </si>
  <si>
    <t>(iii)  Trade payables</t>
  </si>
  <si>
    <t>Total outstanding dues of micro enterprises and small enterprises</t>
  </si>
  <si>
    <t>Total outstanding dues of creditors other than micro enterprises and small enterprizes</t>
  </si>
  <si>
    <t>(iv)   Other financial liabilities</t>
  </si>
  <si>
    <t>(b)   Other current liabilities</t>
  </si>
  <si>
    <t>(c)    Provisions</t>
  </si>
  <si>
    <t>Total current liabilities</t>
  </si>
  <si>
    <t>TOTAL LIABILITIES</t>
  </si>
  <si>
    <t>TOTAL EQUITY AND LIABILITIES</t>
  </si>
  <si>
    <t xml:space="preserve">Total Sales </t>
  </si>
  <si>
    <t xml:space="preserve">Sales return </t>
  </si>
  <si>
    <t xml:space="preserve">Inventories </t>
  </si>
  <si>
    <t xml:space="preserve">Sr. No. </t>
  </si>
  <si>
    <t>Calculated</t>
  </si>
  <si>
    <t>Value as of 2022</t>
  </si>
  <si>
    <t>Value as of 2021</t>
  </si>
  <si>
    <t>Shareholders fund</t>
  </si>
  <si>
    <t>Debt Equity Ratio</t>
  </si>
  <si>
    <t>Gross Profit</t>
  </si>
  <si>
    <t>Gross Profit Ratio</t>
  </si>
  <si>
    <t>Net Sales</t>
  </si>
  <si>
    <t>Return on Assets</t>
  </si>
  <si>
    <t xml:space="preserve">Return on Equity </t>
  </si>
  <si>
    <t>Debtors turnover ratio</t>
  </si>
  <si>
    <t>Inventory/Stock turnover ratio</t>
  </si>
  <si>
    <t xml:space="preserve">Interest coverage ratio </t>
  </si>
  <si>
    <t xml:space="preserve">Book Value of shares </t>
  </si>
  <si>
    <t>Face value of share</t>
  </si>
  <si>
    <t>No. Of shares</t>
  </si>
  <si>
    <t>Dividend</t>
  </si>
  <si>
    <t>Dividend yield ratio</t>
  </si>
  <si>
    <t>Dividend payout ratio</t>
  </si>
  <si>
    <t>Announcement Date</t>
  </si>
  <si>
    <t>Dividend (Rs)</t>
  </si>
  <si>
    <t>APPENDIX A.2 - BOMBAY DYEING AND MANUFACTURING COMPANY LIMITED</t>
  </si>
  <si>
    <t>APPENDIX A.1 - SIYARAM SILK MILLS LIMITED</t>
  </si>
  <si>
    <t>APPENDIX A.3 - TRIDENT LIMITED</t>
  </si>
  <si>
    <t>APPENDIX A.4 - RAYMOND LTD</t>
  </si>
  <si>
    <t>As at
31st March, 2022</t>
  </si>
  <si>
    <t>As at
31st March, 2021</t>
  </si>
  <si>
    <t>APPENDIX A.5 - RUPA &amp; COMPANY LTD</t>
  </si>
  <si>
    <t>RUPA &amp; COMPANY LTD - DIVIDEND</t>
  </si>
  <si>
    <t>Statement of Profit and Loss for the year ended 31 March 2022</t>
  </si>
  <si>
    <t xml:space="preserve">Income </t>
  </si>
  <si>
    <t>Revenue from operations</t>
  </si>
  <si>
    <t>Expenses</t>
  </si>
  <si>
    <t>Cost of raw materials consumed</t>
  </si>
  <si>
    <t>Purchases of traded goods</t>
  </si>
  <si>
    <t>(Increase)/decrease in inventories</t>
  </si>
  <si>
    <t>Employee benefits expense</t>
  </si>
  <si>
    <t>Depreciation and amortisation expense</t>
  </si>
  <si>
    <t>Finance costs</t>
  </si>
  <si>
    <t>Other expenses</t>
  </si>
  <si>
    <t>Profit before tax</t>
  </si>
  <si>
    <t>Tax expense</t>
  </si>
  <si>
    <t>Current tax</t>
  </si>
  <si>
    <t>Deferred tax credit</t>
  </si>
  <si>
    <t>Tax expense / (credit) pertaining to earlier years</t>
  </si>
  <si>
    <t>Profit for the year</t>
  </si>
  <si>
    <t>Other comprehensive income / (loss)</t>
  </si>
  <si>
    <t>Other comprehensive income not to be reclassified to profit or loss in subsequent periods</t>
  </si>
  <si>
    <t>Re-measurement gains/ (losses) on defined benefit plans</t>
  </si>
  <si>
    <t>Deferred tax credit / (expense)</t>
  </si>
  <si>
    <t>Other comprehensive income for the year, net of tax</t>
  </si>
  <si>
    <t>Total comprehensive income for the year, net of tax</t>
  </si>
  <si>
    <t>Earnings per share (par value ` 10 per share)</t>
  </si>
  <si>
    <t>Basic (Rs.)</t>
  </si>
  <si>
    <t>Diluted (Rs.)</t>
  </si>
  <si>
    <t>APPENDIX A.6 - PAGE INDUSTRIES</t>
  </si>
  <si>
    <t>PAGE INDUSTRIES - STATEMENT OF PROFIT AND LOSS</t>
  </si>
  <si>
    <t>Balance Sheet</t>
  </si>
  <si>
    <t>31 March 2022</t>
  </si>
  <si>
    <t>31 March 2021</t>
  </si>
  <si>
    <t>Property, plant and equipment (net)</t>
  </si>
  <si>
    <t>Capital work in progress</t>
  </si>
  <si>
    <t>Intangible assets (net)</t>
  </si>
  <si>
    <t>Right of use assets (net)</t>
  </si>
  <si>
    <t>Financial assets</t>
  </si>
  <si>
    <t xml:space="preserve">   Other financial assets</t>
  </si>
  <si>
    <t>Deferred tax assets (net)</t>
  </si>
  <si>
    <t>Income tax assets (net)</t>
  </si>
  <si>
    <t>Other non-current assets</t>
  </si>
  <si>
    <t xml:space="preserve">   Trade receivables</t>
  </si>
  <si>
    <t xml:space="preserve">   Cash and cash equivalents</t>
  </si>
  <si>
    <t xml:space="preserve">   Bank balance other than cash and cash equivalents</t>
  </si>
  <si>
    <t>Other current assets</t>
  </si>
  <si>
    <t>Total assets</t>
  </si>
  <si>
    <t xml:space="preserve">Equity </t>
  </si>
  <si>
    <t>Equity share capital</t>
  </si>
  <si>
    <t>Other equity</t>
  </si>
  <si>
    <t>Total equity</t>
  </si>
  <si>
    <t>Non-current liabilitie</t>
  </si>
  <si>
    <t>Financial liabilities</t>
  </si>
  <si>
    <t xml:space="preserve">   Lease Liabilities</t>
  </si>
  <si>
    <t>Other non current liabilities</t>
  </si>
  <si>
    <t>Borrowings</t>
  </si>
  <si>
    <t>Lease Liabilities</t>
  </si>
  <si>
    <t>Trade payables</t>
  </si>
  <si>
    <t xml:space="preserve">   total outstanding dues of micro enterprises and small enterprises</t>
  </si>
  <si>
    <t xml:space="preserve">   total outstanding dues of creditors other than micro enterprises and small enterprises</t>
  </si>
  <si>
    <t>Other financial liabilities</t>
  </si>
  <si>
    <t>Other current liabilities</t>
  </si>
  <si>
    <t>Liabilities for current tax (net)</t>
  </si>
  <si>
    <t>Total liabilities</t>
  </si>
  <si>
    <t>Total equity and liabilitie</t>
  </si>
  <si>
    <t>Ratio Analysis of Page Industries:</t>
  </si>
  <si>
    <t>Ratios</t>
  </si>
  <si>
    <t>2022</t>
  </si>
  <si>
    <t>2021</t>
  </si>
  <si>
    <t>Liquidity</t>
  </si>
  <si>
    <t>Current ratio</t>
  </si>
  <si>
    <t>Current Ratio = Current Assets / Current Liabilities</t>
  </si>
  <si>
    <t xml:space="preserve">The ideal current ratio is 2:1 </t>
  </si>
  <si>
    <t>Quick ratio</t>
  </si>
  <si>
    <t>(Current Asset - Inventory - Prepaid Expenses)/ Current Liabilities</t>
  </si>
  <si>
    <t xml:space="preserve">The ideal Quick Ratio is 1:1 </t>
  </si>
  <si>
    <t>Leverage</t>
  </si>
  <si>
    <t xml:space="preserve"> </t>
  </si>
  <si>
    <t>Debt - equity ratio</t>
  </si>
  <si>
    <t>Total Liabilities / Total Equity</t>
  </si>
  <si>
    <t>The ideal Debt Equity Ratio is 1:1</t>
  </si>
  <si>
    <t>Proprietary ratio</t>
  </si>
  <si>
    <t>Shareholder's Fund / Total Assets</t>
  </si>
  <si>
    <t>A ratio below 0.5 is alarming for the creditors</t>
  </si>
  <si>
    <t>Profitability Ratios</t>
  </si>
  <si>
    <t>Return on asset</t>
  </si>
  <si>
    <t>(Net profit after Interest &amp; Tax / Total Asset) *100</t>
  </si>
  <si>
    <t>Return on equity</t>
  </si>
  <si>
    <t>(Net profit after Interest &amp; Tax / Shareholder's Fund ) *100</t>
  </si>
  <si>
    <t>Turnover Ratios</t>
  </si>
  <si>
    <t>Sales / Closing Inventory</t>
  </si>
  <si>
    <t>Ratio Analysis of KPR Mill:</t>
  </si>
  <si>
    <t>Market Capitalization</t>
  </si>
  <si>
    <t xml:space="preserve">KPR Mills </t>
  </si>
  <si>
    <t>Ratio Analysis of Arvind Ltd:</t>
  </si>
  <si>
    <t xml:space="preserve">Dupont Analysis </t>
  </si>
  <si>
    <t>Profit After Tax</t>
  </si>
  <si>
    <t>Total Assets</t>
  </si>
  <si>
    <t>( All amounts in Indian Rupees Millions, unless otherwise stated)</t>
  </si>
  <si>
    <t xml:space="preserve">  </t>
  </si>
  <si>
    <t>Date</t>
  </si>
  <si>
    <t>RUPA.NS</t>
  </si>
  <si>
    <t>LUXIND.NS</t>
  </si>
  <si>
    <t>ARVIND.NS</t>
  </si>
  <si>
    <t>Others</t>
  </si>
  <si>
    <t>Market Capitalization of Rupa</t>
  </si>
  <si>
    <t>Market Capitalization of Page Industries</t>
  </si>
  <si>
    <t>Market Capitalization of Arvind Industries</t>
  </si>
  <si>
    <t>Standalone Balance Sheet</t>
  </si>
  <si>
    <t>As At March 31, 2022</t>
  </si>
  <si>
    <t>As At March 31, 2021</t>
  </si>
  <si>
    <t>In Lakhs</t>
  </si>
  <si>
    <t>Non-Current Assets</t>
  </si>
  <si>
    <t xml:space="preserve">(a) Property, Plant and Equipment </t>
  </si>
  <si>
    <t>(b) Right to Use Assets</t>
  </si>
  <si>
    <t>(c) Capital work-in-progress</t>
  </si>
  <si>
    <t xml:space="preserve">(d) Intangibles Assets </t>
  </si>
  <si>
    <t xml:space="preserve">(e) Intangibles assets under development </t>
  </si>
  <si>
    <t>(f) Investments in Subsidiaries</t>
  </si>
  <si>
    <t xml:space="preserve">(g) Financial Assets </t>
  </si>
  <si>
    <t xml:space="preserve">(i) Investments </t>
  </si>
  <si>
    <t xml:space="preserve">(ii) Other Financial Assets  </t>
  </si>
  <si>
    <t>(h) Non-Current tax Assets (net)</t>
  </si>
  <si>
    <t xml:space="preserve">(i) Other Non Current Assets </t>
  </si>
  <si>
    <t xml:space="preserve">(a) Inventories </t>
  </si>
  <si>
    <t xml:space="preserve">(b)  Financial Assets </t>
  </si>
  <si>
    <t>(i) Trade Receivable</t>
  </si>
  <si>
    <t>(ii) Cash and cash equivalents</t>
  </si>
  <si>
    <t xml:space="preserve">(iii) Other bank balances (other than Note 13 above) </t>
  </si>
  <si>
    <t>(iv) Loans</t>
  </si>
  <si>
    <t xml:space="preserve">(v) Other Financial Assets </t>
  </si>
  <si>
    <t xml:space="preserve">(c)  Other Current Assets </t>
  </si>
  <si>
    <t>Equity and Liabilities</t>
  </si>
  <si>
    <t>(a) Equity Share Capital</t>
  </si>
  <si>
    <t xml:space="preserve">(b) Other Equity </t>
  </si>
  <si>
    <t>Non-Current Liabilities</t>
  </si>
  <si>
    <t xml:space="preserve">(a)  Financial Liabilities </t>
  </si>
  <si>
    <t xml:space="preserve">(i) Borrowings </t>
  </si>
  <si>
    <t xml:space="preserve">(ii) Lease Liability </t>
  </si>
  <si>
    <t xml:space="preserve">(b)  Provisions </t>
  </si>
  <si>
    <t xml:space="preserve">(c)  Deferred Tax Liabilities (Net) </t>
  </si>
  <si>
    <t xml:space="preserve">(d)  Other Non-Current Liabilities </t>
  </si>
  <si>
    <t xml:space="preserve">Current liabilities </t>
  </si>
  <si>
    <t xml:space="preserve">(a) Financial Liabilities </t>
  </si>
  <si>
    <t xml:space="preserve">(ii) Lease Liabilities </t>
  </si>
  <si>
    <t>(iii) Trade Payables</t>
  </si>
  <si>
    <t xml:space="preserve">- Total outstanding dues of creditors to micro enterprises and small enterprises </t>
  </si>
  <si>
    <t xml:space="preserve">- Total outstanding dues of creditor to other than micro enterprises and small enterprises </t>
  </si>
  <si>
    <t xml:space="preserve">(iv) Other Financial Liabilities </t>
  </si>
  <si>
    <t xml:space="preserve">(b) Provisions </t>
  </si>
  <si>
    <t xml:space="preserve">(c) Current Tax Liabilities (Net) </t>
  </si>
  <si>
    <t xml:space="preserve">(d) Other Current Liabilities </t>
  </si>
  <si>
    <t>Total Equity and Liabilities</t>
  </si>
  <si>
    <t>Working Note</t>
  </si>
  <si>
    <t>Total Long Term Debt</t>
  </si>
  <si>
    <t>Shareholders Fund</t>
  </si>
  <si>
    <t>Net Capital Employed</t>
  </si>
  <si>
    <t>Average Debtors</t>
  </si>
  <si>
    <t>Average Creditors</t>
  </si>
  <si>
    <t>Standalone Statement of Profit and Loss</t>
  </si>
  <si>
    <t>Serial Number</t>
  </si>
  <si>
    <t>For the Year ended March 31, 2022</t>
  </si>
  <si>
    <t>For the Year Ended March 31, 2021</t>
  </si>
  <si>
    <t>I</t>
  </si>
  <si>
    <t>II</t>
  </si>
  <si>
    <t>III</t>
  </si>
  <si>
    <t xml:space="preserve">Total Income (I+II) </t>
  </si>
  <si>
    <t>IV</t>
  </si>
  <si>
    <t xml:space="preserve">Expenses </t>
  </si>
  <si>
    <t>Purchase of Stock-in-Trade</t>
  </si>
  <si>
    <t>Changes in Inventories of Finished Goods, Work in Progress</t>
  </si>
  <si>
    <t>Employee Benefits Expense</t>
  </si>
  <si>
    <t>Finance Costs</t>
  </si>
  <si>
    <t>Depreciation and Amortisation Expenses</t>
  </si>
  <si>
    <t>Total Expenses (IV)</t>
  </si>
  <si>
    <t>V</t>
  </si>
  <si>
    <t xml:space="preserve">Profit before Exceptional Items &amp; Tax (III-IV) </t>
  </si>
  <si>
    <t>VI</t>
  </si>
  <si>
    <t>VII</t>
  </si>
  <si>
    <t>Profit/(Loss) Before Tax (V-VI)</t>
  </si>
  <si>
    <t>VIII</t>
  </si>
  <si>
    <t>Tax Expense</t>
  </si>
  <si>
    <t>a) Current tax</t>
  </si>
  <si>
    <t>b) Tax for earlier years</t>
  </si>
  <si>
    <t>c) Deferred tax</t>
  </si>
  <si>
    <t>IX</t>
  </si>
  <si>
    <t>Profit for the year (VII- VIII)</t>
  </si>
  <si>
    <t>X</t>
  </si>
  <si>
    <t>Other Comprehensive Income</t>
  </si>
  <si>
    <t>A. (i) Items that will not be reclassified to profit or loss
- Remeasurements of defined benefit plans</t>
  </si>
  <si>
    <t>(ii) Income tax relating to items that will not be
reclassified to profit or loss</t>
  </si>
  <si>
    <t xml:space="preserve">B. (i) Items that will be reclassified to profit or loss </t>
  </si>
  <si>
    <t xml:space="preserve">(ii) Income tax relating to items that will be reclassified to profit or loss </t>
  </si>
  <si>
    <t>XI</t>
  </si>
  <si>
    <t>Other Comprehensive Income for the year [(A(i-ii) +B(i-ii)]</t>
  </si>
  <si>
    <t>XII</t>
  </si>
  <si>
    <t xml:space="preserve">Total Comprehensive Income for the year (IX+XI) </t>
  </si>
  <si>
    <t>XIII</t>
  </si>
  <si>
    <t>Earnings per equity share</t>
  </si>
  <si>
    <t xml:space="preserve">Basic earnings per share </t>
  </si>
  <si>
    <t>Diluted earnings per share</t>
  </si>
  <si>
    <t>Basis of Accounting</t>
  </si>
  <si>
    <t>Significant Accounting Policies</t>
  </si>
  <si>
    <t xml:space="preserve">Significant Judgements and Key Estimates </t>
  </si>
  <si>
    <t>Operating Cost</t>
  </si>
  <si>
    <t>Operating Ratio</t>
  </si>
  <si>
    <t>RATIO ANALYSIS</t>
  </si>
  <si>
    <t>Ratio</t>
  </si>
  <si>
    <t xml:space="preserve">March 31, 2022 </t>
  </si>
  <si>
    <t>March 31, 2021</t>
  </si>
  <si>
    <t>Liquidity Ratios</t>
  </si>
  <si>
    <t>Current Assets/Current Liabilities</t>
  </si>
  <si>
    <t>Curent Assets-Inventories/Current liabilities</t>
  </si>
  <si>
    <t>Solvency Ratios</t>
  </si>
  <si>
    <t>Total Long Term Debt/Shareholders Fund</t>
  </si>
  <si>
    <t>Shareholders Fund/Total Assets</t>
  </si>
  <si>
    <t xml:space="preserve">Profitablity Ratios			</t>
  </si>
  <si>
    <t>Operating Profit</t>
  </si>
  <si>
    <t>(Operating Cost/Net Sales)*100</t>
  </si>
  <si>
    <t>(EAT/Net Sales)*100</t>
  </si>
  <si>
    <t>Return on Capital Employed</t>
  </si>
  <si>
    <t>(EAT/Net Capital Employed)*100</t>
  </si>
  <si>
    <t>Activity/Turnover Ratios</t>
  </si>
  <si>
    <t>Net Sales/Average Inventories</t>
  </si>
  <si>
    <t>Debtors Turnover Ratio</t>
  </si>
  <si>
    <t>Net Credit Sales/Average Debtors</t>
  </si>
  <si>
    <t>Du Pont Analysis (ROE decomposition)</t>
  </si>
  <si>
    <t>Profit Margin</t>
  </si>
  <si>
    <t>Net Income/ Revenue</t>
  </si>
  <si>
    <t>Assets Turnover</t>
  </si>
  <si>
    <t>Sales/Total Assets</t>
  </si>
  <si>
    <t>Assets/Equity</t>
  </si>
  <si>
    <t>2022  (In Cr.)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</si>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</sst>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(&quot;₹&quot;* #,##0.00_);_(&quot;₹&quot;* \(#,##0.00\);_(&quot;₹&quot;* &quot;-&quot;??_);_(@_)"/>
    <numFmt numFmtId="166" formatCode="_(* #,##0_);_(* \(#,##0\);_(* &quot;-&quot;??_);_(@_)"/>
    <numFmt numFmtId="167" formatCode="0.000%"/>
    <numFmt numFmtId="168" formatCode="[$-F800]dddd\,\ mmmm\ dd\,\ yyyy"/>
    <numFmt numFmtId="169" formatCode="_ [$₹-439]* #,##0.00_ ;_ [$₹-439]* \-#,##0.00_ ;_ [$₹-439]* &quot;-&quot;??_ ;_ @_ "/>
    <numFmt numFmtId="170" formatCode="d\ mmmm\ yyyy"/>
  </numFmts>
  <fonts count="41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 Light (Headings)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03030"/>
      <name val="Calibri"/>
      <family val="2"/>
      <scheme val="minor"/>
    </font>
    <font>
      <b/>
      <sz val="10"/>
      <color rgb="FF30303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0"/>
      <color rgb="FF232A3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D6161E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u/>
      <sz val="10"/>
      <color theme="4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A59BCE"/>
        <bgColor indexed="64"/>
      </patternFill>
    </fill>
    <fill>
      <patternFill patternType="solid">
        <fgColor rgb="FF3D3A61"/>
        <bgColor indexed="64"/>
      </patternFill>
    </fill>
    <fill>
      <patternFill patternType="solid">
        <fgColor rgb="FFBBB5D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5C6E7"/>
        <bgColor rgb="FFF4CCCC"/>
      </patternFill>
    </fill>
    <fill>
      <patternFill patternType="solid">
        <fgColor rgb="FFB5C6E7"/>
        <bgColor indexed="64"/>
      </patternFill>
    </fill>
    <fill>
      <patternFill patternType="solid">
        <fgColor rgb="FFDAE2F2"/>
        <bgColor indexed="64"/>
      </patternFill>
    </fill>
    <fill>
      <patternFill patternType="solid">
        <fgColor rgb="FFFDE5D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BE3F3"/>
        <bgColor indexed="64"/>
      </patternFill>
    </fill>
    <fill>
      <patternFill patternType="solid">
        <fgColor rgb="FF20366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3FB9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EAD1DC"/>
      </patternFill>
    </fill>
    <fill>
      <patternFill patternType="solid">
        <fgColor theme="4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n">
        <color rgb="FF3D3A61"/>
      </bottom>
      <diagonal/>
    </border>
    <border>
      <left/>
      <right style="thin">
        <color rgb="FF3D3A61"/>
      </right>
      <top style="thin">
        <color rgb="FF3D3A61"/>
      </top>
      <bottom/>
      <diagonal/>
    </border>
    <border>
      <left/>
      <right style="thin">
        <color rgb="FF3D3A61"/>
      </right>
      <top/>
      <bottom/>
      <diagonal/>
    </border>
    <border>
      <left style="thin">
        <color rgb="FF3D3A61"/>
      </left>
      <right style="thin">
        <color rgb="FF3D3A61"/>
      </right>
      <top style="thin">
        <color rgb="FF3D3A61"/>
      </top>
      <bottom/>
      <diagonal/>
    </border>
    <border>
      <left style="thin">
        <color rgb="FF3D3A61"/>
      </left>
      <right style="thin">
        <color rgb="FF3D3A61"/>
      </right>
      <top/>
      <bottom/>
      <diagonal/>
    </border>
    <border>
      <left style="thin">
        <color rgb="FF3D3A61"/>
      </left>
      <right style="thin">
        <color rgb="FF3D3A61"/>
      </right>
      <top style="thin">
        <color rgb="FF3D3A61"/>
      </top>
      <bottom style="thin">
        <color rgb="FF3D3A61"/>
      </bottom>
      <diagonal/>
    </border>
    <border>
      <left style="thin">
        <color rgb="FF3D3A61"/>
      </left>
      <right style="thin">
        <color rgb="FF3D3A61"/>
      </right>
      <top/>
      <bottom style="thin">
        <color rgb="FF3D3A61"/>
      </bottom>
      <diagonal/>
    </border>
    <border>
      <left/>
      <right style="thin">
        <color rgb="FF3D3A61"/>
      </right>
      <top/>
      <bottom style="thin">
        <color rgb="FF3D3A61"/>
      </bottom>
      <diagonal/>
    </border>
    <border>
      <left style="thin">
        <color rgb="FF3D3A61"/>
      </left>
      <right style="thin">
        <color rgb="FF3D3A61"/>
      </right>
      <top/>
      <bottom style="thin">
        <color rgb="FFA59BCE"/>
      </bottom>
      <diagonal/>
    </border>
    <border>
      <left/>
      <right style="thin">
        <color rgb="FF3D3A61"/>
      </right>
      <top/>
      <bottom style="thin">
        <color rgb="FFA59BCE"/>
      </bottom>
      <diagonal/>
    </border>
    <border>
      <left style="thin">
        <color rgb="FF3D3A61"/>
      </left>
      <right style="thin">
        <color rgb="FFA59BCE"/>
      </right>
      <top style="thin">
        <color rgb="FF3D3A61"/>
      </top>
      <bottom style="thin">
        <color rgb="FF3D3A61"/>
      </bottom>
      <diagonal/>
    </border>
    <border>
      <left style="thin">
        <color rgb="FFA59BCE"/>
      </left>
      <right style="thin">
        <color rgb="FF3D3A61"/>
      </right>
      <top style="thin">
        <color rgb="FF3D3A61"/>
      </top>
      <bottom style="thin">
        <color rgb="FF3D3A61"/>
      </bottom>
      <diagonal/>
    </border>
    <border>
      <left style="thin">
        <color rgb="FF3D3A61"/>
      </left>
      <right/>
      <top/>
      <bottom/>
      <diagonal/>
    </border>
    <border>
      <left style="thin">
        <color rgb="FF3D3A61"/>
      </left>
      <right/>
      <top/>
      <bottom style="thin">
        <color rgb="FF3D3A61"/>
      </bottom>
      <diagonal/>
    </border>
    <border>
      <left/>
      <right/>
      <top style="thin">
        <color rgb="FF3D3A6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3D3A61"/>
      </right>
      <top style="thin">
        <color theme="0"/>
      </top>
      <bottom style="thin">
        <color theme="0"/>
      </bottom>
      <diagonal/>
    </border>
    <border>
      <left style="thin">
        <color rgb="FF3D3A61"/>
      </left>
      <right/>
      <top style="thin">
        <color rgb="FF3D3A61"/>
      </top>
      <bottom/>
      <diagonal/>
    </border>
    <border>
      <left style="thin">
        <color rgb="FF3D3A6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3D3A6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D3A61"/>
      </bottom>
      <diagonal/>
    </border>
    <border>
      <left style="thin">
        <color theme="0"/>
      </left>
      <right style="thin">
        <color theme="0"/>
      </right>
      <top style="thin">
        <color rgb="FF3D3A61"/>
      </top>
      <bottom/>
      <diagonal/>
    </border>
    <border>
      <left style="thin">
        <color rgb="FF3D3A6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rgb="FF3D3A61"/>
      </bottom>
      <diagonal/>
    </border>
    <border>
      <left/>
      <right style="thin">
        <color theme="0"/>
      </right>
      <top/>
      <bottom style="thin">
        <color rgb="FF3D3A61"/>
      </bottom>
      <diagonal/>
    </border>
    <border>
      <left/>
      <right style="thin">
        <color rgb="FF3D3A61"/>
      </right>
      <top style="thin">
        <color rgb="FF3D3A61"/>
      </top>
      <bottom style="thin">
        <color rgb="FF3D3A6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7" fillId="0" borderId="0"/>
  </cellStyleXfs>
  <cellXfs count="532">
    <xf numFmtId="0" fontId="0" fillId="0" borderId="0" xfId="0"/>
    <xf numFmtId="0" fontId="6" fillId="2" borderId="4" xfId="0" applyFont="1" applyFill="1" applyBorder="1"/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4" xfId="0" applyFont="1" applyBorder="1"/>
    <xf numFmtId="9" fontId="7" fillId="0" borderId="2" xfId="0" applyNumberFormat="1" applyFont="1" applyBorder="1"/>
    <xf numFmtId="0" fontId="7" fillId="0" borderId="5" xfId="0" applyFont="1" applyBorder="1"/>
    <xf numFmtId="9" fontId="7" fillId="0" borderId="3" xfId="0" applyNumberFormat="1" applyFont="1" applyBorder="1"/>
    <xf numFmtId="0" fontId="5" fillId="0" borderId="9" xfId="0" applyFont="1" applyBorder="1"/>
    <xf numFmtId="9" fontId="5" fillId="0" borderId="10" xfId="0" applyNumberFormat="1" applyFont="1" applyBorder="1"/>
    <xf numFmtId="0" fontId="5" fillId="0" borderId="7" xfId="0" applyFont="1" applyBorder="1"/>
    <xf numFmtId="9" fontId="5" fillId="0" borderId="8" xfId="0" applyNumberFormat="1" applyFont="1" applyBorder="1"/>
    <xf numFmtId="0" fontId="6" fillId="2" borderId="6" xfId="0" applyFont="1" applyFill="1" applyBorder="1" applyAlignment="1">
      <alignment horizontal="center"/>
    </xf>
    <xf numFmtId="9" fontId="7" fillId="0" borderId="7" xfId="0" applyNumberFormat="1" applyFont="1" applyBorder="1"/>
    <xf numFmtId="2" fontId="7" fillId="0" borderId="5" xfId="0" applyNumberFormat="1" applyFont="1" applyBorder="1"/>
    <xf numFmtId="0" fontId="6" fillId="3" borderId="19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7" fillId="0" borderId="7" xfId="0" applyFont="1" applyBorder="1"/>
    <xf numFmtId="2" fontId="7" fillId="0" borderId="4" xfId="0" applyNumberFormat="1" applyFont="1" applyBorder="1"/>
    <xf numFmtId="2" fontId="5" fillId="0" borderId="9" xfId="0" applyNumberFormat="1" applyFont="1" applyBorder="1"/>
    <xf numFmtId="2" fontId="5" fillId="0" borderId="7" xfId="0" applyNumberFormat="1" applyFont="1" applyBorder="1"/>
    <xf numFmtId="2" fontId="7" fillId="0" borderId="7" xfId="0" applyNumberFormat="1" applyFont="1" applyBorder="1"/>
    <xf numFmtId="0" fontId="0" fillId="3" borderId="15" xfId="0" applyFill="1" applyBorder="1"/>
    <xf numFmtId="0" fontId="0" fillId="3" borderId="0" xfId="0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4" xfId="0" applyFont="1" applyFill="1" applyBorder="1"/>
    <xf numFmtId="0" fontId="5" fillId="0" borderId="4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9" fillId="0" borderId="0" xfId="0" applyFont="1"/>
    <xf numFmtId="0" fontId="9" fillId="0" borderId="27" xfId="0" applyFont="1" applyBorder="1"/>
    <xf numFmtId="0" fontId="5" fillId="4" borderId="4" xfId="0" applyFont="1" applyFill="1" applyBorder="1"/>
    <xf numFmtId="0" fontId="9" fillId="0" borderId="5" xfId="0" applyFont="1" applyBorder="1"/>
    <xf numFmtId="0" fontId="5" fillId="4" borderId="5" xfId="0" applyFont="1" applyFill="1" applyBorder="1"/>
    <xf numFmtId="0" fontId="7" fillId="0" borderId="5" xfId="0" applyFont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4" borderId="7" xfId="0" applyFont="1" applyFill="1" applyBorder="1"/>
    <xf numFmtId="0" fontId="9" fillId="0" borderId="4" xfId="0" applyFont="1" applyBorder="1"/>
    <xf numFmtId="165" fontId="7" fillId="0" borderId="5" xfId="0" applyNumberFormat="1" applyFont="1" applyBorder="1"/>
    <xf numFmtId="165" fontId="5" fillId="0" borderId="5" xfId="0" applyNumberFormat="1" applyFont="1" applyBorder="1"/>
    <xf numFmtId="165" fontId="9" fillId="0" borderId="5" xfId="0" applyNumberFormat="1" applyFont="1" applyBorder="1"/>
    <xf numFmtId="166" fontId="5" fillId="0" borderId="5" xfId="1" applyNumberFormat="1" applyFont="1" applyBorder="1"/>
    <xf numFmtId="165" fontId="5" fillId="0" borderId="7" xfId="0" applyNumberFormat="1" applyFont="1" applyBorder="1"/>
    <xf numFmtId="0" fontId="6" fillId="3" borderId="29" xfId="0" applyFont="1" applyFill="1" applyBorder="1" applyAlignment="1">
      <alignment horizontal="center"/>
    </xf>
    <xf numFmtId="15" fontId="6" fillId="3" borderId="16" xfId="0" applyNumberFormat="1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top" wrapText="1"/>
    </xf>
    <xf numFmtId="4" fontId="7" fillId="0" borderId="5" xfId="0" applyNumberFormat="1" applyFont="1" applyBorder="1"/>
    <xf numFmtId="4" fontId="7" fillId="0" borderId="7" xfId="0" applyNumberFormat="1" applyFont="1" applyBorder="1"/>
    <xf numFmtId="10" fontId="7" fillId="0" borderId="2" xfId="0" applyNumberFormat="1" applyFont="1" applyBorder="1"/>
    <xf numFmtId="10" fontId="7" fillId="0" borderId="3" xfId="0" applyNumberFormat="1" applyFont="1" applyBorder="1"/>
    <xf numFmtId="10" fontId="7" fillId="0" borderId="8" xfId="0" applyNumberFormat="1" applyFont="1" applyBorder="1"/>
    <xf numFmtId="10" fontId="7" fillId="0" borderId="4" xfId="0" applyNumberFormat="1" applyFont="1" applyBorder="1"/>
    <xf numFmtId="10" fontId="7" fillId="0" borderId="5" xfId="0" applyNumberFormat="1" applyFont="1" applyBorder="1"/>
    <xf numFmtId="10" fontId="7" fillId="0" borderId="7" xfId="0" applyNumberFormat="1" applyFont="1" applyBorder="1"/>
    <xf numFmtId="4" fontId="7" fillId="0" borderId="4" xfId="0" applyNumberFormat="1" applyFont="1" applyBorder="1"/>
    <xf numFmtId="0" fontId="4" fillId="0" borderId="0" xfId="0" applyFont="1" applyAlignment="1">
      <alignment horizontal="center"/>
    </xf>
    <xf numFmtId="0" fontId="7" fillId="0" borderId="5" xfId="0" applyFont="1" applyBorder="1" applyAlignment="1">
      <alignment vertical="top"/>
    </xf>
    <xf numFmtId="39" fontId="7" fillId="0" borderId="5" xfId="0" applyNumberFormat="1" applyFont="1" applyBorder="1"/>
    <xf numFmtId="39" fontId="9" fillId="0" borderId="5" xfId="0" applyNumberFormat="1" applyFont="1" applyBorder="1"/>
    <xf numFmtId="10" fontId="7" fillId="0" borderId="5" xfId="0" applyNumberFormat="1" applyFont="1" applyBorder="1" applyAlignment="1">
      <alignment vertical="top"/>
    </xf>
    <xf numFmtId="39" fontId="7" fillId="0" borderId="5" xfId="0" applyNumberFormat="1" applyFont="1" applyBorder="1" applyAlignment="1">
      <alignment vertical="top"/>
    </xf>
    <xf numFmtId="2" fontId="7" fillId="0" borderId="2" xfId="0" applyNumberFormat="1" applyFont="1" applyBorder="1"/>
    <xf numFmtId="2" fontId="7" fillId="0" borderId="0" xfId="0" applyNumberFormat="1" applyFont="1"/>
    <xf numFmtId="2" fontId="7" fillId="0" borderId="3" xfId="0" applyNumberFormat="1" applyFont="1" applyBorder="1"/>
    <xf numFmtId="2" fontId="7" fillId="0" borderId="8" xfId="0" applyNumberFormat="1" applyFont="1" applyBorder="1"/>
    <xf numFmtId="0" fontId="7" fillId="0" borderId="0" xfId="0" applyFont="1"/>
    <xf numFmtId="10" fontId="7" fillId="0" borderId="0" xfId="0" applyNumberFormat="1" applyFont="1"/>
    <xf numFmtId="2" fontId="7" fillId="0" borderId="6" xfId="0" applyNumberFormat="1" applyFont="1" applyBorder="1"/>
    <xf numFmtId="2" fontId="7" fillId="0" borderId="33" xfId="0" applyNumberFormat="1" applyFont="1" applyBorder="1"/>
    <xf numFmtId="0" fontId="13" fillId="5" borderId="36" xfId="0" applyFont="1" applyFill="1" applyBorder="1" applyAlignment="1">
      <alignment horizontal="center"/>
    </xf>
    <xf numFmtId="9" fontId="7" fillId="0" borderId="37" xfId="0" applyNumberFormat="1" applyFont="1" applyBorder="1"/>
    <xf numFmtId="0" fontId="0" fillId="0" borderId="37" xfId="0" applyBorder="1"/>
    <xf numFmtId="0" fontId="13" fillId="5" borderId="36" xfId="0" applyFont="1" applyFill="1" applyBorder="1"/>
    <xf numFmtId="15" fontId="7" fillId="0" borderId="37" xfId="0" applyNumberFormat="1" applyFont="1" applyBorder="1" applyAlignment="1">
      <alignment horizontal="left"/>
    </xf>
    <xf numFmtId="15" fontId="7" fillId="0" borderId="38" xfId="0" applyNumberFormat="1" applyFont="1" applyBorder="1" applyAlignment="1">
      <alignment horizontal="left"/>
    </xf>
    <xf numFmtId="9" fontId="7" fillId="0" borderId="39" xfId="0" applyNumberFormat="1" applyFont="1" applyBorder="1"/>
    <xf numFmtId="0" fontId="13" fillId="5" borderId="40" xfId="0" applyFont="1" applyFill="1" applyBorder="1"/>
    <xf numFmtId="15" fontId="7" fillId="0" borderId="41" xfId="0" applyNumberFormat="1" applyFont="1" applyBorder="1" applyAlignment="1">
      <alignment horizontal="left"/>
    </xf>
    <xf numFmtId="2" fontId="7" fillId="0" borderId="37" xfId="0" applyNumberFormat="1" applyFont="1" applyBorder="1"/>
    <xf numFmtId="2" fontId="7" fillId="0" borderId="39" xfId="0" applyNumberFormat="1" applyFont="1" applyBorder="1"/>
    <xf numFmtId="4" fontId="18" fillId="0" borderId="41" xfId="0" applyNumberFormat="1" applyFont="1" applyBorder="1"/>
    <xf numFmtId="4" fontId="19" fillId="0" borderId="41" xfId="0" applyNumberFormat="1" applyFont="1" applyBorder="1"/>
    <xf numFmtId="4" fontId="18" fillId="0" borderId="38" xfId="0" applyNumberFormat="1" applyFont="1" applyBorder="1"/>
    <xf numFmtId="0" fontId="13" fillId="5" borderId="40" xfId="0" applyFont="1" applyFill="1" applyBorder="1" applyAlignment="1">
      <alignment horizontal="center" wrapText="1"/>
    </xf>
    <xf numFmtId="0" fontId="13" fillId="5" borderId="40" xfId="0" applyFont="1" applyFill="1" applyBorder="1" applyAlignment="1">
      <alignment vertical="top"/>
    </xf>
    <xf numFmtId="0" fontId="14" fillId="0" borderId="0" xfId="2" applyFont="1"/>
    <xf numFmtId="0" fontId="15" fillId="0" borderId="0" xfId="2" applyFont="1"/>
    <xf numFmtId="0" fontId="17" fillId="0" borderId="0" xfId="2"/>
    <xf numFmtId="2" fontId="17" fillId="0" borderId="0" xfId="2" applyNumberFormat="1"/>
    <xf numFmtId="0" fontId="9" fillId="0" borderId="0" xfId="2" applyFont="1"/>
    <xf numFmtId="164" fontId="9" fillId="0" borderId="0" xfId="2" applyNumberFormat="1" applyFont="1"/>
    <xf numFmtId="2" fontId="9" fillId="0" borderId="0" xfId="2" applyNumberFormat="1" applyFont="1"/>
    <xf numFmtId="0" fontId="9" fillId="0" borderId="0" xfId="2" applyFont="1" applyAlignment="1">
      <alignment horizontal="left"/>
    </xf>
    <xf numFmtId="164" fontId="9" fillId="0" borderId="0" xfId="2" applyNumberFormat="1" applyFont="1" applyAlignment="1">
      <alignment horizontal="left"/>
    </xf>
    <xf numFmtId="164" fontId="9" fillId="0" borderId="0" xfId="2" applyNumberFormat="1" applyFont="1" applyAlignment="1">
      <alignment horizontal="center"/>
    </xf>
    <xf numFmtId="0" fontId="13" fillId="0" borderId="0" xfId="2" applyFont="1"/>
    <xf numFmtId="164" fontId="13" fillId="0" borderId="0" xfId="2" applyNumberFormat="1" applyFont="1" applyAlignment="1">
      <alignment horizontal="left"/>
    </xf>
    <xf numFmtId="164" fontId="13" fillId="0" borderId="0" xfId="2" applyNumberFormat="1" applyFont="1"/>
    <xf numFmtId="0" fontId="11" fillId="7" borderId="42" xfId="2" applyFont="1" applyFill="1" applyBorder="1"/>
    <xf numFmtId="0" fontId="13" fillId="8" borderId="41" xfId="2" applyFont="1" applyFill="1" applyBorder="1" applyAlignment="1">
      <alignment wrapText="1"/>
    </xf>
    <xf numFmtId="0" fontId="9" fillId="0" borderId="41" xfId="2" applyFont="1" applyBorder="1"/>
    <xf numFmtId="0" fontId="13" fillId="8" borderId="41" xfId="2" applyFont="1" applyFill="1" applyBorder="1"/>
    <xf numFmtId="0" fontId="13" fillId="0" borderId="38" xfId="2" applyFont="1" applyBorder="1"/>
    <xf numFmtId="2" fontId="9" fillId="9" borderId="41" xfId="2" applyNumberFormat="1" applyFont="1" applyFill="1" applyBorder="1"/>
    <xf numFmtId="2" fontId="9" fillId="0" borderId="41" xfId="2" applyNumberFormat="1" applyFont="1" applyBorder="1"/>
    <xf numFmtId="2" fontId="9" fillId="8" borderId="41" xfId="2" applyNumberFormat="1" applyFont="1" applyFill="1" applyBorder="1"/>
    <xf numFmtId="0" fontId="9" fillId="9" borderId="41" xfId="2" applyFont="1" applyFill="1" applyBorder="1"/>
    <xf numFmtId="10" fontId="9" fillId="0" borderId="38" xfId="2" applyNumberFormat="1" applyFont="1" applyBorder="1"/>
    <xf numFmtId="0" fontId="9" fillId="8" borderId="41" xfId="2" applyFont="1" applyFill="1" applyBorder="1"/>
    <xf numFmtId="0" fontId="9" fillId="0" borderId="38" xfId="2" applyFont="1" applyBorder="1"/>
    <xf numFmtId="2" fontId="11" fillId="7" borderId="42" xfId="2" applyNumberFormat="1" applyFont="1" applyFill="1" applyBorder="1" applyAlignment="1">
      <alignment horizontal="center"/>
    </xf>
    <xf numFmtId="164" fontId="13" fillId="13" borderId="42" xfId="2" applyNumberFormat="1" applyFont="1" applyFill="1" applyBorder="1" applyAlignment="1">
      <alignment horizontal="center"/>
    </xf>
    <xf numFmtId="164" fontId="13" fillId="13" borderId="41" xfId="2" applyNumberFormat="1" applyFont="1" applyFill="1" applyBorder="1" applyAlignment="1">
      <alignment horizontal="center"/>
    </xf>
    <xf numFmtId="164" fontId="23" fillId="14" borderId="41" xfId="2" applyNumberFormat="1" applyFont="1" applyFill="1" applyBorder="1" applyAlignment="1">
      <alignment horizontal="left"/>
    </xf>
    <xf numFmtId="164" fontId="9" fillId="13" borderId="41" xfId="2" applyNumberFormat="1" applyFont="1" applyFill="1" applyBorder="1" applyAlignment="1">
      <alignment horizontal="left"/>
    </xf>
    <xf numFmtId="164" fontId="13" fillId="13" borderId="41" xfId="2" applyNumberFormat="1" applyFont="1" applyFill="1" applyBorder="1" applyAlignment="1">
      <alignment horizontal="left"/>
    </xf>
    <xf numFmtId="164" fontId="9" fillId="13" borderId="38" xfId="2" applyNumberFormat="1" applyFont="1" applyFill="1" applyBorder="1" applyAlignment="1">
      <alignment horizontal="left"/>
    </xf>
    <xf numFmtId="0" fontId="23" fillId="12" borderId="42" xfId="2" applyFont="1" applyFill="1" applyBorder="1" applyAlignment="1">
      <alignment horizontal="left"/>
    </xf>
    <xf numFmtId="0" fontId="13" fillId="0" borderId="41" xfId="2" applyFont="1" applyBorder="1" applyAlignment="1">
      <alignment horizontal="left"/>
    </xf>
    <xf numFmtId="0" fontId="9" fillId="0" borderId="41" xfId="2" applyFont="1" applyBorder="1" applyAlignment="1">
      <alignment horizontal="left"/>
    </xf>
    <xf numFmtId="164" fontId="9" fillId="0" borderId="41" xfId="2" applyNumberFormat="1" applyFont="1" applyBorder="1" applyAlignment="1">
      <alignment horizontal="left"/>
    </xf>
    <xf numFmtId="0" fontId="23" fillId="12" borderId="41" xfId="2" applyFont="1" applyFill="1" applyBorder="1" applyAlignment="1">
      <alignment horizontal="left"/>
    </xf>
    <xf numFmtId="164" fontId="13" fillId="0" borderId="41" xfId="2" applyNumberFormat="1" applyFont="1" applyBorder="1" applyAlignment="1">
      <alignment horizontal="left"/>
    </xf>
    <xf numFmtId="0" fontId="13" fillId="0" borderId="38" xfId="2" applyFont="1" applyBorder="1" applyAlignment="1">
      <alignment horizontal="left"/>
    </xf>
    <xf numFmtId="164" fontId="13" fillId="10" borderId="42" xfId="2" applyNumberFormat="1" applyFont="1" applyFill="1" applyBorder="1" applyAlignment="1">
      <alignment horizontal="center"/>
    </xf>
    <xf numFmtId="164" fontId="13" fillId="10" borderId="41" xfId="2" applyNumberFormat="1" applyFont="1" applyFill="1" applyBorder="1" applyAlignment="1">
      <alignment horizontal="center"/>
    </xf>
    <xf numFmtId="164" fontId="9" fillId="12" borderId="41" xfId="2" applyNumberFormat="1" applyFont="1" applyFill="1" applyBorder="1" applyAlignment="1">
      <alignment horizontal="left"/>
    </xf>
    <xf numFmtId="164" fontId="9" fillId="10" borderId="41" xfId="2" applyNumberFormat="1" applyFont="1" applyFill="1" applyBorder="1" applyAlignment="1">
      <alignment horizontal="left"/>
    </xf>
    <xf numFmtId="164" fontId="13" fillId="10" borderId="41" xfId="2" applyNumberFormat="1" applyFont="1" applyFill="1" applyBorder="1" applyAlignment="1">
      <alignment horizontal="left"/>
    </xf>
    <xf numFmtId="164" fontId="23" fillId="12" borderId="41" xfId="2" applyNumberFormat="1" applyFont="1" applyFill="1" applyBorder="1" applyAlignment="1">
      <alignment horizontal="left"/>
    </xf>
    <xf numFmtId="164" fontId="13" fillId="10" borderId="38" xfId="2" applyNumberFormat="1" applyFont="1" applyFill="1" applyBorder="1" applyAlignment="1">
      <alignment horizontal="left"/>
    </xf>
    <xf numFmtId="164" fontId="13" fillId="11" borderId="42" xfId="2" applyNumberFormat="1" applyFont="1" applyFill="1" applyBorder="1" applyAlignment="1">
      <alignment horizontal="center"/>
    </xf>
    <xf numFmtId="164" fontId="13" fillId="11" borderId="41" xfId="2" applyNumberFormat="1" applyFont="1" applyFill="1" applyBorder="1" applyAlignment="1">
      <alignment horizontal="center"/>
    </xf>
    <xf numFmtId="164" fontId="9" fillId="11" borderId="41" xfId="2" applyNumberFormat="1" applyFont="1" applyFill="1" applyBorder="1" applyAlignment="1">
      <alignment horizontal="left"/>
    </xf>
    <xf numFmtId="164" fontId="13" fillId="11" borderId="41" xfId="2" applyNumberFormat="1" applyFont="1" applyFill="1" applyBorder="1" applyAlignment="1">
      <alignment horizontal="left"/>
    </xf>
    <xf numFmtId="164" fontId="13" fillId="11" borderId="38" xfId="2" applyNumberFormat="1" applyFont="1" applyFill="1" applyBorder="1" applyAlignment="1">
      <alignment horizontal="left"/>
    </xf>
    <xf numFmtId="164" fontId="9" fillId="11" borderId="38" xfId="2" applyNumberFormat="1" applyFont="1" applyFill="1" applyBorder="1" applyAlignment="1">
      <alignment horizontal="left"/>
    </xf>
    <xf numFmtId="0" fontId="23" fillId="12" borderId="43" xfId="2" applyFont="1" applyFill="1" applyBorder="1" applyAlignment="1">
      <alignment horizontal="left"/>
    </xf>
    <xf numFmtId="0" fontId="13" fillId="0" borderId="44" xfId="2" applyFont="1" applyBorder="1" applyAlignment="1">
      <alignment horizontal="left"/>
    </xf>
    <xf numFmtId="0" fontId="9" fillId="0" borderId="44" xfId="2" applyFont="1" applyBorder="1" applyAlignment="1">
      <alignment horizontal="left"/>
    </xf>
    <xf numFmtId="0" fontId="23" fillId="12" borderId="44" xfId="2" applyFont="1" applyFill="1" applyBorder="1" applyAlignment="1">
      <alignment horizontal="left"/>
    </xf>
    <xf numFmtId="0" fontId="13" fillId="0" borderId="45" xfId="2" applyFont="1" applyBorder="1" applyAlignment="1">
      <alignment horizontal="left"/>
    </xf>
    <xf numFmtId="0" fontId="13" fillId="0" borderId="42" xfId="2" applyFont="1" applyBorder="1" applyAlignment="1">
      <alignment horizontal="left"/>
    </xf>
    <xf numFmtId="0" fontId="9" fillId="0" borderId="38" xfId="2" applyFont="1" applyBorder="1" applyAlignment="1">
      <alignment horizontal="left"/>
    </xf>
    <xf numFmtId="0" fontId="9" fillId="13" borderId="41" xfId="2" applyFont="1" applyFill="1" applyBorder="1" applyAlignment="1">
      <alignment horizontal="right"/>
    </xf>
    <xf numFmtId="0" fontId="9" fillId="11" borderId="41" xfId="2" applyFont="1" applyFill="1" applyBorder="1" applyAlignment="1">
      <alignment horizontal="right"/>
    </xf>
    <xf numFmtId="0" fontId="11" fillId="14" borderId="42" xfId="2" applyFont="1" applyFill="1" applyBorder="1"/>
    <xf numFmtId="0" fontId="13" fillId="0" borderId="41" xfId="2" applyFont="1" applyBorder="1"/>
    <xf numFmtId="0" fontId="11" fillId="14" borderId="42" xfId="2" applyFont="1" applyFill="1" applyBorder="1" applyAlignment="1">
      <alignment horizontal="center"/>
    </xf>
    <xf numFmtId="2" fontId="11" fillId="14" borderId="42" xfId="2" applyNumberFormat="1" applyFont="1" applyFill="1" applyBorder="1" applyAlignment="1">
      <alignment horizontal="center"/>
    </xf>
    <xf numFmtId="2" fontId="9" fillId="0" borderId="38" xfId="2" applyNumberFormat="1" applyFont="1" applyBorder="1"/>
    <xf numFmtId="0" fontId="15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7" fillId="0" borderId="0" xfId="2" applyAlignment="1">
      <alignment horizontal="center"/>
    </xf>
    <xf numFmtId="17" fontId="14" fillId="0" borderId="0" xfId="2" applyNumberFormat="1" applyFont="1" applyAlignment="1">
      <alignment horizontal="center"/>
    </xf>
    <xf numFmtId="17" fontId="14" fillId="0" borderId="0" xfId="2" applyNumberFormat="1" applyFont="1" applyAlignment="1">
      <alignment horizontal="right"/>
    </xf>
    <xf numFmtId="0" fontId="14" fillId="0" borderId="0" xfId="2" applyFont="1" applyAlignment="1">
      <alignment horizontal="right"/>
    </xf>
    <xf numFmtId="0" fontId="21" fillId="0" borderId="0" xfId="2" applyFont="1" applyAlignment="1">
      <alignment vertical="center"/>
    </xf>
    <xf numFmtId="0" fontId="20" fillId="0" borderId="49" xfId="2" applyFont="1" applyBorder="1"/>
    <xf numFmtId="0" fontId="20" fillId="0" borderId="50" xfId="2" applyFont="1" applyBorder="1"/>
    <xf numFmtId="0" fontId="14" fillId="15" borderId="58" xfId="2" applyFont="1" applyFill="1" applyBorder="1"/>
    <xf numFmtId="0" fontId="14" fillId="0" borderId="59" xfId="2" applyFont="1" applyBorder="1" applyAlignment="1">
      <alignment horizontal="center"/>
    </xf>
    <xf numFmtId="0" fontId="14" fillId="0" borderId="58" xfId="2" applyFont="1" applyBorder="1"/>
    <xf numFmtId="0" fontId="14" fillId="0" borderId="59" xfId="2" applyFont="1" applyBorder="1"/>
    <xf numFmtId="0" fontId="14" fillId="0" borderId="0" xfId="2" applyFont="1" applyAlignment="1">
      <alignment horizontal="left"/>
    </xf>
    <xf numFmtId="0" fontId="14" fillId="15" borderId="58" xfId="2" applyFont="1" applyFill="1" applyBorder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2" applyFont="1" applyAlignment="1">
      <alignment horizontal="left"/>
    </xf>
    <xf numFmtId="0" fontId="14" fillId="0" borderId="55" xfId="2" applyFont="1" applyBorder="1"/>
    <xf numFmtId="0" fontId="17" fillId="0" borderId="56" xfId="2" applyBorder="1"/>
    <xf numFmtId="0" fontId="17" fillId="0" borderId="57" xfId="2" applyBorder="1"/>
    <xf numFmtId="0" fontId="17" fillId="15" borderId="49" xfId="2" applyFill="1" applyBorder="1"/>
    <xf numFmtId="0" fontId="17" fillId="0" borderId="50" xfId="2" applyBorder="1"/>
    <xf numFmtId="0" fontId="17" fillId="0" borderId="51" xfId="2" applyBorder="1"/>
    <xf numFmtId="0" fontId="17" fillId="0" borderId="58" xfId="2" applyBorder="1"/>
    <xf numFmtId="0" fontId="17" fillId="0" borderId="59" xfId="2" applyBorder="1"/>
    <xf numFmtId="0" fontId="17" fillId="0" borderId="55" xfId="2" applyBorder="1"/>
    <xf numFmtId="0" fontId="17" fillId="0" borderId="0" xfId="2" applyAlignment="1">
      <alignment horizontal="right"/>
    </xf>
    <xf numFmtId="0" fontId="17" fillId="0" borderId="0" xfId="2" applyAlignment="1">
      <alignment horizontal="center" vertical="center"/>
    </xf>
    <xf numFmtId="17" fontId="14" fillId="0" borderId="0" xfId="2" applyNumberFormat="1" applyFont="1"/>
    <xf numFmtId="0" fontId="25" fillId="0" borderId="0" xfId="2" applyFont="1" applyAlignment="1">
      <alignment horizontal="center" vertical="center" wrapText="1"/>
    </xf>
    <xf numFmtId="0" fontId="24" fillId="0" borderId="0" xfId="2" applyFont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16" fillId="16" borderId="0" xfId="2" applyFont="1" applyFill="1" applyAlignment="1">
      <alignment horizontal="center"/>
    </xf>
    <xf numFmtId="0" fontId="16" fillId="16" borderId="0" xfId="2" applyFont="1" applyFill="1"/>
    <xf numFmtId="0" fontId="16" fillId="16" borderId="40" xfId="2" applyFont="1" applyFill="1" applyBorder="1"/>
    <xf numFmtId="17" fontId="16" fillId="16" borderId="40" xfId="2" applyNumberFormat="1" applyFont="1" applyFill="1" applyBorder="1"/>
    <xf numFmtId="0" fontId="26" fillId="16" borderId="40" xfId="2" applyFont="1" applyFill="1" applyBorder="1" applyAlignment="1">
      <alignment horizontal="left"/>
    </xf>
    <xf numFmtId="17" fontId="26" fillId="16" borderId="40" xfId="2" applyNumberFormat="1" applyFont="1" applyFill="1" applyBorder="1" applyAlignment="1">
      <alignment horizontal="right"/>
    </xf>
    <xf numFmtId="0" fontId="16" fillId="0" borderId="41" xfId="2" applyFont="1" applyBorder="1"/>
    <xf numFmtId="0" fontId="17" fillId="0" borderId="41" xfId="2" applyBorder="1"/>
    <xf numFmtId="0" fontId="17" fillId="0" borderId="41" xfId="2" applyBorder="1" applyAlignment="1">
      <alignment horizontal="center"/>
    </xf>
    <xf numFmtId="0" fontId="17" fillId="0" borderId="41" xfId="2" applyBorder="1" applyAlignment="1">
      <alignment horizontal="left"/>
    </xf>
    <xf numFmtId="0" fontId="16" fillId="0" borderId="41" xfId="2" applyFont="1" applyBorder="1" applyAlignment="1">
      <alignment horizontal="right"/>
    </xf>
    <xf numFmtId="0" fontId="16" fillId="0" borderId="41" xfId="2" applyFont="1" applyBorder="1" applyAlignment="1">
      <alignment horizontal="left"/>
    </xf>
    <xf numFmtId="0" fontId="16" fillId="0" borderId="38" xfId="2" applyFont="1" applyBorder="1" applyAlignment="1">
      <alignment horizontal="right"/>
    </xf>
    <xf numFmtId="0" fontId="17" fillId="0" borderId="41" xfId="2" applyBorder="1" applyAlignment="1">
      <alignment horizontal="right"/>
    </xf>
    <xf numFmtId="0" fontId="17" fillId="0" borderId="38" xfId="2" applyBorder="1"/>
    <xf numFmtId="2" fontId="17" fillId="0" borderId="41" xfId="2" applyNumberFormat="1" applyBorder="1"/>
    <xf numFmtId="0" fontId="17" fillId="0" borderId="38" xfId="2" applyBorder="1" applyAlignment="1">
      <alignment horizontal="right"/>
    </xf>
    <xf numFmtId="0" fontId="16" fillId="0" borderId="42" xfId="2" applyFont="1" applyBorder="1"/>
    <xf numFmtId="0" fontId="17" fillId="0" borderId="42" xfId="2" applyBorder="1"/>
    <xf numFmtId="0" fontId="17" fillId="0" borderId="35" xfId="2" applyBorder="1" applyAlignment="1">
      <alignment horizontal="right"/>
    </xf>
    <xf numFmtId="0" fontId="17" fillId="0" borderId="37" xfId="2" applyBorder="1" applyAlignment="1">
      <alignment horizontal="right"/>
    </xf>
    <xf numFmtId="0" fontId="16" fillId="0" borderId="37" xfId="2" applyFont="1" applyBorder="1" applyAlignment="1">
      <alignment horizontal="right"/>
    </xf>
    <xf numFmtId="0" fontId="16" fillId="0" borderId="39" xfId="2" applyFont="1" applyBorder="1" applyAlignment="1">
      <alignment horizontal="right"/>
    </xf>
    <xf numFmtId="0" fontId="26" fillId="16" borderId="40" xfId="2" applyFont="1" applyFill="1" applyBorder="1" applyAlignment="1">
      <alignment horizontal="center"/>
    </xf>
    <xf numFmtId="43" fontId="17" fillId="0" borderId="41" xfId="1" applyFont="1" applyBorder="1" applyAlignment="1">
      <alignment horizontal="right"/>
    </xf>
    <xf numFmtId="0" fontId="17" fillId="0" borderId="38" xfId="2" applyBorder="1" applyAlignment="1">
      <alignment horizontal="left"/>
    </xf>
    <xf numFmtId="43" fontId="17" fillId="0" borderId="38" xfId="1" applyFont="1" applyBorder="1" applyAlignment="1">
      <alignment horizontal="right"/>
    </xf>
    <xf numFmtId="2" fontId="17" fillId="0" borderId="59" xfId="2" applyNumberFormat="1" applyBorder="1"/>
    <xf numFmtId="2" fontId="17" fillId="0" borderId="56" xfId="2" applyNumberFormat="1" applyBorder="1"/>
    <xf numFmtId="2" fontId="17" fillId="0" borderId="57" xfId="2" applyNumberFormat="1" applyBorder="1"/>
    <xf numFmtId="0" fontId="17" fillId="16" borderId="0" xfId="2" applyFill="1"/>
    <xf numFmtId="0" fontId="16" fillId="16" borderId="59" xfId="2" applyFont="1" applyFill="1" applyBorder="1" applyAlignment="1">
      <alignment horizontal="center"/>
    </xf>
    <xf numFmtId="0" fontId="12" fillId="16" borderId="49" xfId="2" applyFont="1" applyFill="1" applyBorder="1"/>
    <xf numFmtId="0" fontId="12" fillId="16" borderId="50" xfId="2" applyFont="1" applyFill="1" applyBorder="1"/>
    <xf numFmtId="0" fontId="16" fillId="16" borderId="58" xfId="2" applyFont="1" applyFill="1" applyBorder="1"/>
    <xf numFmtId="0" fontId="16" fillId="16" borderId="58" xfId="2" applyFont="1" applyFill="1" applyBorder="1" applyAlignment="1">
      <alignment horizontal="left"/>
    </xf>
    <xf numFmtId="0" fontId="16" fillId="16" borderId="59" xfId="2" applyFont="1" applyFill="1" applyBorder="1"/>
    <xf numFmtId="0" fontId="4" fillId="0" borderId="0" xfId="2" applyFont="1" applyAlignment="1">
      <alignment horizontal="center" vertical="center"/>
    </xf>
    <xf numFmtId="0" fontId="26" fillId="16" borderId="58" xfId="2" applyFont="1" applyFill="1" applyBorder="1"/>
    <xf numFmtId="0" fontId="26" fillId="16" borderId="0" xfId="2" applyFont="1" applyFill="1"/>
    <xf numFmtId="0" fontId="26" fillId="16" borderId="59" xfId="2" applyFont="1" applyFill="1" applyBorder="1"/>
    <xf numFmtId="0" fontId="26" fillId="16" borderId="49" xfId="2" applyFont="1" applyFill="1" applyBorder="1"/>
    <xf numFmtId="0" fontId="26" fillId="16" borderId="50" xfId="2" applyFont="1" applyFill="1" applyBorder="1"/>
    <xf numFmtId="0" fontId="26" fillId="16" borderId="51" xfId="2" applyFont="1" applyFill="1" applyBorder="1"/>
    <xf numFmtId="0" fontId="17" fillId="17" borderId="67" xfId="2" applyFill="1" applyBorder="1"/>
    <xf numFmtId="0" fontId="17" fillId="18" borderId="67" xfId="2" applyFill="1" applyBorder="1"/>
    <xf numFmtId="0" fontId="16" fillId="18" borderId="67" xfId="2" applyFont="1" applyFill="1" applyBorder="1"/>
    <xf numFmtId="0" fontId="17" fillId="19" borderId="67" xfId="2" applyFill="1" applyBorder="1"/>
    <xf numFmtId="0" fontId="27" fillId="19" borderId="67" xfId="2" applyFont="1" applyFill="1" applyBorder="1"/>
    <xf numFmtId="0" fontId="17" fillId="0" borderId="67" xfId="2" applyBorder="1"/>
    <xf numFmtId="164" fontId="17" fillId="0" borderId="67" xfId="3" applyFont="1" applyBorder="1"/>
    <xf numFmtId="0" fontId="17" fillId="0" borderId="67" xfId="2" applyBorder="1" applyAlignment="1">
      <alignment horizontal="left" indent="3"/>
    </xf>
    <xf numFmtId="0" fontId="17" fillId="0" borderId="68" xfId="2" applyBorder="1"/>
    <xf numFmtId="164" fontId="17" fillId="0" borderId="68" xfId="3" applyFont="1" applyBorder="1"/>
    <xf numFmtId="0" fontId="17" fillId="0" borderId="69" xfId="2" applyBorder="1"/>
    <xf numFmtId="0" fontId="27" fillId="0" borderId="70" xfId="2" applyFont="1" applyBorder="1"/>
    <xf numFmtId="164" fontId="27" fillId="0" borderId="70" xfId="3" applyFont="1" applyBorder="1"/>
    <xf numFmtId="164" fontId="27" fillId="0" borderId="71" xfId="3" applyFont="1" applyBorder="1"/>
    <xf numFmtId="0" fontId="17" fillId="0" borderId="72" xfId="2" applyBorder="1"/>
    <xf numFmtId="0" fontId="17" fillId="0" borderId="73" xfId="2" applyBorder="1"/>
    <xf numFmtId="164" fontId="17" fillId="0" borderId="73" xfId="3" applyFont="1" applyBorder="1"/>
    <xf numFmtId="0" fontId="16" fillId="0" borderId="70" xfId="2" applyFont="1" applyBorder="1"/>
    <xf numFmtId="164" fontId="16" fillId="0" borderId="70" xfId="3" applyFont="1" applyBorder="1"/>
    <xf numFmtId="164" fontId="16" fillId="0" borderId="71" xfId="3" applyFont="1" applyBorder="1"/>
    <xf numFmtId="164" fontId="17" fillId="0" borderId="0" xfId="2" applyNumberFormat="1"/>
    <xf numFmtId="0" fontId="17" fillId="20" borderId="67" xfId="2" applyFill="1" applyBorder="1"/>
    <xf numFmtId="0" fontId="16" fillId="20" borderId="67" xfId="2" applyFont="1" applyFill="1" applyBorder="1"/>
    <xf numFmtId="0" fontId="17" fillId="21" borderId="67" xfId="2" applyFill="1" applyBorder="1"/>
    <xf numFmtId="0" fontId="27" fillId="21" borderId="67" xfId="2" applyFont="1" applyFill="1" applyBorder="1"/>
    <xf numFmtId="164" fontId="17" fillId="0" borderId="73" xfId="2" applyNumberFormat="1" applyBorder="1"/>
    <xf numFmtId="164" fontId="17" fillId="21" borderId="67" xfId="2" applyNumberFormat="1" applyFill="1" applyBorder="1"/>
    <xf numFmtId="0" fontId="17" fillId="0" borderId="67" xfId="2" applyBorder="1" applyAlignment="1">
      <alignment vertical="center"/>
    </xf>
    <xf numFmtId="0" fontId="17" fillId="0" borderId="67" xfId="2" applyBorder="1" applyAlignment="1">
      <alignment vertical="center" wrapText="1"/>
    </xf>
    <xf numFmtId="164" fontId="17" fillId="0" borderId="67" xfId="3" applyFont="1" applyBorder="1" applyAlignment="1">
      <alignment vertical="center"/>
    </xf>
    <xf numFmtId="0" fontId="17" fillId="0" borderId="0" xfId="2" applyAlignment="1">
      <alignment vertical="center"/>
    </xf>
    <xf numFmtId="0" fontId="16" fillId="0" borderId="0" xfId="2" applyFont="1"/>
    <xf numFmtId="0" fontId="16" fillId="17" borderId="67" xfId="2" applyFont="1" applyFill="1" applyBorder="1" applyAlignment="1">
      <alignment horizontal="center" vertical="center"/>
    </xf>
    <xf numFmtId="164" fontId="17" fillId="0" borderId="67" xfId="2" applyNumberFormat="1" applyBorder="1"/>
    <xf numFmtId="167" fontId="17" fillId="0" borderId="67" xfId="4" applyNumberFormat="1" applyFont="1" applyBorder="1"/>
    <xf numFmtId="9" fontId="17" fillId="0" borderId="0" xfId="4" applyFont="1"/>
    <xf numFmtId="0" fontId="27" fillId="17" borderId="67" xfId="2" applyFont="1" applyFill="1" applyBorder="1" applyAlignment="1">
      <alignment horizontal="center" wrapText="1"/>
    </xf>
    <xf numFmtId="0" fontId="16" fillId="17" borderId="67" xfId="2" applyFont="1" applyFill="1" applyBorder="1" applyAlignment="1">
      <alignment vertical="center" wrapText="1"/>
    </xf>
    <xf numFmtId="0" fontId="16" fillId="17" borderId="67" xfId="2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14" fontId="0" fillId="0" borderId="72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30" fillId="0" borderId="0" xfId="2" applyFont="1"/>
    <xf numFmtId="0" fontId="29" fillId="0" borderId="76" xfId="2" applyFont="1" applyBorder="1"/>
    <xf numFmtId="0" fontId="28" fillId="0" borderId="76" xfId="2" applyFont="1" applyBorder="1"/>
    <xf numFmtId="169" fontId="28" fillId="0" borderId="76" xfId="2" applyNumberFormat="1" applyFont="1" applyBorder="1"/>
    <xf numFmtId="169" fontId="29" fillId="0" borderId="76" xfId="2" applyNumberFormat="1" applyFont="1" applyBorder="1"/>
    <xf numFmtId="0" fontId="29" fillId="24" borderId="76" xfId="2" applyFont="1" applyFill="1" applyBorder="1"/>
    <xf numFmtId="169" fontId="29" fillId="24" borderId="76" xfId="2" applyNumberFormat="1" applyFont="1" applyFill="1" applyBorder="1"/>
    <xf numFmtId="169" fontId="28" fillId="0" borderId="0" xfId="2" applyNumberFormat="1" applyFont="1"/>
    <xf numFmtId="0" fontId="29" fillId="25" borderId="76" xfId="2" applyFont="1" applyFill="1" applyBorder="1"/>
    <xf numFmtId="169" fontId="29" fillId="25" borderId="76" xfId="2" applyNumberFormat="1" applyFont="1" applyFill="1" applyBorder="1"/>
    <xf numFmtId="0" fontId="29" fillId="26" borderId="77" xfId="2" applyFont="1" applyFill="1" applyBorder="1"/>
    <xf numFmtId="169" fontId="29" fillId="26" borderId="77" xfId="2" applyNumberFormat="1" applyFont="1" applyFill="1" applyBorder="1"/>
    <xf numFmtId="170" fontId="31" fillId="0" borderId="76" xfId="2" applyNumberFormat="1" applyFont="1" applyBorder="1" applyAlignment="1">
      <alignment horizontal="center"/>
    </xf>
    <xf numFmtId="0" fontId="4" fillId="0" borderId="0" xfId="0" applyFont="1"/>
    <xf numFmtId="168" fontId="0" fillId="0" borderId="0" xfId="0" applyNumberFormat="1" applyAlignment="1">
      <alignment horizontal="left"/>
    </xf>
    <xf numFmtId="0" fontId="17" fillId="0" borderId="0" xfId="0" applyFont="1"/>
    <xf numFmtId="15" fontId="17" fillId="0" borderId="0" xfId="0" applyNumberFormat="1" applyFont="1"/>
    <xf numFmtId="0" fontId="16" fillId="0" borderId="0" xfId="0" applyFont="1"/>
    <xf numFmtId="2" fontId="17" fillId="0" borderId="0" xfId="0" applyNumberFormat="1" applyFont="1" applyAlignment="1">
      <alignment horizontal="left"/>
    </xf>
    <xf numFmtId="169" fontId="17" fillId="0" borderId="0" xfId="0" applyNumberFormat="1" applyFont="1" applyAlignment="1">
      <alignment horizontal="right"/>
    </xf>
    <xf numFmtId="169" fontId="16" fillId="0" borderId="0" xfId="0" applyNumberFormat="1" applyFont="1" applyAlignment="1">
      <alignment horizontal="right"/>
    </xf>
    <xf numFmtId="2" fontId="17" fillId="0" borderId="0" xfId="0" applyNumberFormat="1" applyFont="1" applyAlignment="1">
      <alignment horizontal="right"/>
    </xf>
    <xf numFmtId="10" fontId="17" fillId="0" borderId="0" xfId="4" applyNumberFormat="1" applyFont="1"/>
    <xf numFmtId="0" fontId="32" fillId="0" borderId="0" xfId="0" applyFont="1"/>
    <xf numFmtId="14" fontId="9" fillId="0" borderId="0" xfId="0" applyNumberFormat="1" applyFont="1"/>
    <xf numFmtId="0" fontId="13" fillId="0" borderId="0" xfId="0" applyFont="1"/>
    <xf numFmtId="2" fontId="9" fillId="0" borderId="0" xfId="0" applyNumberFormat="1" applyFont="1"/>
    <xf numFmtId="3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4" fontId="3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/>
    </xf>
    <xf numFmtId="0" fontId="13" fillId="6" borderId="68" xfId="0" applyFont="1" applyFill="1" applyBorder="1"/>
    <xf numFmtId="0" fontId="13" fillId="6" borderId="73" xfId="0" applyFont="1" applyFill="1" applyBorder="1"/>
    <xf numFmtId="0" fontId="13" fillId="0" borderId="72" xfId="0" applyFont="1" applyBorder="1"/>
    <xf numFmtId="0" fontId="9" fillId="0" borderId="72" xfId="0" applyFont="1" applyBorder="1"/>
    <xf numFmtId="0" fontId="9" fillId="0" borderId="72" xfId="0" applyFont="1" applyBorder="1" applyAlignment="1">
      <alignment horizontal="left" indent="2"/>
    </xf>
    <xf numFmtId="0" fontId="9" fillId="0" borderId="72" xfId="0" applyFont="1" applyBorder="1" applyAlignment="1">
      <alignment horizontal="left"/>
    </xf>
    <xf numFmtId="0" fontId="13" fillId="0" borderId="72" xfId="0" applyFont="1" applyBorder="1" applyAlignment="1">
      <alignment horizontal="left"/>
    </xf>
    <xf numFmtId="0" fontId="9" fillId="0" borderId="72" xfId="0" applyFont="1" applyBorder="1" applyAlignment="1">
      <alignment horizontal="left" wrapText="1" indent="4"/>
    </xf>
    <xf numFmtId="0" fontId="9" fillId="0" borderId="73" xfId="0" applyFont="1" applyBorder="1"/>
    <xf numFmtId="4" fontId="9" fillId="0" borderId="72" xfId="0" applyNumberFormat="1" applyFont="1" applyBorder="1"/>
    <xf numFmtId="4" fontId="13" fillId="0" borderId="72" xfId="0" applyNumberFormat="1" applyFont="1" applyBorder="1"/>
    <xf numFmtId="4" fontId="9" fillId="0" borderId="73" xfId="0" applyNumberFormat="1" applyFont="1" applyBorder="1"/>
    <xf numFmtId="4" fontId="9" fillId="0" borderId="72" xfId="0" applyNumberFormat="1" applyFont="1" applyBorder="1" applyAlignment="1">
      <alignment horizontal="right"/>
    </xf>
    <xf numFmtId="0" fontId="34" fillId="0" borderId="0" xfId="0" applyFont="1" applyAlignment="1">
      <alignment vertical="center" wrapText="1"/>
    </xf>
    <xf numFmtId="4" fontId="35" fillId="0" borderId="0" xfId="0" applyNumberFormat="1" applyFont="1" applyAlignment="1">
      <alignment horizontal="right" vertical="center" wrapText="1"/>
    </xf>
    <xf numFmtId="4" fontId="35" fillId="0" borderId="0" xfId="0" applyNumberFormat="1" applyFont="1" applyAlignment="1">
      <alignment vertical="center" wrapText="1"/>
    </xf>
    <xf numFmtId="0" fontId="35" fillId="0" borderId="0" xfId="0" applyFont="1" applyAlignment="1">
      <alignment horizontal="right" vertical="center" wrapText="1"/>
    </xf>
    <xf numFmtId="4" fontId="34" fillId="0" borderId="0" xfId="0" applyNumberFormat="1" applyFont="1" applyAlignment="1">
      <alignment horizontal="right" vertical="center" wrapText="1"/>
    </xf>
    <xf numFmtId="0" fontId="35" fillId="0" borderId="0" xfId="0" applyFont="1" applyAlignment="1">
      <alignment vertical="center" wrapText="1"/>
    </xf>
    <xf numFmtId="0" fontId="34" fillId="0" borderId="0" xfId="0" applyFont="1" applyAlignment="1">
      <alignment horizontal="right" vertical="center" wrapText="1"/>
    </xf>
    <xf numFmtId="0" fontId="35" fillId="0" borderId="0" xfId="0" applyFont="1" applyAlignment="1">
      <alignment horizontal="left" vertical="center" wrapText="1" indent="3"/>
    </xf>
    <xf numFmtId="4" fontId="33" fillId="0" borderId="0" xfId="0" applyNumberFormat="1" applyFont="1" applyAlignment="1">
      <alignment horizontal="right" vertical="center" wrapText="1"/>
    </xf>
    <xf numFmtId="0" fontId="33" fillId="0" borderId="0" xfId="0" applyFont="1" applyAlignment="1">
      <alignment horizontal="left" vertical="center" wrapText="1" indent="3"/>
    </xf>
    <xf numFmtId="0" fontId="33" fillId="0" borderId="0" xfId="0" applyFont="1" applyAlignment="1">
      <alignment horizontal="left" vertical="center" wrapText="1" indent="4"/>
    </xf>
    <xf numFmtId="0" fontId="33" fillId="0" borderId="0" xfId="0" applyFont="1" applyAlignment="1">
      <alignment horizontal="right" vertical="center" wrapText="1"/>
    </xf>
    <xf numFmtId="0" fontId="36" fillId="0" borderId="0" xfId="0" applyFont="1" applyAlignment="1">
      <alignment horizontal="left" vertical="center" wrapText="1" indent="1"/>
    </xf>
    <xf numFmtId="0" fontId="36" fillId="0" borderId="0" xfId="0" applyFont="1" applyAlignment="1">
      <alignment horizontal="right" vertical="center" wrapText="1"/>
    </xf>
    <xf numFmtId="0" fontId="34" fillId="0" borderId="0" xfId="0" applyFont="1" applyAlignment="1">
      <alignment horizontal="left" vertical="center" wrapText="1" indent="4"/>
    </xf>
    <xf numFmtId="0" fontId="33" fillId="0" borderId="0" xfId="0" applyFont="1"/>
    <xf numFmtId="0" fontId="33" fillId="0" borderId="0" xfId="0" applyFont="1" applyAlignment="1">
      <alignment vertical="top" wrapText="1"/>
    </xf>
    <xf numFmtId="0" fontId="13" fillId="6" borderId="67" xfId="0" applyFont="1" applyFill="1" applyBorder="1" applyAlignment="1">
      <alignment horizontal="center" wrapText="1"/>
    </xf>
    <xf numFmtId="0" fontId="9" fillId="0" borderId="72" xfId="0" applyFont="1" applyBorder="1" applyAlignment="1">
      <alignment horizontal="center"/>
    </xf>
    <xf numFmtId="0" fontId="13" fillId="6" borderId="67" xfId="0" applyFont="1" applyFill="1" applyBorder="1" applyAlignment="1">
      <alignment vertical="top"/>
    </xf>
    <xf numFmtId="0" fontId="37" fillId="0" borderId="72" xfId="0" applyFont="1" applyBorder="1"/>
    <xf numFmtId="0" fontId="9" fillId="0" borderId="72" xfId="0" applyFont="1" applyBorder="1" applyAlignment="1">
      <alignment horizontal="left" wrapText="1"/>
    </xf>
    <xf numFmtId="0" fontId="9" fillId="0" borderId="72" xfId="0" applyFont="1" applyBorder="1" applyAlignment="1">
      <alignment wrapText="1"/>
    </xf>
    <xf numFmtId="0" fontId="9" fillId="0" borderId="72" xfId="0" applyFont="1" applyBorder="1" applyAlignment="1">
      <alignment horizontal="left" indent="1"/>
    </xf>
    <xf numFmtId="0" fontId="9" fillId="0" borderId="73" xfId="0" applyFont="1" applyBorder="1" applyAlignment="1">
      <alignment horizontal="left" indent="1"/>
    </xf>
    <xf numFmtId="0" fontId="9" fillId="0" borderId="72" xfId="0" applyFont="1" applyBorder="1" applyAlignment="1">
      <alignment horizontal="right" vertical="center"/>
    </xf>
    <xf numFmtId="0" fontId="9" fillId="0" borderId="72" xfId="0" applyFont="1" applyBorder="1" applyAlignment="1">
      <alignment horizontal="right"/>
    </xf>
    <xf numFmtId="0" fontId="38" fillId="0" borderId="67" xfId="0" applyFont="1" applyBorder="1" applyAlignment="1">
      <alignment horizontal="center"/>
    </xf>
    <xf numFmtId="0" fontId="39" fillId="0" borderId="72" xfId="0" applyFont="1" applyBorder="1"/>
    <xf numFmtId="0" fontId="40" fillId="0" borderId="72" xfId="0" applyFont="1" applyBorder="1"/>
    <xf numFmtId="2" fontId="9" fillId="0" borderId="72" xfId="0" applyNumberFormat="1" applyFont="1" applyBorder="1"/>
    <xf numFmtId="2" fontId="39" fillId="0" borderId="72" xfId="0" applyNumberFormat="1" applyFont="1" applyBorder="1"/>
    <xf numFmtId="2" fontId="9" fillId="0" borderId="72" xfId="0" applyNumberFormat="1" applyFont="1" applyBorder="1" applyAlignment="1">
      <alignment horizontal="right"/>
    </xf>
    <xf numFmtId="2" fontId="9" fillId="0" borderId="73" xfId="0" applyNumberFormat="1" applyFont="1" applyBorder="1"/>
    <xf numFmtId="0" fontId="13" fillId="0" borderId="67" xfId="0" applyFont="1" applyBorder="1" applyAlignment="1">
      <alignment horizontal="center"/>
    </xf>
    <xf numFmtId="0" fontId="17" fillId="0" borderId="0" xfId="0" applyFont="1" applyAlignment="1">
      <alignment wrapText="1"/>
    </xf>
    <xf numFmtId="0" fontId="28" fillId="0" borderId="76" xfId="2" applyFont="1" applyBorder="1" applyAlignment="1">
      <alignment wrapText="1"/>
    </xf>
    <xf numFmtId="0" fontId="17" fillId="23" borderId="58" xfId="2" applyFill="1" applyBorder="1"/>
    <xf numFmtId="2" fontId="17" fillId="0" borderId="58" xfId="2" applyNumberFormat="1" applyBorder="1"/>
    <xf numFmtId="2" fontId="17" fillId="23" borderId="58" xfId="2" applyNumberFormat="1" applyFill="1" applyBorder="1"/>
    <xf numFmtId="2" fontId="17" fillId="23" borderId="72" xfId="2" applyNumberFormat="1" applyFill="1" applyBorder="1"/>
    <xf numFmtId="2" fontId="17" fillId="0" borderId="72" xfId="2" applyNumberFormat="1" applyBorder="1"/>
    <xf numFmtId="2" fontId="17" fillId="24" borderId="72" xfId="5" applyNumberFormat="1" applyFont="1" applyFill="1" applyBorder="1"/>
    <xf numFmtId="10" fontId="17" fillId="0" borderId="73" xfId="4" applyNumberFormat="1" applyFont="1" applyBorder="1"/>
    <xf numFmtId="2" fontId="26" fillId="22" borderId="49" xfId="2" applyNumberFormat="1" applyFont="1" applyFill="1" applyBorder="1" applyAlignment="1">
      <alignment horizontal="right"/>
    </xf>
    <xf numFmtId="2" fontId="17" fillId="24" borderId="58" xfId="5" applyNumberFormat="1" applyFont="1" applyFill="1" applyBorder="1"/>
    <xf numFmtId="10" fontId="17" fillId="0" borderId="55" xfId="4" applyNumberFormat="1" applyFont="1" applyBorder="1"/>
    <xf numFmtId="1" fontId="26" fillId="22" borderId="68" xfId="2" applyNumberFormat="1" applyFont="1" applyFill="1" applyBorder="1"/>
    <xf numFmtId="0" fontId="26" fillId="22" borderId="49" xfId="2" applyFont="1" applyFill="1" applyBorder="1"/>
    <xf numFmtId="0" fontId="16" fillId="0" borderId="58" xfId="2" applyFont="1" applyBorder="1"/>
    <xf numFmtId="0" fontId="16" fillId="23" borderId="58" xfId="2" applyFont="1" applyFill="1" applyBorder="1"/>
    <xf numFmtId="0" fontId="16" fillId="0" borderId="55" xfId="2" applyFont="1" applyBorder="1"/>
    <xf numFmtId="0" fontId="5" fillId="0" borderId="14" xfId="0" applyFont="1" applyBorder="1"/>
    <xf numFmtId="0" fontId="5" fillId="0" borderId="8" xfId="0" applyFont="1" applyBorder="1"/>
    <xf numFmtId="0" fontId="6" fillId="2" borderId="11" xfId="0" applyFont="1" applyFill="1" applyBorder="1"/>
    <xf numFmtId="0" fontId="6" fillId="2" borderId="12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3" xfId="0" applyFont="1" applyBorder="1"/>
    <xf numFmtId="0" fontId="5" fillId="0" borderId="3" xfId="0" applyFont="1" applyBorder="1"/>
    <xf numFmtId="0" fontId="6" fillId="3" borderId="16" xfId="0" applyFont="1" applyFill="1" applyBorder="1" applyAlignment="1">
      <alignment horizontal="center"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19" xfId="0" applyFont="1" applyFill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1" fillId="0" borderId="14" xfId="0" applyNumberFormat="1" applyFont="1" applyBorder="1"/>
    <xf numFmtId="2" fontId="1" fillId="0" borderId="8" xfId="0" applyNumberFormat="1" applyFont="1" applyBorder="1"/>
    <xf numFmtId="2" fontId="1" fillId="0" borderId="21" xfId="0" applyNumberFormat="1" applyFon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2" fontId="1" fillId="0" borderId="3" xfId="0" applyNumberFormat="1" applyFont="1" applyBorder="1"/>
    <xf numFmtId="0" fontId="6" fillId="3" borderId="16" xfId="0" applyFont="1" applyFill="1" applyBorder="1" applyAlignment="1">
      <alignment horizontal="center" vertical="top"/>
    </xf>
    <xf numFmtId="0" fontId="6" fillId="3" borderId="19" xfId="0" applyFont="1" applyFill="1" applyBorder="1" applyAlignment="1">
      <alignment horizontal="center" vertical="top"/>
    </xf>
    <xf numFmtId="4" fontId="7" fillId="0" borderId="21" xfId="0" applyNumberFormat="1" applyFont="1" applyBorder="1"/>
    <xf numFmtId="4" fontId="7" fillId="0" borderId="2" xfId="0" applyNumberFormat="1" applyFont="1" applyBorder="1"/>
    <xf numFmtId="4" fontId="7" fillId="0" borderId="13" xfId="0" applyNumberFormat="1" applyFont="1" applyBorder="1"/>
    <xf numFmtId="4" fontId="7" fillId="0" borderId="3" xfId="0" applyNumberFormat="1" applyFont="1" applyBorder="1"/>
    <xf numFmtId="4" fontId="7" fillId="0" borderId="14" xfId="0" applyNumberFormat="1" applyFont="1" applyBorder="1"/>
    <xf numFmtId="4" fontId="7" fillId="0" borderId="8" xfId="0" applyNumberFormat="1" applyFont="1" applyBorder="1"/>
    <xf numFmtId="0" fontId="4" fillId="3" borderId="16" xfId="0" applyFont="1" applyFill="1" applyBorder="1"/>
    <xf numFmtId="0" fontId="4" fillId="3" borderId="19" xfId="0" applyFont="1" applyFill="1" applyBorder="1"/>
    <xf numFmtId="0" fontId="7" fillId="0" borderId="21" xfId="0" applyFont="1" applyBorder="1"/>
    <xf numFmtId="0" fontId="7" fillId="0" borderId="2" xfId="0" applyFont="1" applyBorder="1"/>
    <xf numFmtId="0" fontId="5" fillId="0" borderId="2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3" borderId="24" xfId="0" applyFill="1" applyBorder="1"/>
    <xf numFmtId="0" fontId="0" fillId="3" borderId="25" xfId="0" applyFill="1" applyBorder="1"/>
    <xf numFmtId="0" fontId="6" fillId="3" borderId="29" xfId="0" applyFont="1" applyFill="1" applyBorder="1" applyAlignment="1">
      <alignment horizontal="center" wrapText="1"/>
    </xf>
    <xf numFmtId="0" fontId="6" fillId="3" borderId="28" xfId="0" applyFont="1" applyFill="1" applyBorder="1" applyAlignment="1">
      <alignment horizontal="center" wrapText="1"/>
    </xf>
    <xf numFmtId="0" fontId="6" fillId="3" borderId="31" xfId="0" applyFont="1" applyFill="1" applyBorder="1" applyAlignment="1">
      <alignment horizontal="center" wrapText="1"/>
    </xf>
    <xf numFmtId="0" fontId="6" fillId="3" borderId="32" xfId="0" applyFont="1" applyFill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6" fillId="3" borderId="19" xfId="0" applyFont="1" applyFill="1" applyBorder="1" applyAlignment="1">
      <alignment horizontal="center" vertical="top" wrapText="1"/>
    </xf>
    <xf numFmtId="0" fontId="6" fillId="3" borderId="16" xfId="0" applyFont="1" applyFill="1" applyBorder="1" applyAlignment="1">
      <alignment horizontal="center"/>
    </xf>
    <xf numFmtId="0" fontId="6" fillId="3" borderId="16" xfId="0" applyFont="1" applyFill="1" applyBorder="1" applyAlignment="1">
      <alignment vertical="top"/>
    </xf>
    <xf numFmtId="0" fontId="6" fillId="3" borderId="19" xfId="0" applyFont="1" applyFill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6" fillId="3" borderId="27" xfId="0" applyFont="1" applyFill="1" applyBorder="1" applyAlignment="1">
      <alignment vertical="top"/>
    </xf>
    <xf numFmtId="0" fontId="6" fillId="3" borderId="30" xfId="0" applyFont="1" applyFill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13" xfId="0" applyFont="1" applyBorder="1"/>
    <xf numFmtId="0" fontId="7" fillId="0" borderId="3" xfId="0" applyFont="1" applyBorder="1"/>
    <xf numFmtId="0" fontId="7" fillId="0" borderId="14" xfId="0" applyFont="1" applyBorder="1"/>
    <xf numFmtId="0" fontId="7" fillId="0" borderId="8" xfId="0" applyFont="1" applyBorder="1"/>
    <xf numFmtId="0" fontId="7" fillId="0" borderId="13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11" fillId="3" borderId="18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9" fillId="0" borderId="21" xfId="0" applyFont="1" applyBorder="1"/>
    <xf numFmtId="0" fontId="9" fillId="0" borderId="2" xfId="0" applyFont="1" applyBorder="1"/>
    <xf numFmtId="0" fontId="9" fillId="0" borderId="13" xfId="0" applyFont="1" applyBorder="1"/>
    <xf numFmtId="0" fontId="9" fillId="0" borderId="3" xfId="0" applyFont="1" applyBorder="1"/>
    <xf numFmtId="0" fontId="6" fillId="3" borderId="20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9" fillId="3" borderId="24" xfId="0" applyFont="1" applyFill="1" applyBorder="1"/>
    <xf numFmtId="0" fontId="9" fillId="3" borderId="25" xfId="0" applyFont="1" applyFill="1" applyBorder="1"/>
    <xf numFmtId="0" fontId="13" fillId="0" borderId="0" xfId="2" applyFont="1" applyAlignment="1">
      <alignment horizontal="center"/>
    </xf>
    <xf numFmtId="0" fontId="4" fillId="0" borderId="61" xfId="2" applyFont="1" applyBorder="1" applyAlignment="1">
      <alignment horizontal="center" vertical="center" wrapText="1"/>
    </xf>
    <xf numFmtId="0" fontId="4" fillId="0" borderId="62" xfId="2" applyFont="1" applyBorder="1" applyAlignment="1">
      <alignment horizontal="center" vertical="center" wrapText="1"/>
    </xf>
    <xf numFmtId="0" fontId="4" fillId="0" borderId="63" xfId="2" applyFont="1" applyBorder="1" applyAlignment="1">
      <alignment horizontal="center" vertical="center" wrapText="1"/>
    </xf>
    <xf numFmtId="0" fontId="4" fillId="0" borderId="64" xfId="2" applyFont="1" applyBorder="1" applyAlignment="1">
      <alignment horizontal="center" vertical="center" wrapText="1"/>
    </xf>
    <xf numFmtId="0" fontId="4" fillId="0" borderId="65" xfId="2" applyFont="1" applyBorder="1" applyAlignment="1">
      <alignment horizontal="center" vertical="center" wrapText="1"/>
    </xf>
    <xf numFmtId="0" fontId="4" fillId="0" borderId="66" xfId="2" applyFont="1" applyBorder="1" applyAlignment="1">
      <alignment horizontal="center" vertical="center" wrapText="1"/>
    </xf>
    <xf numFmtId="0" fontId="4" fillId="0" borderId="49" xfId="2" applyFont="1" applyBorder="1" applyAlignment="1">
      <alignment horizontal="center" vertical="center"/>
    </xf>
    <xf numFmtId="0" fontId="4" fillId="0" borderId="50" xfId="2" applyFont="1" applyBorder="1" applyAlignment="1">
      <alignment horizontal="center" vertical="center"/>
    </xf>
    <xf numFmtId="0" fontId="4" fillId="0" borderId="51" xfId="2" applyFont="1" applyBorder="1" applyAlignment="1">
      <alignment horizontal="center" vertical="center"/>
    </xf>
    <xf numFmtId="0" fontId="4" fillId="0" borderId="58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59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60" xfId="2" applyFont="1" applyBorder="1" applyAlignment="1">
      <alignment horizontal="center" vertical="center"/>
    </xf>
    <xf numFmtId="0" fontId="4" fillId="0" borderId="35" xfId="2" applyFont="1" applyBorder="1" applyAlignment="1">
      <alignment horizontal="center" vertical="center"/>
    </xf>
    <xf numFmtId="0" fontId="4" fillId="0" borderId="45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17" fillId="0" borderId="0" xfId="2" applyAlignment="1">
      <alignment horizontal="center"/>
    </xf>
    <xf numFmtId="0" fontId="4" fillId="0" borderId="55" xfId="2" applyFont="1" applyBorder="1" applyAlignment="1">
      <alignment horizontal="center" vertical="center"/>
    </xf>
    <xf numFmtId="0" fontId="4" fillId="0" borderId="56" xfId="2" applyFont="1" applyBorder="1" applyAlignment="1">
      <alignment horizontal="center" vertical="center"/>
    </xf>
    <xf numFmtId="0" fontId="4" fillId="0" borderId="57" xfId="2" applyFont="1" applyBorder="1" applyAlignment="1">
      <alignment horizontal="center" vertical="center"/>
    </xf>
    <xf numFmtId="0" fontId="12" fillId="16" borderId="50" xfId="2" applyFont="1" applyFill="1" applyBorder="1" applyAlignment="1">
      <alignment horizontal="center"/>
    </xf>
    <xf numFmtId="0" fontId="12" fillId="16" borderId="51" xfId="2" applyFont="1" applyFill="1" applyBorder="1" applyAlignment="1">
      <alignment horizontal="center"/>
    </xf>
    <xf numFmtId="0" fontId="21" fillId="0" borderId="49" xfId="2" applyFont="1" applyBorder="1" applyAlignment="1">
      <alignment horizontal="center" vertical="center"/>
    </xf>
    <xf numFmtId="0" fontId="21" fillId="0" borderId="50" xfId="2" applyFont="1" applyBorder="1" applyAlignment="1">
      <alignment horizontal="center" vertical="center"/>
    </xf>
    <xf numFmtId="0" fontId="21" fillId="0" borderId="51" xfId="2" applyFont="1" applyBorder="1" applyAlignment="1">
      <alignment horizontal="center" vertical="center"/>
    </xf>
    <xf numFmtId="0" fontId="21" fillId="0" borderId="55" xfId="2" applyFont="1" applyBorder="1" applyAlignment="1">
      <alignment horizontal="center" vertical="center"/>
    </xf>
    <xf numFmtId="0" fontId="21" fillId="0" borderId="56" xfId="2" applyFont="1" applyBorder="1" applyAlignment="1">
      <alignment horizontal="center" vertical="center"/>
    </xf>
    <xf numFmtId="0" fontId="21" fillId="0" borderId="57" xfId="2" applyFont="1" applyBorder="1" applyAlignment="1">
      <alignment horizontal="center" vertical="center"/>
    </xf>
    <xf numFmtId="0" fontId="24" fillId="0" borderId="46" xfId="2" applyFont="1" applyBorder="1" applyAlignment="1">
      <alignment horizontal="center" vertical="center" wrapText="1"/>
    </xf>
    <xf numFmtId="0" fontId="25" fillId="0" borderId="47" xfId="2" applyFont="1" applyBorder="1" applyAlignment="1">
      <alignment horizontal="center" vertical="center" wrapText="1"/>
    </xf>
    <xf numFmtId="0" fontId="25" fillId="0" borderId="48" xfId="2" applyFont="1" applyBorder="1" applyAlignment="1">
      <alignment horizontal="center" vertical="center" wrapText="1"/>
    </xf>
    <xf numFmtId="0" fontId="25" fillId="0" borderId="52" xfId="2" applyFont="1" applyBorder="1" applyAlignment="1">
      <alignment horizontal="center" vertical="center" wrapText="1"/>
    </xf>
    <xf numFmtId="0" fontId="25" fillId="0" borderId="53" xfId="2" applyFont="1" applyBorder="1" applyAlignment="1">
      <alignment horizontal="center" vertical="center" wrapText="1"/>
    </xf>
    <xf numFmtId="0" fontId="25" fillId="0" borderId="54" xfId="2" applyFont="1" applyBorder="1" applyAlignment="1">
      <alignment horizontal="center" vertical="center" wrapText="1"/>
    </xf>
    <xf numFmtId="0" fontId="17" fillId="0" borderId="49" xfId="2" applyBorder="1" applyAlignment="1">
      <alignment horizontal="center" vertical="center"/>
    </xf>
    <xf numFmtId="0" fontId="17" fillId="0" borderId="50" xfId="2" applyBorder="1" applyAlignment="1">
      <alignment horizontal="center" vertical="center"/>
    </xf>
    <xf numFmtId="0" fontId="17" fillId="0" borderId="51" xfId="2" applyBorder="1" applyAlignment="1">
      <alignment horizontal="center" vertical="center"/>
    </xf>
    <xf numFmtId="0" fontId="17" fillId="0" borderId="55" xfId="2" applyBorder="1" applyAlignment="1">
      <alignment horizontal="center" vertical="center"/>
    </xf>
    <xf numFmtId="0" fontId="17" fillId="0" borderId="56" xfId="2" applyBorder="1" applyAlignment="1">
      <alignment horizontal="center" vertical="center"/>
    </xf>
    <xf numFmtId="0" fontId="17" fillId="0" borderId="57" xfId="2" applyBorder="1" applyAlignment="1">
      <alignment horizontal="center" vertical="center"/>
    </xf>
    <xf numFmtId="0" fontId="21" fillId="0" borderId="58" xfId="2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1" fillId="0" borderId="59" xfId="2" applyFont="1" applyBorder="1" applyAlignment="1">
      <alignment horizontal="center" vertical="center"/>
    </xf>
    <xf numFmtId="0" fontId="20" fillId="0" borderId="50" xfId="2" applyFont="1" applyBorder="1" applyAlignment="1">
      <alignment horizontal="center"/>
    </xf>
    <xf numFmtId="0" fontId="20" fillId="0" borderId="51" xfId="2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4" fillId="6" borderId="0" xfId="2" applyFont="1" applyFill="1" applyAlignment="1">
      <alignment horizontal="center"/>
    </xf>
    <xf numFmtId="0" fontId="13" fillId="0" borderId="44" xfId="2" applyFont="1" applyBorder="1" applyAlignment="1">
      <alignment horizontal="left"/>
    </xf>
    <xf numFmtId="0" fontId="13" fillId="0" borderId="37" xfId="2" applyFont="1" applyBorder="1" applyAlignment="1">
      <alignment horizontal="left"/>
    </xf>
    <xf numFmtId="0" fontId="9" fillId="0" borderId="44" xfId="2" applyFont="1" applyBorder="1" applyAlignment="1">
      <alignment horizontal="left"/>
    </xf>
    <xf numFmtId="0" fontId="9" fillId="0" borderId="37" xfId="2" applyFont="1" applyBorder="1" applyAlignment="1">
      <alignment horizontal="left"/>
    </xf>
    <xf numFmtId="0" fontId="13" fillId="0" borderId="45" xfId="2" applyFont="1" applyBorder="1" applyAlignment="1">
      <alignment horizontal="left"/>
    </xf>
    <xf numFmtId="0" fontId="13" fillId="0" borderId="39" xfId="2" applyFont="1" applyBorder="1" applyAlignment="1">
      <alignment horizontal="left"/>
    </xf>
    <xf numFmtId="164" fontId="9" fillId="0" borderId="44" xfId="2" applyNumberFormat="1" applyFont="1" applyBorder="1" applyAlignment="1">
      <alignment horizontal="left"/>
    </xf>
    <xf numFmtId="164" fontId="9" fillId="0" borderId="37" xfId="2" applyNumberFormat="1" applyFont="1" applyBorder="1" applyAlignment="1">
      <alignment horizontal="left"/>
    </xf>
    <xf numFmtId="0" fontId="23" fillId="12" borderId="44" xfId="2" applyFont="1" applyFill="1" applyBorder="1" applyAlignment="1">
      <alignment horizontal="left"/>
    </xf>
    <xf numFmtId="0" fontId="23" fillId="12" borderId="37" xfId="2" applyFont="1" applyFill="1" applyBorder="1" applyAlignment="1">
      <alignment horizontal="left"/>
    </xf>
    <xf numFmtId="0" fontId="17" fillId="0" borderId="67" xfId="2" applyBorder="1" applyAlignment="1">
      <alignment horizontal="right"/>
    </xf>
    <xf numFmtId="2" fontId="0" fillId="0" borderId="5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0" fontId="4" fillId="5" borderId="74" xfId="0" applyFont="1" applyFill="1" applyBorder="1" applyAlignment="1">
      <alignment horizontal="center" vertical="center"/>
    </xf>
    <xf numFmtId="0" fontId="4" fillId="5" borderId="78" xfId="0" applyFont="1" applyFill="1" applyBorder="1" applyAlignment="1">
      <alignment horizontal="center" vertical="center"/>
    </xf>
    <xf numFmtId="0" fontId="4" fillId="5" borderId="7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6" fillId="27" borderId="0" xfId="2" applyFont="1" applyFill="1" applyAlignment="1">
      <alignment horizontal="center"/>
    </xf>
    <xf numFmtId="0" fontId="26" fillId="22" borderId="74" xfId="2" applyFont="1" applyFill="1" applyBorder="1"/>
    <xf numFmtId="0" fontId="26" fillId="22" borderId="75" xfId="2" applyFont="1" applyFill="1" applyBorder="1"/>
    <xf numFmtId="0" fontId="17" fillId="23" borderId="58" xfId="2" applyFill="1" applyBorder="1"/>
    <xf numFmtId="0" fontId="17" fillId="23" borderId="59" xfId="2" applyFill="1" applyBorder="1"/>
    <xf numFmtId="0" fontId="17" fillId="0" borderId="58" xfId="2" applyBorder="1"/>
    <xf numFmtId="0" fontId="17" fillId="0" borderId="59" xfId="2" applyBorder="1"/>
    <xf numFmtId="0" fontId="26" fillId="22" borderId="74" xfId="2" applyFont="1" applyFill="1" applyBorder="1" applyAlignment="1">
      <alignment horizontal="right"/>
    </xf>
    <xf numFmtId="0" fontId="26" fillId="22" borderId="75" xfId="2" applyFont="1" applyFill="1" applyBorder="1" applyAlignment="1">
      <alignment horizontal="right"/>
    </xf>
    <xf numFmtId="2" fontId="17" fillId="0" borderId="58" xfId="2" applyNumberFormat="1" applyBorder="1"/>
    <xf numFmtId="2" fontId="17" fillId="0" borderId="59" xfId="2" applyNumberFormat="1" applyBorder="1"/>
    <xf numFmtId="2" fontId="17" fillId="23" borderId="58" xfId="2" applyNumberFormat="1" applyFill="1" applyBorder="1"/>
    <xf numFmtId="2" fontId="17" fillId="23" borderId="59" xfId="2" applyNumberFormat="1" applyFill="1" applyBorder="1"/>
    <xf numFmtId="0" fontId="17" fillId="23" borderId="55" xfId="2" applyFill="1" applyBorder="1"/>
    <xf numFmtId="0" fontId="17" fillId="23" borderId="57" xfId="2" applyFill="1" applyBorder="1"/>
  </cellXfs>
  <cellStyles count="6">
    <cellStyle name="Comma" xfId="1" builtinId="3"/>
    <cellStyle name="Currency 2" xfId="3" xr:uid="{8A36BC97-1ABB-E640-A114-3E37D916F291}"/>
    <cellStyle name="Normal" xfId="0" builtinId="0"/>
    <cellStyle name="Normal 2" xfId="2" xr:uid="{C3467B9E-7AB0-BE4E-9D36-1003F8423E2A}"/>
    <cellStyle name="Normal 2 2" xfId="5" xr:uid="{4761131F-112E-444F-8A56-CD1DC45172D3}"/>
    <cellStyle name="Per cent 2" xfId="4" xr:uid="{D55B1A85-CFDE-224E-8A4D-863764AABC8D}"/>
  </cellStyles>
  <dxfs count="2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DAE2F2"/>
      <color rgb="FF203664"/>
      <color rgb="FF264478"/>
      <color rgb="FF5B9BD5"/>
      <color rgb="FFFFC100"/>
      <color rgb="FF3FB9D6"/>
      <color rgb="FFFDE5D7"/>
      <color rgb="FFDBE3F3"/>
      <color rgb="FFB5C6E7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externalLink" Target="externalLinks/externalLink2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styles" Target="styles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theme" Target="theme/theme1.xml" /><Relationship Id="rId30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 /><Relationship Id="rId1" Type="http://schemas.microsoft.com/office/2011/relationships/chartStyle" Target="style11.xml" 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 /><Relationship Id="rId1" Type="http://schemas.microsoft.com/office/2011/relationships/chartStyle" Target="style12.xml" 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 /><Relationship Id="rId1" Type="http://schemas.microsoft.com/office/2011/relationships/chartStyle" Target="style13.xml" 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 /><Relationship Id="rId1" Type="http://schemas.microsoft.com/office/2011/relationships/chartStyle" Target="style14.xml" 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 /><Relationship Id="rId1" Type="http://schemas.microsoft.com/office/2011/relationships/chartStyle" Target="style15.xml" 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 /><Relationship Id="rId1" Type="http://schemas.microsoft.com/office/2011/relationships/chartStyle" Target="style16.xml" 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 /><Relationship Id="rId1" Type="http://schemas.microsoft.com/office/2011/relationships/chartStyle" Target="style17.xml" 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 /><Relationship Id="rId1" Type="http://schemas.microsoft.com/office/2011/relationships/chartStyle" Target="style18.xml" 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 /><Relationship Id="rId1" Type="http://schemas.microsoft.com/office/2011/relationships/chartStyle" Target="style19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 /><Relationship Id="rId1" Type="http://schemas.microsoft.com/office/2011/relationships/chartStyle" Target="style20.xml" 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 /><Relationship Id="rId1" Type="http://schemas.microsoft.com/office/2011/relationships/chartStyle" Target="style21.xml" 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 /><Relationship Id="rId1" Type="http://schemas.microsoft.com/office/2011/relationships/chartStyle" Target="style22.xml" 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 /><Relationship Id="rId1" Type="http://schemas.microsoft.com/office/2011/relationships/chartStyle" Target="style23.xml" 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 /><Relationship Id="rId1" Type="http://schemas.microsoft.com/office/2011/relationships/chartStyle" Target="style24.xml" 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 /><Relationship Id="rId1" Type="http://schemas.microsoft.com/office/2011/relationships/chartStyle" Target="style25.xml" 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 /><Relationship Id="rId1" Type="http://schemas.microsoft.com/office/2011/relationships/chartStyle" Target="style26.xml" 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 /><Relationship Id="rId1" Type="http://schemas.microsoft.com/office/2011/relationships/chartStyle" Target="style27.xml" 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 /><Relationship Id="rId1" Type="http://schemas.microsoft.com/office/2011/relationships/chartStyle" Target="style28.xml" 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 /><Relationship Id="rId1" Type="http://schemas.microsoft.com/office/2011/relationships/chartStyle" Target="style29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 /><Relationship Id="rId1" Type="http://schemas.microsoft.com/office/2011/relationships/chartStyle" Target="style30.xml" 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 /><Relationship Id="rId1" Type="http://schemas.microsoft.com/office/2011/relationships/chartStyle" Target="style31.xml" 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 /><Relationship Id="rId1" Type="http://schemas.microsoft.com/office/2011/relationships/chartStyle" Target="style32.xml" 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 /><Relationship Id="rId1" Type="http://schemas.microsoft.com/office/2011/relationships/chartStyle" Target="style33.xml" 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 /><Relationship Id="rId1" Type="http://schemas.microsoft.com/office/2011/relationships/chartStyle" Target="style34.xml" 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 /><Relationship Id="rId1" Type="http://schemas.microsoft.com/office/2011/relationships/chartStyle" Target="style35.xml" 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 /><Relationship Id="rId1" Type="http://schemas.microsoft.com/office/2011/relationships/chartStyle" Target="style36.xml" 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 /><Relationship Id="rId1" Type="http://schemas.microsoft.com/office/2011/relationships/chartStyle" Target="style37.xml" 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 /><Relationship Id="rId1" Type="http://schemas.microsoft.com/office/2011/relationships/chartStyle" Target="style38.xml" 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 /><Relationship Id="rId1" Type="http://schemas.microsoft.com/office/2011/relationships/chartStyle" Target="style39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 /><Relationship Id="rId1" Type="http://schemas.microsoft.com/office/2011/relationships/chartStyle" Target="style40.xml" 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 /><Relationship Id="rId1" Type="http://schemas.microsoft.com/office/2011/relationships/chartStyle" Target="style41.xml" 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 /><Relationship Id="rId1" Type="http://schemas.microsoft.com/office/2011/relationships/chartStyle" Target="style42.xml" 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 /><Relationship Id="rId1" Type="http://schemas.microsoft.com/office/2011/relationships/chartStyle" Target="style43.xml" 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 /><Relationship Id="rId1" Type="http://schemas.microsoft.com/office/2011/relationships/chartStyle" Target="style44.xml" 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 /><Relationship Id="rId1" Type="http://schemas.microsoft.com/office/2011/relationships/chartStyle" Target="style45.xml" 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 /><Relationship Id="rId1" Type="http://schemas.microsoft.com/office/2011/relationships/chartStyle" Target="style46.xml" 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 /><Relationship Id="rId1" Type="http://schemas.microsoft.com/office/2011/relationships/chartStyle" Target="style47.xml" 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 /><Relationship Id="rId1" Type="http://schemas.microsoft.com/office/2011/relationships/chartStyle" Target="style48.xml" 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 /><Relationship Id="rId1" Type="http://schemas.microsoft.com/office/2011/relationships/chartStyle" Target="style49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 /><Relationship Id="rId1" Type="http://schemas.microsoft.com/office/2011/relationships/chartStyle" Target="style50.xml" 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 /><Relationship Id="rId1" Type="http://schemas.microsoft.com/office/2011/relationships/chartStyle" Target="style51.xml" 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 /><Relationship Id="rId1" Type="http://schemas.microsoft.com/office/2011/relationships/chartStyle" Target="style52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latin typeface="+mn-lt"/>
              </a:rPr>
              <a:t>Dividend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'SSML - Dividends, Stock and Mkt'!$B$34:$C$34</c:f>
              <c:strCache>
                <c:ptCount val="2"/>
                <c:pt idx="0">
                  <c:v>Dividend Declared</c:v>
                </c:pt>
              </c:strCache>
            </c:strRef>
          </c:tx>
          <c:spPr>
            <a:solidFill>
              <a:srgbClr val="A59BCE"/>
            </a:solidFill>
            <a:ln>
              <a:noFill/>
            </a:ln>
            <a:effectLst/>
          </c:spPr>
          <c:invertIfNegative val="0"/>
          <c:cat>
            <c:strRef>
              <c:f>'SSML - Dividends, Stock and Mkt'!$D$33:$F$33</c:f>
              <c:strCache>
                <c:ptCount val="3"/>
                <c:pt idx="0">
                  <c:v>2021-22</c:v>
                </c:pt>
                <c:pt idx="1">
                  <c:v>2020-21</c:v>
                </c:pt>
                <c:pt idx="2">
                  <c:v>2019-20</c:v>
                </c:pt>
              </c:strCache>
            </c:strRef>
          </c:cat>
          <c:val>
            <c:numRef>
              <c:f>'SSML - Dividends, Stock and Mkt'!$D$34:$F$34</c:f>
              <c:numCache>
                <c:formatCode>0.00</c:formatCode>
                <c:ptCount val="3"/>
                <c:pt idx="0">
                  <c:v>9.1999999999999993</c:v>
                </c:pt>
                <c:pt idx="1">
                  <c:v>4.5999999999999996</c:v>
                </c:pt>
                <c:pt idx="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A-C240-9BCD-52EAF7D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326048"/>
        <c:axId val="998327696"/>
      </c:barChart>
      <c:lineChart>
        <c:grouping val="standard"/>
        <c:varyColors val="0"/>
        <c:ser>
          <c:idx val="1"/>
          <c:order val="1"/>
          <c:tx>
            <c:strRef>
              <c:f>'SSML - Dividends, Stock and Mkt'!$B$35:$C$35</c:f>
              <c:strCache>
                <c:ptCount val="2"/>
                <c:pt idx="0">
                  <c:v>Face Value of Share</c:v>
                </c:pt>
              </c:strCache>
            </c:strRef>
          </c:tx>
          <c:spPr>
            <a:ln w="28575" cap="rnd">
              <a:solidFill>
                <a:srgbClr val="3D3A61"/>
              </a:solidFill>
              <a:round/>
            </a:ln>
            <a:effectLst/>
          </c:spPr>
          <c:marker>
            <c:symbol val="none"/>
          </c:marker>
          <c:cat>
            <c:strRef>
              <c:f>'SSML - Dividends, Stock and Mkt'!$D$33:$F$33</c:f>
              <c:strCache>
                <c:ptCount val="3"/>
                <c:pt idx="0">
                  <c:v>2021-22</c:v>
                </c:pt>
                <c:pt idx="1">
                  <c:v>2020-21</c:v>
                </c:pt>
                <c:pt idx="2">
                  <c:v>2019-20</c:v>
                </c:pt>
              </c:strCache>
            </c:strRef>
          </c:cat>
          <c:val>
            <c:numRef>
              <c:f>'SSML - Dividends, Stock and Mkt'!$D$35:$F$35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A-C240-9BCD-52EAF7D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26048"/>
        <c:axId val="998327696"/>
      </c:lineChart>
      <c:catAx>
        <c:axId val="9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27696"/>
        <c:crosses val="autoZero"/>
        <c:auto val="1"/>
        <c:lblAlgn val="ctr"/>
        <c:lblOffset val="100"/>
        <c:noMultiLvlLbl val="0"/>
      </c:catAx>
      <c:valAx>
        <c:axId val="9983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rgbClr val="3D3A6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baseline="0">
                <a:effectLst/>
              </a:rPr>
              <a:t>Company and Industry Percentage Ratio Comparisons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'SSML - Ratio Graphs'!$F$33:$F$34</c:f>
              <c:strCache>
                <c:ptCount val="2"/>
                <c:pt idx="0">
                  <c:v>FY 2021-22</c:v>
                </c:pt>
                <c:pt idx="1">
                  <c:v>SSML</c:v>
                </c:pt>
              </c:strCache>
            </c:strRef>
          </c:tx>
          <c:spPr>
            <a:solidFill>
              <a:srgbClr val="CC2A7B"/>
            </a:solidFill>
            <a:ln>
              <a:noFill/>
            </a:ln>
            <a:effectLst/>
          </c:spPr>
          <c:invertIfNegative val="0"/>
          <c:cat>
            <c:strRef>
              <c:f>'SSML - Ratio Graphs'!$D$35:$D$37</c:f>
              <c:strCache>
                <c:ptCount val="3"/>
                <c:pt idx="0">
                  <c:v>Net Profit Ratio/Margin</c:v>
                </c:pt>
                <c:pt idx="1">
                  <c:v>Return on Equity</c:v>
                </c:pt>
                <c:pt idx="2">
                  <c:v>Earnings Yield Ratio</c:v>
                </c:pt>
              </c:strCache>
            </c:strRef>
          </c:cat>
          <c:val>
            <c:numRef>
              <c:f>'SSML - Ratio Graphs'!$F$35:$F$37</c:f>
              <c:numCache>
                <c:formatCode>0.00%</c:formatCode>
                <c:ptCount val="3"/>
                <c:pt idx="0">
                  <c:v>0.10970000000000001</c:v>
                </c:pt>
                <c:pt idx="1">
                  <c:v>0.22670000000000001</c:v>
                </c:pt>
                <c:pt idx="2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5-FE49-B769-75B80314A6C9}"/>
            </c:ext>
          </c:extLst>
        </c:ser>
        <c:ser>
          <c:idx val="1"/>
          <c:order val="1"/>
          <c:tx>
            <c:strRef>
              <c:f>'SSML - Ratio Graphs'!$G$33:$G$34</c:f>
              <c:strCache>
                <c:ptCount val="2"/>
                <c:pt idx="0">
                  <c:v>FY 2021-22</c:v>
                </c:pt>
                <c:pt idx="1">
                  <c:v>Industry Avg.</c:v>
                </c:pt>
              </c:strCache>
            </c:strRef>
          </c:tx>
          <c:spPr>
            <a:solidFill>
              <a:srgbClr val="BBB5D5"/>
            </a:solidFill>
            <a:ln>
              <a:noFill/>
            </a:ln>
            <a:effectLst/>
          </c:spPr>
          <c:invertIfNegative val="0"/>
          <c:cat>
            <c:strRef>
              <c:f>'SSML - Ratio Graphs'!$D$35:$D$37</c:f>
              <c:strCache>
                <c:ptCount val="3"/>
                <c:pt idx="0">
                  <c:v>Net Profit Ratio/Margin</c:v>
                </c:pt>
                <c:pt idx="1">
                  <c:v>Return on Equity</c:v>
                </c:pt>
                <c:pt idx="2">
                  <c:v>Earnings Yield Ratio</c:v>
                </c:pt>
              </c:strCache>
            </c:strRef>
          </c:cat>
          <c:val>
            <c:numRef>
              <c:f>'SSML - Ratio Graphs'!$G$35:$G$37</c:f>
              <c:numCache>
                <c:formatCode>0.00%</c:formatCode>
                <c:ptCount val="3"/>
                <c:pt idx="0">
                  <c:v>3.8999999999999998E-3</c:v>
                </c:pt>
                <c:pt idx="1">
                  <c:v>-6.8999999999999999E-3</c:v>
                </c:pt>
                <c:pt idx="2">
                  <c:v>1.18E-2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5-FE49-B769-75B80314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930992"/>
        <c:axId val="353932640"/>
      </c:barChart>
      <c:catAx>
        <c:axId val="3539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32640"/>
        <c:crosses val="autoZero"/>
        <c:auto val="1"/>
        <c:lblAlgn val="ctr"/>
        <c:lblOffset val="100"/>
        <c:noMultiLvlLbl val="0"/>
      </c:catAx>
      <c:valAx>
        <c:axId val="3539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rgbClr val="3D3A6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'SSML - Ratio Graphs'!$D$56:$E$56</c:f>
              <c:strCache>
                <c:ptCount val="2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440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0C-FE4C-A003-854188889F19}"/>
              </c:ext>
            </c:extLst>
          </c:dPt>
          <c:dPt>
            <c:idx val="1"/>
            <c:invertIfNegative val="0"/>
            <c:bubble3D val="0"/>
            <c:spPr>
              <a:solidFill>
                <a:srgbClr val="99A3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0C-FE4C-A003-854188889F19}"/>
              </c:ext>
            </c:extLst>
          </c:dPt>
          <c:cat>
            <c:strRef>
              <c:f>'SSML - Ratio Graphs'!$F$55:$G$55</c:f>
              <c:strCache>
                <c:ptCount val="2"/>
                <c:pt idx="0">
                  <c:v>SSML</c:v>
                </c:pt>
                <c:pt idx="1">
                  <c:v>Industry Avg.</c:v>
                </c:pt>
              </c:strCache>
            </c:strRef>
          </c:cat>
          <c:val>
            <c:numRef>
              <c:f>'SSML - Ratio Graphs'!$F$56:$G$56</c:f>
              <c:numCache>
                <c:formatCode>0.00</c:formatCode>
                <c:ptCount val="2"/>
                <c:pt idx="0">
                  <c:v>45.34</c:v>
                </c:pt>
                <c:pt idx="1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C-FE4C-A003-85418888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802816"/>
        <c:axId val="300804464"/>
      </c:barChart>
      <c:catAx>
        <c:axId val="3008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4464"/>
        <c:crosses val="autoZero"/>
        <c:auto val="1"/>
        <c:lblAlgn val="ctr"/>
        <c:lblOffset val="1000"/>
        <c:noMultiLvlLbl val="0"/>
      </c:catAx>
      <c:valAx>
        <c:axId val="3008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rgbClr val="3D3A6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'BDMCL - Mkt Cap'!$E$6</c:f>
              <c:strCache>
                <c:ptCount val="1"/>
                <c:pt idx="0">
                  <c:v>Market Capitalisation (in Cr)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0A-B04D-B5CD-E5E09F53CB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0A-B04D-B5CD-E5E09F53CB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0A-B04D-B5CD-E5E09F53CB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0A-B04D-B5CD-E5E09F53CB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0A-B04D-B5CD-E5E09F53CB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0A-B04D-B5CD-E5E09F53CB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0A-B04D-B5CD-E5E09F53CB30}"/>
              </c:ext>
            </c:extLst>
          </c:dPt>
          <c:dLbls>
            <c:dLbl>
              <c:idx val="0"/>
              <c:layout>
                <c:manualLayout>
                  <c:x val="1.9784767253358038E-2"/>
                  <c:y val="1.18654510291476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0A-B04D-B5CD-E5E09F53CB30}"/>
                </c:ext>
              </c:extLst>
            </c:dLbl>
            <c:dLbl>
              <c:idx val="1"/>
              <c:layout>
                <c:manualLayout>
                  <c:x val="1.4974959471977699E-2"/>
                  <c:y val="1.46390385412349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0A-B04D-B5CD-E5E09F53CB3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20A-B04D-B5CD-E5E09F53CB30}"/>
                </c:ext>
              </c:extLst>
            </c:dLbl>
            <c:dLbl>
              <c:idx val="5"/>
              <c:layout>
                <c:manualLayout>
                  <c:x val="-2.3353114867994441E-2"/>
                  <c:y val="-2.195330846802044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0A-B04D-B5CD-E5E09F53CB3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20A-B04D-B5CD-E5E09F53CB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'BDMCL - Mkt Cap'!$D$7:$D$13</c:f>
              <c:strCache>
                <c:ptCount val="7"/>
                <c:pt idx="0">
                  <c:v>Bombay Dyeing</c:v>
                </c:pt>
                <c:pt idx="1">
                  <c:v>Arvind Ltd</c:v>
                </c:pt>
                <c:pt idx="2">
                  <c:v>Welspun India</c:v>
                </c:pt>
                <c:pt idx="3">
                  <c:v>Page Industries</c:v>
                </c:pt>
                <c:pt idx="4">
                  <c:v>Trident</c:v>
                </c:pt>
                <c:pt idx="5">
                  <c:v>Banswara Syntex</c:v>
                </c:pt>
                <c:pt idx="6">
                  <c:v>Raymond</c:v>
                </c:pt>
              </c:strCache>
            </c:strRef>
          </c:cat>
          <c:val>
            <c:numRef>
              <c:f>'BDMCL - Mkt Cap'!$E$7:$E$13</c:f>
              <c:numCache>
                <c:formatCode>_(* #,##0.00_);_(* \(#,##0.00\);_(* "-"??_);_(@_)</c:formatCode>
                <c:ptCount val="7"/>
                <c:pt idx="0">
                  <c:v>2165</c:v>
                </c:pt>
                <c:pt idx="1">
                  <c:v>2842</c:v>
                </c:pt>
                <c:pt idx="2">
                  <c:v>8349</c:v>
                </c:pt>
                <c:pt idx="3">
                  <c:v>53962</c:v>
                </c:pt>
                <c:pt idx="4">
                  <c:v>20307</c:v>
                </c:pt>
                <c:pt idx="5">
                  <c:v>389</c:v>
                </c:pt>
                <c:pt idx="6">
                  <c:v>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0A-B04D-B5CD-E5E09F53CB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Current</a:t>
            </a:r>
            <a:r>
              <a:rPr lang="en-IN" sz="1100" b="1" baseline="0"/>
              <a:t> Ratio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Ratios'!$M$5:$M$8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Ratios'!$N$5:$N$8</c:f>
              <c:numCache>
                <c:formatCode>General</c:formatCode>
                <c:ptCount val="4"/>
                <c:pt idx="0">
                  <c:v>1.44</c:v>
                </c:pt>
                <c:pt idx="1">
                  <c:v>1.49</c:v>
                </c:pt>
                <c:pt idx="2">
                  <c:v>1.25</c:v>
                </c:pt>
                <c:pt idx="3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F-874A-ABC0-521C5CFEF6E0}"/>
            </c:ext>
          </c:extLst>
        </c:ser>
        <c:ser>
          <c:idx val="1"/>
          <c:order val="1"/>
          <c:tx>
            <c:strRef>
              <c:f>'BDMCL - Ratios'!$O$4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Ratios'!$M$5:$M$8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Ratios'!$O$5:$O$8</c:f>
              <c:numCache>
                <c:formatCode>General</c:formatCode>
                <c:ptCount val="4"/>
                <c:pt idx="0">
                  <c:v>1.29</c:v>
                </c:pt>
                <c:pt idx="1">
                  <c:v>1.76</c:v>
                </c:pt>
                <c:pt idx="2">
                  <c:v>0.99</c:v>
                </c:pt>
                <c:pt idx="3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F-874A-ABC0-521C5CFEF6E0}"/>
            </c:ext>
          </c:extLst>
        </c:ser>
        <c:ser>
          <c:idx val="2"/>
          <c:order val="2"/>
          <c:tx>
            <c:strRef>
              <c:f>'BDMCL - Ratios'!$P$4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Ratios'!$M$5:$M$8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Ratios'!$P$5:$P$8</c:f>
              <c:numCache>
                <c:formatCode>General</c:formatCode>
                <c:ptCount val="4"/>
                <c:pt idx="0">
                  <c:v>2.38</c:v>
                </c:pt>
                <c:pt idx="1">
                  <c:v>1.23</c:v>
                </c:pt>
                <c:pt idx="2">
                  <c:v>1.03</c:v>
                </c:pt>
                <c:pt idx="3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F-874A-ABC0-521C5CFE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804639"/>
        <c:axId val="1630808799"/>
      </c:barChart>
      <c:catAx>
        <c:axId val="163080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08799"/>
        <c:crosses val="autoZero"/>
        <c:auto val="1"/>
        <c:lblAlgn val="ctr"/>
        <c:lblOffset val="100"/>
        <c:noMultiLvlLbl val="0"/>
      </c:catAx>
      <c:valAx>
        <c:axId val="16308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0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Quick</a:t>
            </a:r>
            <a:r>
              <a:rPr lang="en-IN" sz="1100" b="1" baseline="0"/>
              <a:t> Ratio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Ratios'!$M$11:$M$14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Ratios'!$N$11:$N$14</c:f>
              <c:numCache>
                <c:formatCode>General</c:formatCode>
                <c:ptCount val="4"/>
                <c:pt idx="0">
                  <c:v>0.44</c:v>
                </c:pt>
                <c:pt idx="1">
                  <c:v>0.67</c:v>
                </c:pt>
                <c:pt idx="2">
                  <c:v>0.6</c:v>
                </c:pt>
                <c:pt idx="3">
                  <c:v>0.63500000000000001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E-EA4C-9E3C-58EF94CD04F4}"/>
            </c:ext>
          </c:extLst>
        </c:ser>
        <c:ser>
          <c:idx val="1"/>
          <c:order val="1"/>
          <c:tx>
            <c:strRef>
              <c:f>'BDMCL - Ratios'!$O$10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Ratios'!$M$11:$M$14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Ratios'!$O$11:$O$14</c:f>
              <c:numCache>
                <c:formatCode>General</c:formatCode>
                <c:ptCount val="4"/>
                <c:pt idx="0">
                  <c:v>0.4</c:v>
                </c:pt>
                <c:pt idx="1">
                  <c:v>0.88</c:v>
                </c:pt>
                <c:pt idx="2">
                  <c:v>0.44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E-EA4C-9E3C-58EF94CD04F4}"/>
            </c:ext>
          </c:extLst>
        </c:ser>
        <c:ser>
          <c:idx val="2"/>
          <c:order val="2"/>
          <c:tx>
            <c:strRef>
              <c:f>'BDMCL - Ratios'!$P$10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Ratios'!$M$11:$M$14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Ratios'!$P$11:$P$14</c:f>
              <c:numCache>
                <c:formatCode>General</c:formatCode>
                <c:ptCount val="4"/>
                <c:pt idx="0">
                  <c:v>0.64</c:v>
                </c:pt>
                <c:pt idx="1">
                  <c:v>0.59</c:v>
                </c:pt>
                <c:pt idx="2">
                  <c:v>0.49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E-EA4C-9E3C-58EF94C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581936"/>
        <c:axId val="829577776"/>
      </c:barChart>
      <c:catAx>
        <c:axId val="82958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77776"/>
        <c:crosses val="autoZero"/>
        <c:auto val="1"/>
        <c:lblAlgn val="ctr"/>
        <c:lblOffset val="100"/>
        <c:noMultiLvlLbl val="0"/>
      </c:catAx>
      <c:valAx>
        <c:axId val="829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Debt-Equity</a:t>
            </a:r>
            <a:r>
              <a:rPr lang="en-IN" sz="1100" b="1" baseline="0"/>
              <a:t> Ratio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Ratios'!$N$16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Ratios'!$M$17:$M$20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Ratios'!$N$17:$N$20</c:f>
              <c:numCache>
                <c:formatCode>General</c:formatCode>
                <c:ptCount val="4"/>
                <c:pt idx="0">
                  <c:v>-4.1500000000000004</c:v>
                </c:pt>
                <c:pt idx="1">
                  <c:v>0.65</c:v>
                </c:pt>
                <c:pt idx="2">
                  <c:v>0.69</c:v>
                </c:pt>
                <c:pt idx="3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9-294B-AD98-E47BFBF0F38D}"/>
            </c:ext>
          </c:extLst>
        </c:ser>
        <c:ser>
          <c:idx val="1"/>
          <c:order val="1"/>
          <c:tx>
            <c:strRef>
              <c:f>'BDMCL - Ratios'!$O$16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Ratios'!$M$17:$M$20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Ratios'!$O$17:$O$20</c:f>
              <c:numCache>
                <c:formatCode>General</c:formatCode>
                <c:ptCount val="4"/>
                <c:pt idx="0">
                  <c:v>-12.76</c:v>
                </c:pt>
                <c:pt idx="1">
                  <c:v>0.48</c:v>
                </c:pt>
                <c:pt idx="2">
                  <c:v>0.73</c:v>
                </c:pt>
                <c:pt idx="3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9-294B-AD98-E47BFBF0F38D}"/>
            </c:ext>
          </c:extLst>
        </c:ser>
        <c:ser>
          <c:idx val="2"/>
          <c:order val="2"/>
          <c:tx>
            <c:strRef>
              <c:f>'BDMCL - Ratios'!$P$16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Ratios'!$M$17:$M$20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Ratios'!$P$17:$P$20</c:f>
              <c:numCache>
                <c:formatCode>General</c:formatCode>
                <c:ptCount val="4"/>
                <c:pt idx="0">
                  <c:v>56.02</c:v>
                </c:pt>
                <c:pt idx="1">
                  <c:v>0.76</c:v>
                </c:pt>
                <c:pt idx="2">
                  <c:v>0.54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9-294B-AD98-E47BFBF0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279103"/>
        <c:axId val="997280351"/>
      </c:barChart>
      <c:catAx>
        <c:axId val="9972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80351"/>
        <c:crosses val="autoZero"/>
        <c:auto val="1"/>
        <c:lblAlgn val="ctr"/>
        <c:lblOffset val="800"/>
        <c:noMultiLvlLbl val="0"/>
      </c:catAx>
      <c:valAx>
        <c:axId val="9972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latin typeface="+mn-lt"/>
              </a:rPr>
              <a:t>Propreitary</a:t>
            </a:r>
            <a:r>
              <a:rPr lang="en-IN" sz="1100" b="1" baseline="0">
                <a:latin typeface="+mn-lt"/>
              </a:rPr>
              <a:t> Ratio</a:t>
            </a:r>
            <a:endParaRPr lang="en-IN" sz="11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Ratios'!$N$22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Ratios'!$M$23:$M$26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Ratios'!$N$23:$N$26</c:f>
              <c:numCache>
                <c:formatCode>General</c:formatCode>
                <c:ptCount val="4"/>
                <c:pt idx="0">
                  <c:v>-0.17</c:v>
                </c:pt>
                <c:pt idx="1">
                  <c:v>0.11</c:v>
                </c:pt>
                <c:pt idx="2">
                  <c:v>0.59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A-3A47-95E4-517D302C3394}"/>
            </c:ext>
          </c:extLst>
        </c:ser>
        <c:ser>
          <c:idx val="1"/>
          <c:order val="1"/>
          <c:tx>
            <c:strRef>
              <c:f>'BDMCL - Ratios'!$O$22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Ratios'!$M$23:$M$26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Ratios'!$O$23:$O$26</c:f>
              <c:numCache>
                <c:formatCode>General</c:formatCode>
                <c:ptCount val="4"/>
                <c:pt idx="0">
                  <c:v>-0.04</c:v>
                </c:pt>
                <c:pt idx="1">
                  <c:v>0.03</c:v>
                </c:pt>
                <c:pt idx="2">
                  <c:v>0.57999999999999996</c:v>
                </c:pt>
                <c:pt idx="3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A-3A47-95E4-517D302C3394}"/>
            </c:ext>
          </c:extLst>
        </c:ser>
        <c:ser>
          <c:idx val="2"/>
          <c:order val="2"/>
          <c:tx>
            <c:strRef>
              <c:f>'BDMCL - Ratios'!$P$22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Ratios'!$M$23:$M$26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Ratios'!$P$23:$P$26</c:f>
              <c:numCache>
                <c:formatCode>General</c:formatCode>
                <c:ptCount val="4"/>
                <c:pt idx="0">
                  <c:v>0.01</c:v>
                </c:pt>
                <c:pt idx="1">
                  <c:v>0.15</c:v>
                </c:pt>
                <c:pt idx="2">
                  <c:v>0.11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A-3A47-95E4-517D302C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392079"/>
        <c:axId val="993691375"/>
      </c:barChart>
      <c:catAx>
        <c:axId val="76239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91375"/>
        <c:crosses val="autoZero"/>
        <c:auto val="1"/>
        <c:lblAlgn val="ctr"/>
        <c:lblOffset val="800"/>
        <c:noMultiLvlLbl val="0"/>
      </c:catAx>
      <c:valAx>
        <c:axId val="9936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Net</a:t>
            </a:r>
            <a:r>
              <a:rPr lang="en-IN" sz="1100" b="1" baseline="0"/>
              <a:t> Profit Ratio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Ratios'!$N$28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Ratios'!$M$29:$M$32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Ratios'!$N$29:$N$32</c:f>
              <c:numCache>
                <c:formatCode>General</c:formatCode>
                <c:ptCount val="4"/>
                <c:pt idx="0">
                  <c:v>-21.88</c:v>
                </c:pt>
                <c:pt idx="1">
                  <c:v>3.92</c:v>
                </c:pt>
                <c:pt idx="2">
                  <c:v>11.77</c:v>
                </c:pt>
                <c:pt idx="3">
                  <c:v>7.8449999999999998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3-5641-A301-41E64BDD0654}"/>
            </c:ext>
          </c:extLst>
        </c:ser>
        <c:ser>
          <c:idx val="1"/>
          <c:order val="1"/>
          <c:tx>
            <c:strRef>
              <c:f>'BDMCL - Ratios'!$O$28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Ratios'!$M$29:$M$32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Ratios'!$O$29:$O$32</c:f>
              <c:numCache>
                <c:formatCode>General</c:formatCode>
                <c:ptCount val="4"/>
                <c:pt idx="0">
                  <c:v>-38.229999999999997</c:v>
                </c:pt>
                <c:pt idx="1">
                  <c:v>1.77</c:v>
                </c:pt>
                <c:pt idx="2">
                  <c:v>7.65</c:v>
                </c:pt>
                <c:pt idx="3">
                  <c:v>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3-5641-A301-41E64BDD0654}"/>
            </c:ext>
          </c:extLst>
        </c:ser>
        <c:ser>
          <c:idx val="2"/>
          <c:order val="2"/>
          <c:tx>
            <c:strRef>
              <c:f>'BDMCL - Ratios'!$P$28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Ratios'!$M$29:$M$32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Ratios'!$P$29:$P$32</c:f>
              <c:numCache>
                <c:formatCode>General</c:formatCode>
                <c:ptCount val="4"/>
                <c:pt idx="0">
                  <c:v>16.86</c:v>
                </c:pt>
                <c:pt idx="1">
                  <c:v>4.13</c:v>
                </c:pt>
                <c:pt idx="2">
                  <c:v>7.27</c:v>
                </c:pt>
                <c:pt idx="3">
                  <c:v>5.6999999999999993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3-5641-A301-41E64BDD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90959"/>
        <c:axId val="993689711"/>
      </c:barChart>
      <c:catAx>
        <c:axId val="99369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89711"/>
        <c:crosses val="autoZero"/>
        <c:auto val="1"/>
        <c:lblAlgn val="ctr"/>
        <c:lblOffset val="1000"/>
        <c:noMultiLvlLbl val="0"/>
      </c:catAx>
      <c:valAx>
        <c:axId val="9936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 Value (in %)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9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Gross</a:t>
            </a:r>
            <a:r>
              <a:rPr lang="en-IN" sz="1100" b="1" baseline="0"/>
              <a:t> Profit Ratio</a:t>
            </a:r>
            <a:r>
              <a:rPr lang="en-IN" sz="1100" b="1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Ratios'!$N$34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Ratios'!$M$35:$M$38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Ratios'!$N$35:$N$38</c:f>
              <c:numCache>
                <c:formatCode>General</c:formatCode>
                <c:ptCount val="4"/>
                <c:pt idx="0">
                  <c:v>44.38</c:v>
                </c:pt>
                <c:pt idx="1">
                  <c:v>6.48</c:v>
                </c:pt>
                <c:pt idx="2">
                  <c:v>16.690000000000001</c:v>
                </c:pt>
                <c:pt idx="3">
                  <c:v>11.585000000000001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3-6E45-9FEA-FB4670704B30}"/>
            </c:ext>
          </c:extLst>
        </c:ser>
        <c:ser>
          <c:idx val="1"/>
          <c:order val="1"/>
          <c:tx>
            <c:strRef>
              <c:f>'BDMCL - Ratios'!$O$34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Ratios'!$M$35:$M$38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Ratios'!$O$35:$O$38</c:f>
              <c:numCache>
                <c:formatCode>General</c:formatCode>
                <c:ptCount val="4"/>
                <c:pt idx="0">
                  <c:v>55.52</c:v>
                </c:pt>
                <c:pt idx="1">
                  <c:v>3.73</c:v>
                </c:pt>
                <c:pt idx="2">
                  <c:v>10.49</c:v>
                </c:pt>
                <c:pt idx="3">
                  <c:v>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3-6E45-9FEA-FB4670704B30}"/>
            </c:ext>
          </c:extLst>
        </c:ser>
        <c:ser>
          <c:idx val="2"/>
          <c:order val="2"/>
          <c:tx>
            <c:strRef>
              <c:f>'BDMCL - Ratios'!$P$34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Ratios'!$M$35:$M$38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Ratios'!$P$35:$P$38</c:f>
              <c:numCache>
                <c:formatCode>General</c:formatCode>
                <c:ptCount val="4"/>
                <c:pt idx="0">
                  <c:v>53.15</c:v>
                </c:pt>
                <c:pt idx="1">
                  <c:v>7.21</c:v>
                </c:pt>
                <c:pt idx="2">
                  <c:v>10.79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3-6E45-9FEA-FB467070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998239"/>
        <c:axId val="914999071"/>
      </c:barChart>
      <c:catAx>
        <c:axId val="91499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99071"/>
        <c:crosses val="autoZero"/>
        <c:auto val="1"/>
        <c:lblAlgn val="ctr"/>
        <c:lblOffset val="100"/>
        <c:noMultiLvlLbl val="0"/>
      </c:catAx>
      <c:valAx>
        <c:axId val="9149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 (in %)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Ratios'!$N$40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Ratios'!$M$41:$M$44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Ratios'!$N$41:$N$44</c:f>
              <c:numCache>
                <c:formatCode>General</c:formatCode>
                <c:ptCount val="4"/>
                <c:pt idx="0">
                  <c:v>-10.89</c:v>
                </c:pt>
                <c:pt idx="1">
                  <c:v>5.28</c:v>
                </c:pt>
                <c:pt idx="2">
                  <c:v>12.67</c:v>
                </c:pt>
                <c:pt idx="3">
                  <c:v>8.9749999999999996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A-404F-97E0-6E73CC6DE676}"/>
            </c:ext>
          </c:extLst>
        </c:ser>
        <c:ser>
          <c:idx val="1"/>
          <c:order val="1"/>
          <c:tx>
            <c:strRef>
              <c:f>'BDMCL - Ratios'!$O$40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Ratios'!$M$41:$M$44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Ratios'!$O$41:$O$44</c:f>
              <c:numCache>
                <c:formatCode>General</c:formatCode>
                <c:ptCount val="4"/>
                <c:pt idx="0">
                  <c:v>-10.1</c:v>
                </c:pt>
                <c:pt idx="1">
                  <c:v>1.84</c:v>
                </c:pt>
                <c:pt idx="2">
                  <c:v>6</c:v>
                </c:pt>
                <c:pt idx="3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A-404F-97E0-6E73CC6DE676}"/>
            </c:ext>
          </c:extLst>
        </c:ser>
        <c:ser>
          <c:idx val="2"/>
          <c:order val="2"/>
          <c:tx>
            <c:strRef>
              <c:f>'BDMCL - Ratios'!$P$40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Ratios'!$M$41:$M$44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Ratios'!$P$41:$P$44</c:f>
              <c:numCache>
                <c:formatCode>General</c:formatCode>
                <c:ptCount val="4"/>
                <c:pt idx="0">
                  <c:v>6.81</c:v>
                </c:pt>
                <c:pt idx="1">
                  <c:v>6.26</c:v>
                </c:pt>
                <c:pt idx="2">
                  <c:v>5.97</c:v>
                </c:pt>
                <c:pt idx="3">
                  <c:v>6.1150000000000002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A-404F-97E0-6E73CC6D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665855"/>
        <c:axId val="923662943"/>
      </c:barChart>
      <c:catAx>
        <c:axId val="92366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62943"/>
        <c:crosses val="autoZero"/>
        <c:auto val="1"/>
        <c:lblAlgn val="ctr"/>
        <c:lblOffset val="1000"/>
        <c:noMultiLvlLbl val="0"/>
      </c:catAx>
      <c:valAx>
        <c:axId val="9236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 (in %)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'SSML - Dividends, Stock and Mkt'!$I$35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rgbClr val="CC2A7B"/>
            </a:solidFill>
            <a:ln>
              <a:noFill/>
            </a:ln>
            <a:effectLst/>
          </c:spPr>
          <c:invertIfNegative val="0"/>
          <c:cat>
            <c:multiLvlStrRef>
              <c:f>'SSML - Dividends, Stock and Mkt'!$J$33:$O$34</c:f>
              <c:multiLvlStrCache>
                <c:ptCount val="5"/>
                <c:lvl/>
                <c:lvl>
                  <c:pt idx="0">
                    <c:v>SSML</c:v>
                  </c:pt>
                  <c:pt idx="2">
                    <c:v>Raymond</c:v>
                  </c:pt>
                  <c:pt idx="4">
                    <c:v>ABFRL</c:v>
                  </c:pt>
                </c:lvl>
              </c:multiLvlStrCache>
            </c:multiLvlStrRef>
          </c:cat>
          <c:val>
            <c:numRef>
              <c:f>'SSML - Dividends, Stock and Mkt'!$J$35:$O$35</c:f>
              <c:numCache>
                <c:formatCode>0.00</c:formatCode>
                <c:ptCount val="6"/>
                <c:pt idx="0">
                  <c:v>441.88</c:v>
                </c:pt>
                <c:pt idx="2">
                  <c:v>752.98</c:v>
                </c:pt>
                <c:pt idx="4">
                  <c:v>278.8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7-AD41-AA19-5F694631D378}"/>
            </c:ext>
          </c:extLst>
        </c:ser>
        <c:ser>
          <c:idx val="1"/>
          <c:order val="1"/>
          <c:tx>
            <c:strRef>
              <c:f>'SSML - Dividends, Stock and Mkt'!$I$36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rgbClr val="844090"/>
            </a:solidFill>
            <a:ln>
              <a:noFill/>
            </a:ln>
            <a:effectLst/>
          </c:spPr>
          <c:invertIfNegative val="0"/>
          <c:cat>
            <c:multiLvlStrRef>
              <c:f>'SSML - Dividends, Stock and Mkt'!$J$33:$O$34</c:f>
              <c:multiLvlStrCache>
                <c:ptCount val="5"/>
                <c:lvl/>
                <c:lvl>
                  <c:pt idx="0">
                    <c:v>SSML</c:v>
                  </c:pt>
                  <c:pt idx="2">
                    <c:v>Raymond</c:v>
                  </c:pt>
                  <c:pt idx="4">
                    <c:v>ABFRL</c:v>
                  </c:pt>
                </c:lvl>
              </c:multiLvlStrCache>
            </c:multiLvlStrRef>
          </c:cat>
          <c:val>
            <c:numRef>
              <c:f>'SSML - Dividends, Stock and Mkt'!$J$36:$O$36</c:f>
              <c:numCache>
                <c:formatCode>0.00</c:formatCode>
                <c:ptCount val="6"/>
                <c:pt idx="0">
                  <c:v>203.6</c:v>
                </c:pt>
                <c:pt idx="2">
                  <c:v>368.25</c:v>
                </c:pt>
                <c:pt idx="4">
                  <c:v>203.08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7-AD41-AA19-5F694631D378}"/>
            </c:ext>
          </c:extLst>
        </c:ser>
        <c:ser>
          <c:idx val="2"/>
          <c:order val="2"/>
          <c:tx>
            <c:strRef>
              <c:f>'SSML - Dividends, Stock and Mkt'!$I$37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rgbClr val="EF5FA7"/>
            </a:solidFill>
            <a:ln>
              <a:noFill/>
            </a:ln>
            <a:effectLst/>
          </c:spPr>
          <c:invertIfNegative val="0"/>
          <c:cat>
            <c:multiLvlStrRef>
              <c:f>'SSML - Dividends, Stock and Mkt'!$J$33:$O$34</c:f>
              <c:multiLvlStrCache>
                <c:ptCount val="5"/>
                <c:lvl/>
                <c:lvl>
                  <c:pt idx="0">
                    <c:v>SSML</c:v>
                  </c:pt>
                  <c:pt idx="2">
                    <c:v>Raymond</c:v>
                  </c:pt>
                  <c:pt idx="4">
                    <c:v>ABFRL</c:v>
                  </c:pt>
                </c:lvl>
              </c:multiLvlStrCache>
            </c:multiLvlStrRef>
          </c:cat>
          <c:val>
            <c:numRef>
              <c:f>'SSML - Dividends, Stock and Mkt'!$J$37:$O$37</c:f>
              <c:numCache>
                <c:formatCode>0.00</c:formatCode>
                <c:ptCount val="6"/>
                <c:pt idx="0">
                  <c:v>173</c:v>
                </c:pt>
                <c:pt idx="2">
                  <c:v>367.25</c:v>
                </c:pt>
                <c:pt idx="4">
                  <c:v>206.33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7-AD41-AA19-5F694631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991152"/>
        <c:axId val="776728304"/>
      </c:barChart>
      <c:catAx>
        <c:axId val="775991152"/>
        <c:scaling>
          <c:orientation val="minMax"/>
        </c:scaling>
        <c:delete val="0"/>
        <c:axPos val="b"/>
        <c:numFmt formatCode="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28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767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rgbClr val="3D3A6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Ratios'!$N$46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Ratios'!$M$47:$M$50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Ratios'!$N$47:$N$50</c:f>
              <c:numCache>
                <c:formatCode>General</c:formatCode>
                <c:ptCount val="4"/>
                <c:pt idx="0">
                  <c:v>-0.44</c:v>
                </c:pt>
                <c:pt idx="1">
                  <c:v>17.3</c:v>
                </c:pt>
                <c:pt idx="2">
                  <c:v>26.52</c:v>
                </c:pt>
                <c:pt idx="3">
                  <c:v>21.91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0-0148-A15A-5C653AFD2A63}"/>
            </c:ext>
          </c:extLst>
        </c:ser>
        <c:ser>
          <c:idx val="1"/>
          <c:order val="1"/>
          <c:tx>
            <c:strRef>
              <c:f>'BDMCL - Ratios'!$O$46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Ratios'!$M$47:$M$50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Ratios'!$O$47:$O$50</c:f>
              <c:numCache>
                <c:formatCode>General</c:formatCode>
                <c:ptCount val="4"/>
                <c:pt idx="0">
                  <c:v>3.53</c:v>
                </c:pt>
                <c:pt idx="1">
                  <c:v>8.61</c:v>
                </c:pt>
                <c:pt idx="2">
                  <c:v>12.52</c:v>
                </c:pt>
                <c:pt idx="3">
                  <c:v>10.565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0-0148-A15A-5C653AFD2A63}"/>
            </c:ext>
          </c:extLst>
        </c:ser>
        <c:ser>
          <c:idx val="2"/>
          <c:order val="2"/>
          <c:tx>
            <c:strRef>
              <c:f>'BDMCL - Ratios'!$P$46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Ratios'!$M$47:$M$50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Ratios'!$P$47:$P$50</c:f>
              <c:numCache>
                <c:formatCode>General</c:formatCode>
                <c:ptCount val="4"/>
                <c:pt idx="0">
                  <c:v>10.08</c:v>
                </c:pt>
                <c:pt idx="1">
                  <c:v>22.13</c:v>
                </c:pt>
                <c:pt idx="2">
                  <c:v>13.21</c:v>
                </c:pt>
                <c:pt idx="3">
                  <c:v>17.670000000000002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0-0148-A15A-5C653AFD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516015"/>
        <c:axId val="992525999"/>
      </c:barChart>
      <c:catAx>
        <c:axId val="99251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25999"/>
        <c:crosses val="autoZero"/>
        <c:auto val="1"/>
        <c:lblAlgn val="ctr"/>
        <c:lblOffset val="100"/>
        <c:noMultiLvlLbl val="0"/>
      </c:catAx>
      <c:valAx>
        <c:axId val="9925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 (in %)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Ratios'!$N$56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Ratios'!$M$57:$M$60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Ratios'!$N$57:$N$60</c:f>
              <c:numCache>
                <c:formatCode>General</c:formatCode>
                <c:ptCount val="4"/>
                <c:pt idx="0">
                  <c:v>-22.31</c:v>
                </c:pt>
                <c:pt idx="1">
                  <c:v>27.31</c:v>
                </c:pt>
                <c:pt idx="2">
                  <c:v>1.63</c:v>
                </c:pt>
                <c:pt idx="3">
                  <c:v>14.469999999999999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2-9644-B8FE-E8BF9EE2B7DD}"/>
            </c:ext>
          </c:extLst>
        </c:ser>
        <c:ser>
          <c:idx val="1"/>
          <c:order val="1"/>
          <c:tx>
            <c:strRef>
              <c:f>'BDMCL - Ratios'!$O$56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Ratios'!$M$57:$M$60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Ratios'!$O$57:$O$60</c:f>
              <c:numCache>
                <c:formatCode>General</c:formatCode>
                <c:ptCount val="4"/>
                <c:pt idx="0">
                  <c:v>-22.69</c:v>
                </c:pt>
                <c:pt idx="1">
                  <c:v>8.14</c:v>
                </c:pt>
                <c:pt idx="2">
                  <c:v>0.68</c:v>
                </c:pt>
                <c:pt idx="3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2-9644-B8FE-E8BF9EE2B7DD}"/>
            </c:ext>
          </c:extLst>
        </c:ser>
        <c:ser>
          <c:idx val="2"/>
          <c:order val="2"/>
          <c:tx>
            <c:strRef>
              <c:f>'BDMCL - Ratios'!$P$56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Ratios'!$M$57:$M$60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Ratios'!$P$57:$P$60</c:f>
              <c:numCache>
                <c:formatCode>General</c:formatCode>
                <c:ptCount val="4"/>
                <c:pt idx="0">
                  <c:v>15.881</c:v>
                </c:pt>
                <c:pt idx="1">
                  <c:v>31.19</c:v>
                </c:pt>
                <c:pt idx="2">
                  <c:v>0.67</c:v>
                </c:pt>
                <c:pt idx="3">
                  <c:v>15.930000000000001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2-9644-B8FE-E8BF9EE2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661279"/>
        <c:axId val="923663775"/>
      </c:barChart>
      <c:catAx>
        <c:axId val="92366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63775"/>
        <c:crosses val="autoZero"/>
        <c:auto val="1"/>
        <c:lblAlgn val="ctr"/>
        <c:lblOffset val="1000"/>
        <c:noMultiLvlLbl val="0"/>
      </c:catAx>
      <c:valAx>
        <c:axId val="9236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6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Interest</a:t>
            </a:r>
            <a:r>
              <a:rPr lang="en-IN" sz="1100" b="1" baseline="0"/>
              <a:t> Coverage Ratio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Ratios'!$N$62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Ratios'!$M$63:$M$66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Ratios'!$N$63:$N$66</c:f>
              <c:numCache>
                <c:formatCode>General</c:formatCode>
                <c:ptCount val="4"/>
                <c:pt idx="0">
                  <c:v>-0.02</c:v>
                </c:pt>
                <c:pt idx="1">
                  <c:v>4.8000000000000001E-2</c:v>
                </c:pt>
                <c:pt idx="2">
                  <c:v>13.74</c:v>
                </c:pt>
                <c:pt idx="3">
                  <c:v>6.8940000000000001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0341-BB8B-63F87CC78A9C}"/>
            </c:ext>
          </c:extLst>
        </c:ser>
        <c:ser>
          <c:idx val="1"/>
          <c:order val="1"/>
          <c:tx>
            <c:strRef>
              <c:f>'BDMCL - Ratios'!$O$62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Ratios'!$M$63:$M$66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Ratios'!$O$63:$O$66</c:f>
              <c:numCache>
                <c:formatCode>General</c:formatCode>
                <c:ptCount val="4"/>
                <c:pt idx="0">
                  <c:v>0.13</c:v>
                </c:pt>
                <c:pt idx="1">
                  <c:v>0.01</c:v>
                </c:pt>
                <c:pt idx="2">
                  <c:v>7.18</c:v>
                </c:pt>
                <c:pt idx="3">
                  <c:v>3.5949999999999998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A-0341-BB8B-63F87CC78A9C}"/>
            </c:ext>
          </c:extLst>
        </c:ser>
        <c:ser>
          <c:idx val="2"/>
          <c:order val="2"/>
          <c:tx>
            <c:strRef>
              <c:f>'BDMCL - Ratios'!$P$62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Ratios'!$M$63:$M$66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Ratios'!$P$63:$P$66</c:f>
              <c:numCache>
                <c:formatCode>General</c:formatCode>
                <c:ptCount val="4"/>
                <c:pt idx="0">
                  <c:v>0.62</c:v>
                </c:pt>
                <c:pt idx="1">
                  <c:v>1.7000000000000001E-2</c:v>
                </c:pt>
                <c:pt idx="2">
                  <c:v>4.8</c:v>
                </c:pt>
                <c:pt idx="3">
                  <c:v>2.4085000000000001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A-0341-BB8B-63F87CC7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925247"/>
        <c:axId val="1019909855"/>
      </c:barChart>
      <c:catAx>
        <c:axId val="10199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09855"/>
        <c:crosses val="autoZero"/>
        <c:auto val="1"/>
        <c:lblAlgn val="ctr"/>
        <c:lblOffset val="100"/>
        <c:noMultiLvlLbl val="0"/>
      </c:catAx>
      <c:valAx>
        <c:axId val="10199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 (in %)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Inventory</a:t>
            </a:r>
            <a:r>
              <a:rPr lang="en-IN" sz="1100" b="1" baseline="0"/>
              <a:t> Turnover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Ratios'!$M$69:$M$72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Ratios'!$N$69:$N$72</c:f>
              <c:numCache>
                <c:formatCode>General</c:formatCode>
                <c:ptCount val="4"/>
                <c:pt idx="0">
                  <c:v>11.29</c:v>
                </c:pt>
                <c:pt idx="1">
                  <c:v>2.37</c:v>
                </c:pt>
                <c:pt idx="2">
                  <c:v>2.93</c:v>
                </c:pt>
                <c:pt idx="3">
                  <c:v>2.6500000000000004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C-334B-A3DE-843A45C9FC89}"/>
            </c:ext>
          </c:extLst>
        </c:ser>
        <c:ser>
          <c:idx val="1"/>
          <c:order val="1"/>
          <c:tx>
            <c:strRef>
              <c:f>'BDMCL - Ratios'!$O$68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Ratios'!$M$69:$M$72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Ratios'!$O$69:$O$72</c:f>
              <c:numCache>
                <c:formatCode>General</c:formatCode>
                <c:ptCount val="4"/>
                <c:pt idx="0">
                  <c:v>5.97</c:v>
                </c:pt>
                <c:pt idx="1">
                  <c:v>4</c:v>
                </c:pt>
                <c:pt idx="2">
                  <c:v>4.4800000000000004</c:v>
                </c:pt>
                <c:pt idx="3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C-334B-A3DE-843A45C9FC89}"/>
            </c:ext>
          </c:extLst>
        </c:ser>
        <c:ser>
          <c:idx val="2"/>
          <c:order val="2"/>
          <c:tx>
            <c:strRef>
              <c:f>'BDMCL - Ratios'!$P$68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Ratios'!$M$69:$M$72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Ratios'!$P$69:$P$72</c:f>
              <c:numCache>
                <c:formatCode>General</c:formatCode>
                <c:ptCount val="4"/>
                <c:pt idx="0">
                  <c:v>16.329999999999998</c:v>
                </c:pt>
                <c:pt idx="1">
                  <c:v>5.43</c:v>
                </c:pt>
                <c:pt idx="2">
                  <c:v>5.15</c:v>
                </c:pt>
                <c:pt idx="3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C-334B-A3DE-843A45C9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240863"/>
        <c:axId val="1023229215"/>
      </c:barChart>
      <c:catAx>
        <c:axId val="102324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29215"/>
        <c:crosses val="autoZero"/>
        <c:auto val="1"/>
        <c:lblAlgn val="ctr"/>
        <c:lblOffset val="100"/>
        <c:noMultiLvlLbl val="0"/>
      </c:catAx>
      <c:valAx>
        <c:axId val="10232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Fixed</a:t>
            </a:r>
            <a:r>
              <a:rPr lang="en-IN" sz="1100" b="1" baseline="0"/>
              <a:t> Assets Turnover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'BDMCL - Ratios'!$N$74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100"/>
            </a:solidFill>
            <a:ln>
              <a:noFill/>
            </a:ln>
            <a:effectLst/>
          </c:spPr>
          <c:invertIfNegative val="0"/>
          <c:cat>
            <c:strRef>
              <c:f>'BDMCL - Ratios'!$M$75:$M$78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Ratios'!$N$75:$N$78</c:f>
              <c:numCache>
                <c:formatCode>General</c:formatCode>
                <c:ptCount val="4"/>
                <c:pt idx="0">
                  <c:v>1.24</c:v>
                </c:pt>
                <c:pt idx="1">
                  <c:v>2</c:v>
                </c:pt>
                <c:pt idx="2">
                  <c:v>1.36</c:v>
                </c:pt>
                <c:pt idx="3">
                  <c:v>1.6800000000000002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8-784C-BAA3-7F09074778A9}"/>
            </c:ext>
          </c:extLst>
        </c:ser>
        <c:ser>
          <c:idx val="1"/>
          <c:order val="1"/>
          <c:tx>
            <c:strRef>
              <c:f>'BDMCL - Ratios'!$O$74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'BDMCL - Ratios'!$M$75:$M$78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Ratios'!$O$75:$O$78</c:f>
              <c:numCache>
                <c:formatCode>General</c:formatCode>
                <c:ptCount val="4"/>
                <c:pt idx="0">
                  <c:v>0.72</c:v>
                </c:pt>
                <c:pt idx="1">
                  <c:v>1.39</c:v>
                </c:pt>
                <c:pt idx="2">
                  <c:v>0.96</c:v>
                </c:pt>
                <c:pt idx="3">
                  <c:v>1.1749999999999998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8-784C-BAA3-7F09074778A9}"/>
            </c:ext>
          </c:extLst>
        </c:ser>
        <c:ser>
          <c:idx val="2"/>
          <c:order val="2"/>
          <c:tx>
            <c:strRef>
              <c:f>'BDMCL - Ratios'!$P$74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0"/>
          <c:cat>
            <c:strRef>
              <c:f>'BDMCL - Ratios'!$M$75:$M$78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'BDMCL - Ratios'!$P$75:$P$78</c:f>
              <c:numCache>
                <c:formatCode>General</c:formatCode>
                <c:ptCount val="4"/>
                <c:pt idx="0">
                  <c:v>1.27</c:v>
                </c:pt>
                <c:pt idx="1">
                  <c:v>1.96</c:v>
                </c:pt>
                <c:pt idx="2">
                  <c:v>0.98</c:v>
                </c:pt>
                <c:pt idx="3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8-784C-BAA3-7F090747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657199"/>
        <c:axId val="1037657615"/>
      </c:barChart>
      <c:catAx>
        <c:axId val="103765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57615"/>
        <c:crosses val="autoZero"/>
        <c:auto val="1"/>
        <c:lblAlgn val="ctr"/>
        <c:lblOffset val="100"/>
        <c:noMultiLvlLbl val="0"/>
      </c:catAx>
      <c:valAx>
        <c:axId val="10376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Ratio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'Bombay Dyeing'!$B$8</c:f>
              <c:strCache>
                <c:ptCount val="1"/>
                <c:pt idx="0">
                  <c:v>Market Capitalization (in Cr)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A-F64C-AD05-ACA8B5543D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A-F64C-AD05-ACA8B5543D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AA-F64C-AD05-ACA8B5543D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AA-F64C-AD05-ACA8B5543D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AA-F64C-AD05-ACA8B5543D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AA-F64C-AD05-ACA8B5543D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6AA-F64C-AD05-ACA8B5543D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'Bombay Dyeing'!$A$9:$A$15</c:f>
              <c:strCache>
                <c:ptCount val="7"/>
                <c:pt idx="0">
                  <c:v>Bombay Dyeing</c:v>
                </c:pt>
                <c:pt idx="1">
                  <c:v>Arvind Ltd</c:v>
                </c:pt>
                <c:pt idx="2">
                  <c:v>Welspun India</c:v>
                </c:pt>
                <c:pt idx="3">
                  <c:v>Page Industries</c:v>
                </c:pt>
                <c:pt idx="4">
                  <c:v>Trident</c:v>
                </c:pt>
                <c:pt idx="5">
                  <c:v>Banswara Syntex</c:v>
                </c:pt>
                <c:pt idx="6">
                  <c:v>Raymond</c:v>
                </c:pt>
              </c:strCache>
            </c:strRef>
          </c:cat>
          <c:val>
            <c:numRef>
              <c:f>'Bombay Dyeing'!$B$9:$B$15</c:f>
              <c:numCache>
                <c:formatCode>General</c:formatCode>
                <c:ptCount val="7"/>
                <c:pt idx="0">
                  <c:v>2165</c:v>
                </c:pt>
                <c:pt idx="1">
                  <c:v>2842</c:v>
                </c:pt>
                <c:pt idx="2">
                  <c:v>8349</c:v>
                </c:pt>
                <c:pt idx="3">
                  <c:v>53962</c:v>
                </c:pt>
                <c:pt idx="4">
                  <c:v>20307</c:v>
                </c:pt>
                <c:pt idx="5">
                  <c:v>389</c:v>
                </c:pt>
                <c:pt idx="6">
                  <c:v>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AA-F64C-AD05-ACA8B5543D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Dyeing'!$Q$72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Dyeing'!$P$73:$P$76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Dyeing'!$Q$73:$Q$76</c:f>
              <c:numCache>
                <c:formatCode>General</c:formatCode>
                <c:ptCount val="4"/>
                <c:pt idx="0">
                  <c:v>1.44</c:v>
                </c:pt>
                <c:pt idx="1">
                  <c:v>1.49</c:v>
                </c:pt>
                <c:pt idx="2">
                  <c:v>1.25</c:v>
                </c:pt>
                <c:pt idx="3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374A-AED5-35750C331B26}"/>
            </c:ext>
          </c:extLst>
        </c:ser>
        <c:ser>
          <c:idx val="1"/>
          <c:order val="1"/>
          <c:tx>
            <c:strRef>
              <c:f>'Bombay Dyeing'!$R$72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Dyeing'!$P$73:$P$76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Dyeing'!$R$73:$R$76</c:f>
              <c:numCache>
                <c:formatCode>General</c:formatCode>
                <c:ptCount val="4"/>
                <c:pt idx="0">
                  <c:v>1.29</c:v>
                </c:pt>
                <c:pt idx="1">
                  <c:v>1.76</c:v>
                </c:pt>
                <c:pt idx="2">
                  <c:v>0.99</c:v>
                </c:pt>
                <c:pt idx="3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374A-AED5-35750C331B26}"/>
            </c:ext>
          </c:extLst>
        </c:ser>
        <c:ser>
          <c:idx val="2"/>
          <c:order val="2"/>
          <c:tx>
            <c:strRef>
              <c:f>'Bombay Dyeing'!$S$72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Dyeing'!$P$73:$P$76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Dyeing'!$S$73:$S$76</c:f>
              <c:numCache>
                <c:formatCode>General</c:formatCode>
                <c:ptCount val="4"/>
                <c:pt idx="0">
                  <c:v>2.38</c:v>
                </c:pt>
                <c:pt idx="1">
                  <c:v>1.23</c:v>
                </c:pt>
                <c:pt idx="2">
                  <c:v>1.03</c:v>
                </c:pt>
                <c:pt idx="3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374A-AED5-35750C331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804639"/>
        <c:axId val="1630808799"/>
      </c:barChart>
      <c:catAx>
        <c:axId val="163080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08799"/>
        <c:crosses val="autoZero"/>
        <c:auto val="1"/>
        <c:lblAlgn val="ctr"/>
        <c:lblOffset val="100"/>
        <c:noMultiLvlLbl val="0"/>
      </c:catAx>
      <c:valAx>
        <c:axId val="16308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0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Dyeing'!$Q$78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Dyeing'!$P$79:$P$82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Dyeing'!$Q$79:$Q$82</c:f>
              <c:numCache>
                <c:formatCode>General</c:formatCode>
                <c:ptCount val="4"/>
                <c:pt idx="0">
                  <c:v>0.44</c:v>
                </c:pt>
                <c:pt idx="1">
                  <c:v>0.67</c:v>
                </c:pt>
                <c:pt idx="2">
                  <c:v>0.6</c:v>
                </c:pt>
                <c:pt idx="3">
                  <c:v>0.63500000000000001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4-904D-8137-D866B102BCEA}"/>
            </c:ext>
          </c:extLst>
        </c:ser>
        <c:ser>
          <c:idx val="1"/>
          <c:order val="1"/>
          <c:tx>
            <c:strRef>
              <c:f>'Bombay Dyeing'!$R$78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Dyeing'!$P$79:$P$82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Dyeing'!$R$79:$R$82</c:f>
              <c:numCache>
                <c:formatCode>General</c:formatCode>
                <c:ptCount val="4"/>
                <c:pt idx="0">
                  <c:v>0.4</c:v>
                </c:pt>
                <c:pt idx="1">
                  <c:v>0.88</c:v>
                </c:pt>
                <c:pt idx="2">
                  <c:v>0.44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4-904D-8137-D866B102BCEA}"/>
            </c:ext>
          </c:extLst>
        </c:ser>
        <c:ser>
          <c:idx val="2"/>
          <c:order val="2"/>
          <c:tx>
            <c:strRef>
              <c:f>'Bombay Dyeing'!$S$78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Dyeing'!$P$79:$P$82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Dyeing'!$S$79:$S$82</c:f>
              <c:numCache>
                <c:formatCode>General</c:formatCode>
                <c:ptCount val="4"/>
                <c:pt idx="0">
                  <c:v>0.64</c:v>
                </c:pt>
                <c:pt idx="1">
                  <c:v>0.59</c:v>
                </c:pt>
                <c:pt idx="2">
                  <c:v>0.49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4-904D-8137-D866B102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581936"/>
        <c:axId val="829577776"/>
      </c:barChart>
      <c:catAx>
        <c:axId val="82958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77776"/>
        <c:crosses val="autoZero"/>
        <c:auto val="1"/>
        <c:lblAlgn val="ctr"/>
        <c:lblOffset val="100"/>
        <c:noMultiLvlLbl val="0"/>
      </c:catAx>
      <c:valAx>
        <c:axId val="829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Debt-Equity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Dyeing'!$Q$84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Dyeing'!$P$85:$P$88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Dyeing'!$Q$85:$Q$88</c:f>
              <c:numCache>
                <c:formatCode>General</c:formatCode>
                <c:ptCount val="4"/>
                <c:pt idx="0">
                  <c:v>-4.1500000000000004</c:v>
                </c:pt>
                <c:pt idx="1">
                  <c:v>0.65</c:v>
                </c:pt>
                <c:pt idx="2">
                  <c:v>0.69</c:v>
                </c:pt>
                <c:pt idx="3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9-2849-83AC-36AB2028136D}"/>
            </c:ext>
          </c:extLst>
        </c:ser>
        <c:ser>
          <c:idx val="1"/>
          <c:order val="1"/>
          <c:tx>
            <c:strRef>
              <c:f>'Bombay Dyeing'!$R$84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Dyeing'!$P$85:$P$88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Dyeing'!$R$85:$R$88</c:f>
              <c:numCache>
                <c:formatCode>General</c:formatCode>
                <c:ptCount val="4"/>
                <c:pt idx="0">
                  <c:v>-12.76</c:v>
                </c:pt>
                <c:pt idx="1">
                  <c:v>0.48</c:v>
                </c:pt>
                <c:pt idx="2">
                  <c:v>0.73</c:v>
                </c:pt>
                <c:pt idx="3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9-2849-83AC-36AB2028136D}"/>
            </c:ext>
          </c:extLst>
        </c:ser>
        <c:ser>
          <c:idx val="2"/>
          <c:order val="2"/>
          <c:tx>
            <c:strRef>
              <c:f>'Bombay Dyeing'!$S$84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Dyeing'!$P$85:$P$88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Dyeing'!$S$85:$S$88</c:f>
              <c:numCache>
                <c:formatCode>General</c:formatCode>
                <c:ptCount val="4"/>
                <c:pt idx="0">
                  <c:v>56.02</c:v>
                </c:pt>
                <c:pt idx="1">
                  <c:v>0.76</c:v>
                </c:pt>
                <c:pt idx="2">
                  <c:v>0.54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9-2849-83AC-36AB2028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279103"/>
        <c:axId val="997280351"/>
      </c:barChart>
      <c:catAx>
        <c:axId val="9972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80351"/>
        <c:crosses val="autoZero"/>
        <c:auto val="1"/>
        <c:lblAlgn val="ctr"/>
        <c:lblOffset val="100"/>
        <c:noMultiLvlLbl val="0"/>
      </c:catAx>
      <c:valAx>
        <c:axId val="9972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Propreitary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Dyeing'!$Q$90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Dyeing'!$P$91:$P$94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Dyeing'!$Q$91:$Q$94</c:f>
              <c:numCache>
                <c:formatCode>General</c:formatCode>
                <c:ptCount val="4"/>
                <c:pt idx="0">
                  <c:v>-0.17</c:v>
                </c:pt>
                <c:pt idx="1">
                  <c:v>0.11</c:v>
                </c:pt>
                <c:pt idx="2">
                  <c:v>0.59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7-DB44-AC2F-3DF5BD657117}"/>
            </c:ext>
          </c:extLst>
        </c:ser>
        <c:ser>
          <c:idx val="1"/>
          <c:order val="1"/>
          <c:tx>
            <c:strRef>
              <c:f>'Bombay Dyeing'!$R$90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Dyeing'!$P$91:$P$94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Dyeing'!$R$91:$R$94</c:f>
              <c:numCache>
                <c:formatCode>General</c:formatCode>
                <c:ptCount val="4"/>
                <c:pt idx="0">
                  <c:v>-0.04</c:v>
                </c:pt>
                <c:pt idx="1">
                  <c:v>0.03</c:v>
                </c:pt>
                <c:pt idx="2">
                  <c:v>0.57999999999999996</c:v>
                </c:pt>
                <c:pt idx="3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7-DB44-AC2F-3DF5BD657117}"/>
            </c:ext>
          </c:extLst>
        </c:ser>
        <c:ser>
          <c:idx val="2"/>
          <c:order val="2"/>
          <c:tx>
            <c:strRef>
              <c:f>'Bombay Dyeing'!$S$90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Dyeing'!$P$91:$P$94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Dyeing'!$S$91:$S$94</c:f>
              <c:numCache>
                <c:formatCode>General</c:formatCode>
                <c:ptCount val="4"/>
                <c:pt idx="0">
                  <c:v>0.01</c:v>
                </c:pt>
                <c:pt idx="1">
                  <c:v>0.15</c:v>
                </c:pt>
                <c:pt idx="2">
                  <c:v>0.11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7-DB44-AC2F-3DF5BD65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392079"/>
        <c:axId val="993691375"/>
      </c:barChart>
      <c:catAx>
        <c:axId val="76239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91375"/>
        <c:crosses val="autoZero"/>
        <c:auto val="1"/>
        <c:lblAlgn val="ctr"/>
        <c:lblOffset val="100"/>
        <c:noMultiLvlLbl val="0"/>
      </c:catAx>
      <c:valAx>
        <c:axId val="9936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RATIO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1-604C-BDCE-E3A315B8AEDE}"/>
              </c:ext>
            </c:extLst>
          </c:dPt>
          <c:dPt>
            <c:idx val="1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1-604C-BDCE-E3A315B8AEDE}"/>
              </c:ext>
            </c:extLst>
          </c:dPt>
          <c:dPt>
            <c:idx val="2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31-604C-BDCE-E3A315B8AEDE}"/>
              </c:ext>
            </c:extLst>
          </c:dPt>
          <c:dPt>
            <c:idx val="3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31-604C-BDCE-E3A315B8AEDE}"/>
              </c:ext>
            </c:extLst>
          </c:dPt>
          <c:dPt>
            <c:idx val="4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1-604C-BDCE-E3A315B8AEDE}"/>
              </c:ext>
            </c:extLst>
          </c:dPt>
          <c:dPt>
            <c:idx val="5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31-604C-BDCE-E3A315B8AEDE}"/>
              </c:ext>
            </c:extLst>
          </c:dPt>
          <c:dPt>
            <c:idx val="6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31-604C-BDCE-E3A315B8AEDE}"/>
              </c:ext>
            </c:extLst>
          </c:dPt>
          <c:dPt>
            <c:idx val="7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531-604C-BDCE-E3A315B8A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'SSML - Ratios (2)'!$C$27:$J$28</c:f>
              <c:multiLvlStrCache>
                <c:ptCount val="8"/>
                <c:lvl>
                  <c:pt idx="0">
                    <c:v>2021-22</c:v>
                  </c:pt>
                  <c:pt idx="1">
                    <c:v>2020-21</c:v>
                  </c:pt>
                  <c:pt idx="2">
                    <c:v>2021-22</c:v>
                  </c:pt>
                  <c:pt idx="3">
                    <c:v>2020-21</c:v>
                  </c:pt>
                  <c:pt idx="4">
                    <c:v>2021-22</c:v>
                  </c:pt>
                  <c:pt idx="5">
                    <c:v>2020-21</c:v>
                  </c:pt>
                  <c:pt idx="6">
                    <c:v>2021-22</c:v>
                  </c:pt>
                  <c:pt idx="7">
                    <c:v>2020-21</c:v>
                  </c:pt>
                </c:lvl>
                <c:lvl>
                  <c:pt idx="0">
                    <c:v>SSML</c:v>
                  </c:pt>
                  <c:pt idx="2">
                    <c:v>Raymond</c:v>
                  </c:pt>
                  <c:pt idx="4">
                    <c:v>ABFRL</c:v>
                  </c:pt>
                  <c:pt idx="6">
                    <c:v>Industry</c:v>
                  </c:pt>
                </c:lvl>
              </c:multiLvlStrCache>
            </c:multiLvlStrRef>
          </c:cat>
          <c:val>
            <c:numRef>
              <c:f>'SSML - Ratios (2)'!$C$29:$J$29</c:f>
              <c:numCache>
                <c:formatCode>General</c:formatCode>
                <c:ptCount val="8"/>
                <c:pt idx="0">
                  <c:v>2.11</c:v>
                </c:pt>
                <c:pt idx="1">
                  <c:v>2.27</c:v>
                </c:pt>
                <c:pt idx="2">
                  <c:v>1.37</c:v>
                </c:pt>
                <c:pt idx="3">
                  <c:v>1.49</c:v>
                </c:pt>
                <c:pt idx="4">
                  <c:v>1.03</c:v>
                </c:pt>
                <c:pt idx="5">
                  <c:v>1.08</c:v>
                </c:pt>
                <c:pt idx="6">
                  <c:v>1.5</c:v>
                </c:pt>
                <c:pt idx="7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1-604C-BDCE-E3A315B8A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04197232"/>
        <c:axId val="1361068992"/>
      </c:barChart>
      <c:catAx>
        <c:axId val="14041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68992"/>
        <c:crosses val="autoZero"/>
        <c:auto val="1"/>
        <c:lblAlgn val="ctr"/>
        <c:lblOffset val="100"/>
        <c:noMultiLvlLbl val="0"/>
      </c:catAx>
      <c:valAx>
        <c:axId val="1361068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41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Dyeing'!$Q$96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Dyeing'!$P$97:$P$100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Dyeing'!$Q$97:$Q$100</c:f>
              <c:numCache>
                <c:formatCode>General</c:formatCode>
                <c:ptCount val="4"/>
                <c:pt idx="0">
                  <c:v>-21.88</c:v>
                </c:pt>
                <c:pt idx="1">
                  <c:v>3.92</c:v>
                </c:pt>
                <c:pt idx="2">
                  <c:v>11.77</c:v>
                </c:pt>
                <c:pt idx="3">
                  <c:v>7.8449999999999998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E-384E-9A25-6ED86B60DF6D}"/>
            </c:ext>
          </c:extLst>
        </c:ser>
        <c:ser>
          <c:idx val="1"/>
          <c:order val="1"/>
          <c:tx>
            <c:strRef>
              <c:f>'Bombay Dyeing'!$R$96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Dyeing'!$P$97:$P$100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Dyeing'!$R$97:$R$100</c:f>
              <c:numCache>
                <c:formatCode>General</c:formatCode>
                <c:ptCount val="4"/>
                <c:pt idx="0">
                  <c:v>-38.229999999999997</c:v>
                </c:pt>
                <c:pt idx="1">
                  <c:v>1.77</c:v>
                </c:pt>
                <c:pt idx="2">
                  <c:v>7.65</c:v>
                </c:pt>
                <c:pt idx="3">
                  <c:v>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E-384E-9A25-6ED86B60DF6D}"/>
            </c:ext>
          </c:extLst>
        </c:ser>
        <c:ser>
          <c:idx val="2"/>
          <c:order val="2"/>
          <c:tx>
            <c:strRef>
              <c:f>'Bombay Dyeing'!$S$96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Dyeing'!$P$97:$P$100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Dyeing'!$S$97:$S$100</c:f>
              <c:numCache>
                <c:formatCode>General</c:formatCode>
                <c:ptCount val="4"/>
                <c:pt idx="0">
                  <c:v>16.86</c:v>
                </c:pt>
                <c:pt idx="1">
                  <c:v>4.13</c:v>
                </c:pt>
                <c:pt idx="2">
                  <c:v>7.27</c:v>
                </c:pt>
                <c:pt idx="3">
                  <c:v>5.6999999999999993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E-384E-9A25-6ED86B60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90959"/>
        <c:axId val="993689711"/>
      </c:barChart>
      <c:catAx>
        <c:axId val="99369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89711"/>
        <c:crosses val="autoZero"/>
        <c:auto val="1"/>
        <c:lblAlgn val="ctr"/>
        <c:lblOffset val="100"/>
        <c:noMultiLvlLbl val="0"/>
      </c:catAx>
      <c:valAx>
        <c:axId val="9936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 Value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9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</a:t>
            </a:r>
            <a:r>
              <a:rPr lang="en-IN" baseline="0"/>
              <a:t> Profit Ratio</a:t>
            </a:r>
            <a:r>
              <a:rPr lang="en-IN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Dyeing'!$Q$102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Dyeing'!$P$103:$P$106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Dyeing'!$Q$103:$Q$106</c:f>
              <c:numCache>
                <c:formatCode>General</c:formatCode>
                <c:ptCount val="4"/>
                <c:pt idx="0">
                  <c:v>44.38</c:v>
                </c:pt>
                <c:pt idx="1">
                  <c:v>6.48</c:v>
                </c:pt>
                <c:pt idx="2">
                  <c:v>16.690000000000001</c:v>
                </c:pt>
                <c:pt idx="3">
                  <c:v>11.585000000000001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A-AC4B-B5C0-C1EF038985DC}"/>
            </c:ext>
          </c:extLst>
        </c:ser>
        <c:ser>
          <c:idx val="1"/>
          <c:order val="1"/>
          <c:tx>
            <c:strRef>
              <c:f>'Bombay Dyeing'!$R$102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Dyeing'!$P$103:$P$106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Dyeing'!$R$103:$R$106</c:f>
              <c:numCache>
                <c:formatCode>General</c:formatCode>
                <c:ptCount val="4"/>
                <c:pt idx="0">
                  <c:v>55.52</c:v>
                </c:pt>
                <c:pt idx="1">
                  <c:v>3.73</c:v>
                </c:pt>
                <c:pt idx="2">
                  <c:v>10.49</c:v>
                </c:pt>
                <c:pt idx="3">
                  <c:v>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A-AC4B-B5C0-C1EF038985DC}"/>
            </c:ext>
          </c:extLst>
        </c:ser>
        <c:ser>
          <c:idx val="2"/>
          <c:order val="2"/>
          <c:tx>
            <c:strRef>
              <c:f>'Bombay Dyeing'!$S$102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Dyeing'!$P$103:$P$106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Dyeing'!$S$103:$S$106</c:f>
              <c:numCache>
                <c:formatCode>General</c:formatCode>
                <c:ptCount val="4"/>
                <c:pt idx="0">
                  <c:v>53.15</c:v>
                </c:pt>
                <c:pt idx="1">
                  <c:v>7.21</c:v>
                </c:pt>
                <c:pt idx="2">
                  <c:v>10.79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A-AC4B-B5C0-C1EF0389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998239"/>
        <c:axId val="914999071"/>
      </c:barChart>
      <c:catAx>
        <c:axId val="91499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99071"/>
        <c:crosses val="autoZero"/>
        <c:auto val="1"/>
        <c:lblAlgn val="ctr"/>
        <c:lblOffset val="100"/>
        <c:noMultiLvlLbl val="0"/>
      </c:catAx>
      <c:valAx>
        <c:axId val="9149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Dyeing'!$Q$108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Dyeing'!$P$109:$P$112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Dyeing'!$Q$109:$Q$112</c:f>
              <c:numCache>
                <c:formatCode>General</c:formatCode>
                <c:ptCount val="4"/>
                <c:pt idx="0">
                  <c:v>-10.89</c:v>
                </c:pt>
                <c:pt idx="1">
                  <c:v>5.28</c:v>
                </c:pt>
                <c:pt idx="2">
                  <c:v>12.67</c:v>
                </c:pt>
                <c:pt idx="3">
                  <c:v>8.9749999999999996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E-D94B-A911-41EA2B977A51}"/>
            </c:ext>
          </c:extLst>
        </c:ser>
        <c:ser>
          <c:idx val="1"/>
          <c:order val="1"/>
          <c:tx>
            <c:strRef>
              <c:f>'Bombay Dyeing'!$R$108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Dyeing'!$P$109:$P$112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Dyeing'!$R$109:$R$112</c:f>
              <c:numCache>
                <c:formatCode>General</c:formatCode>
                <c:ptCount val="4"/>
                <c:pt idx="0">
                  <c:v>-10.1</c:v>
                </c:pt>
                <c:pt idx="1">
                  <c:v>1.84</c:v>
                </c:pt>
                <c:pt idx="2">
                  <c:v>6</c:v>
                </c:pt>
                <c:pt idx="3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E-D94B-A911-41EA2B977A51}"/>
            </c:ext>
          </c:extLst>
        </c:ser>
        <c:ser>
          <c:idx val="2"/>
          <c:order val="2"/>
          <c:tx>
            <c:strRef>
              <c:f>'Bombay Dyeing'!$S$108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Dyeing'!$P$109:$P$112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Dyeing'!$S$109:$S$112</c:f>
              <c:numCache>
                <c:formatCode>General</c:formatCode>
                <c:ptCount val="4"/>
                <c:pt idx="0">
                  <c:v>6.81</c:v>
                </c:pt>
                <c:pt idx="1">
                  <c:v>6.26</c:v>
                </c:pt>
                <c:pt idx="2">
                  <c:v>5.97</c:v>
                </c:pt>
                <c:pt idx="3">
                  <c:v>6.1150000000000002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E-D94B-A911-41EA2B97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665855"/>
        <c:axId val="923662943"/>
      </c:barChart>
      <c:catAx>
        <c:axId val="92366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62943"/>
        <c:crosses val="autoZero"/>
        <c:auto val="1"/>
        <c:lblAlgn val="ctr"/>
        <c:lblOffset val="100"/>
        <c:noMultiLvlLbl val="0"/>
      </c:catAx>
      <c:valAx>
        <c:axId val="9236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Dyeing'!$Q$114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Dyeing'!$P$115:$P$118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Dyeing'!$Q$115:$Q$118</c:f>
              <c:numCache>
                <c:formatCode>General</c:formatCode>
                <c:ptCount val="4"/>
                <c:pt idx="0">
                  <c:v>-0.44</c:v>
                </c:pt>
                <c:pt idx="1">
                  <c:v>17.3</c:v>
                </c:pt>
                <c:pt idx="2">
                  <c:v>26.52</c:v>
                </c:pt>
                <c:pt idx="3">
                  <c:v>21.91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9-4D4B-84A8-E45B893A6874}"/>
            </c:ext>
          </c:extLst>
        </c:ser>
        <c:ser>
          <c:idx val="1"/>
          <c:order val="1"/>
          <c:tx>
            <c:strRef>
              <c:f>'Bombay Dyeing'!$R$114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Dyeing'!$P$115:$P$118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Dyeing'!$R$115:$R$118</c:f>
              <c:numCache>
                <c:formatCode>General</c:formatCode>
                <c:ptCount val="4"/>
                <c:pt idx="0">
                  <c:v>3.53</c:v>
                </c:pt>
                <c:pt idx="1">
                  <c:v>8.61</c:v>
                </c:pt>
                <c:pt idx="2">
                  <c:v>12.52</c:v>
                </c:pt>
                <c:pt idx="3">
                  <c:v>10.565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9-4D4B-84A8-E45B893A6874}"/>
            </c:ext>
          </c:extLst>
        </c:ser>
        <c:ser>
          <c:idx val="2"/>
          <c:order val="2"/>
          <c:tx>
            <c:strRef>
              <c:f>'Bombay Dyeing'!$S$114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Dyeing'!$P$115:$P$118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Dyeing'!$S$115:$S$118</c:f>
              <c:numCache>
                <c:formatCode>General</c:formatCode>
                <c:ptCount val="4"/>
                <c:pt idx="0">
                  <c:v>10.08</c:v>
                </c:pt>
                <c:pt idx="1">
                  <c:v>22.13</c:v>
                </c:pt>
                <c:pt idx="2">
                  <c:v>13.21</c:v>
                </c:pt>
                <c:pt idx="3">
                  <c:v>17.670000000000002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9-4D4B-84A8-E45B893A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516015"/>
        <c:axId val="992525999"/>
      </c:barChart>
      <c:catAx>
        <c:axId val="99251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25999"/>
        <c:crosses val="autoZero"/>
        <c:auto val="1"/>
        <c:lblAlgn val="ctr"/>
        <c:lblOffset val="100"/>
        <c:noMultiLvlLbl val="0"/>
      </c:catAx>
      <c:valAx>
        <c:axId val="9925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Dyeing'!$Q$120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Dyeing'!$P$121:$P$124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Dyeing'!$Q$121:$Q$124</c:f>
              <c:numCache>
                <c:formatCode>General</c:formatCode>
                <c:ptCount val="4"/>
                <c:pt idx="0">
                  <c:v>-22.31</c:v>
                </c:pt>
                <c:pt idx="1">
                  <c:v>27.31</c:v>
                </c:pt>
                <c:pt idx="2">
                  <c:v>1.63</c:v>
                </c:pt>
                <c:pt idx="3">
                  <c:v>14.469999999999999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3-5D4A-93BE-635DC2FFE5E6}"/>
            </c:ext>
          </c:extLst>
        </c:ser>
        <c:ser>
          <c:idx val="1"/>
          <c:order val="1"/>
          <c:tx>
            <c:strRef>
              <c:f>'Bombay Dyeing'!$R$120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Dyeing'!$P$121:$P$124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Dyeing'!$R$121:$R$124</c:f>
              <c:numCache>
                <c:formatCode>General</c:formatCode>
                <c:ptCount val="4"/>
                <c:pt idx="0">
                  <c:v>-22.69</c:v>
                </c:pt>
                <c:pt idx="1">
                  <c:v>8.14</c:v>
                </c:pt>
                <c:pt idx="2">
                  <c:v>0.68</c:v>
                </c:pt>
                <c:pt idx="3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3-5D4A-93BE-635DC2FFE5E6}"/>
            </c:ext>
          </c:extLst>
        </c:ser>
        <c:ser>
          <c:idx val="2"/>
          <c:order val="2"/>
          <c:tx>
            <c:strRef>
              <c:f>'Bombay Dyeing'!$S$120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Dyeing'!$P$121:$P$124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Dyeing'!$S$121:$S$124</c:f>
              <c:numCache>
                <c:formatCode>General</c:formatCode>
                <c:ptCount val="4"/>
                <c:pt idx="0">
                  <c:v>15.881</c:v>
                </c:pt>
                <c:pt idx="1">
                  <c:v>31.19</c:v>
                </c:pt>
                <c:pt idx="2">
                  <c:v>0.67</c:v>
                </c:pt>
                <c:pt idx="3">
                  <c:v>15.930000000000001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3-5D4A-93BE-635DC2FF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661279"/>
        <c:axId val="923663775"/>
      </c:barChart>
      <c:catAx>
        <c:axId val="92366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63775"/>
        <c:crosses val="autoZero"/>
        <c:auto val="1"/>
        <c:lblAlgn val="ctr"/>
        <c:lblOffset val="100"/>
        <c:noMultiLvlLbl val="0"/>
      </c:catAx>
      <c:valAx>
        <c:axId val="9236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6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Interest</a:t>
            </a:r>
            <a:r>
              <a:rPr lang="en-IN" baseline="0"/>
              <a:t> Coverage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Dyeing'!$Q$126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Dyeing'!$P$127:$P$130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Dyeing'!$Q$127:$Q$130</c:f>
              <c:numCache>
                <c:formatCode>General</c:formatCode>
                <c:ptCount val="4"/>
                <c:pt idx="0">
                  <c:v>-0.02</c:v>
                </c:pt>
                <c:pt idx="1">
                  <c:v>4.8000000000000001E-2</c:v>
                </c:pt>
                <c:pt idx="2">
                  <c:v>13.74</c:v>
                </c:pt>
                <c:pt idx="3">
                  <c:v>6.8940000000000001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2-9243-AF1B-50F4FBF00F0C}"/>
            </c:ext>
          </c:extLst>
        </c:ser>
        <c:ser>
          <c:idx val="1"/>
          <c:order val="1"/>
          <c:tx>
            <c:strRef>
              <c:f>'Bombay Dyeing'!$R$126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Dyeing'!$P$127:$P$130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Dyeing'!$R$127:$R$130</c:f>
              <c:numCache>
                <c:formatCode>General</c:formatCode>
                <c:ptCount val="4"/>
                <c:pt idx="0">
                  <c:v>0.13</c:v>
                </c:pt>
                <c:pt idx="1">
                  <c:v>0.01</c:v>
                </c:pt>
                <c:pt idx="2">
                  <c:v>7.18</c:v>
                </c:pt>
                <c:pt idx="3">
                  <c:v>3.5949999999999998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2-9243-AF1B-50F4FBF00F0C}"/>
            </c:ext>
          </c:extLst>
        </c:ser>
        <c:ser>
          <c:idx val="2"/>
          <c:order val="2"/>
          <c:tx>
            <c:strRef>
              <c:f>'Bombay Dyeing'!$S$126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Dyeing'!$P$127:$P$130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Dyeing'!$S$127:$S$130</c:f>
              <c:numCache>
                <c:formatCode>General</c:formatCode>
                <c:ptCount val="4"/>
                <c:pt idx="0">
                  <c:v>0.62</c:v>
                </c:pt>
                <c:pt idx="1">
                  <c:v>1.7000000000000001E-2</c:v>
                </c:pt>
                <c:pt idx="2">
                  <c:v>4.8</c:v>
                </c:pt>
                <c:pt idx="3">
                  <c:v>2.4085000000000001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2-9243-AF1B-50F4FBF0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925247"/>
        <c:axId val="1019909855"/>
      </c:barChart>
      <c:catAx>
        <c:axId val="10199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09855"/>
        <c:crosses val="autoZero"/>
        <c:auto val="1"/>
        <c:lblAlgn val="ctr"/>
        <c:lblOffset val="100"/>
        <c:noMultiLvlLbl val="0"/>
      </c:catAx>
      <c:valAx>
        <c:axId val="10199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Inventory</a:t>
            </a:r>
            <a:r>
              <a:rPr lang="en-IN" baseline="0"/>
              <a:t> Turnover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Dyeing'!$Q$132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Dyeing'!$P$133:$P$136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Dyeing'!$Q$133:$Q$136</c:f>
              <c:numCache>
                <c:formatCode>General</c:formatCode>
                <c:ptCount val="4"/>
                <c:pt idx="0">
                  <c:v>11.29</c:v>
                </c:pt>
                <c:pt idx="1">
                  <c:v>2.37</c:v>
                </c:pt>
                <c:pt idx="2">
                  <c:v>2.93</c:v>
                </c:pt>
                <c:pt idx="3">
                  <c:v>2.6500000000000004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4-7144-8522-FCBD97FCAE50}"/>
            </c:ext>
          </c:extLst>
        </c:ser>
        <c:ser>
          <c:idx val="1"/>
          <c:order val="1"/>
          <c:tx>
            <c:strRef>
              <c:f>'Bombay Dyeing'!$R$132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Dyeing'!$P$133:$P$136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Dyeing'!$R$133:$R$136</c:f>
              <c:numCache>
                <c:formatCode>General</c:formatCode>
                <c:ptCount val="4"/>
                <c:pt idx="0">
                  <c:v>5.97</c:v>
                </c:pt>
                <c:pt idx="1">
                  <c:v>4</c:v>
                </c:pt>
                <c:pt idx="2">
                  <c:v>4.4800000000000004</c:v>
                </c:pt>
                <c:pt idx="3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4-7144-8522-FCBD97FCAE50}"/>
            </c:ext>
          </c:extLst>
        </c:ser>
        <c:ser>
          <c:idx val="2"/>
          <c:order val="2"/>
          <c:tx>
            <c:strRef>
              <c:f>'Bombay Dyeing'!$S$132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Dyeing'!$P$133:$P$136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Dyeing'!$S$133:$S$136</c:f>
              <c:numCache>
                <c:formatCode>General</c:formatCode>
                <c:ptCount val="4"/>
                <c:pt idx="0">
                  <c:v>16.329999999999998</c:v>
                </c:pt>
                <c:pt idx="1">
                  <c:v>5.43</c:v>
                </c:pt>
                <c:pt idx="2">
                  <c:v>5.15</c:v>
                </c:pt>
                <c:pt idx="3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4-7144-8522-FCBD97FC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240863"/>
        <c:axId val="1023229215"/>
      </c:barChart>
      <c:catAx>
        <c:axId val="102324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29215"/>
        <c:crosses val="autoZero"/>
        <c:auto val="1"/>
        <c:lblAlgn val="ctr"/>
        <c:lblOffset val="100"/>
        <c:noMultiLvlLbl val="0"/>
      </c:catAx>
      <c:valAx>
        <c:axId val="10232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Fixed</a:t>
            </a:r>
            <a:r>
              <a:rPr lang="en-IN" baseline="0"/>
              <a:t> Assets Turnover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'Bombay Dyeing'!$Q$138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'Bombay Dyeing'!$P$139:$P$142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Dyeing'!$Q$139:$Q$142</c:f>
              <c:numCache>
                <c:formatCode>General</c:formatCode>
                <c:ptCount val="4"/>
                <c:pt idx="0">
                  <c:v>1.24</c:v>
                </c:pt>
                <c:pt idx="1">
                  <c:v>2</c:v>
                </c:pt>
                <c:pt idx="2">
                  <c:v>1.36</c:v>
                </c:pt>
                <c:pt idx="3">
                  <c:v>1.6800000000000002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3-FB47-8681-853E80FBAE41}"/>
            </c:ext>
          </c:extLst>
        </c:ser>
        <c:ser>
          <c:idx val="1"/>
          <c:order val="1"/>
          <c:tx>
            <c:strRef>
              <c:f>'Bombay Dyeing'!$R$138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'Bombay Dyeing'!$P$139:$P$142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Dyeing'!$R$139:$R$142</c:f>
              <c:numCache>
                <c:formatCode>General</c:formatCode>
                <c:ptCount val="4"/>
                <c:pt idx="0">
                  <c:v>0.72</c:v>
                </c:pt>
                <c:pt idx="1">
                  <c:v>1.39</c:v>
                </c:pt>
                <c:pt idx="2">
                  <c:v>0.96</c:v>
                </c:pt>
                <c:pt idx="3">
                  <c:v>1.1749999999999998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3-FB47-8681-853E80FBAE41}"/>
            </c:ext>
          </c:extLst>
        </c:ser>
        <c:ser>
          <c:idx val="2"/>
          <c:order val="2"/>
          <c:tx>
            <c:strRef>
              <c:f>'Bombay Dyeing'!$S$138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'Bombay Dyeing'!$P$139:$P$142</c:f>
              <c:strCache>
                <c:ptCount val="4"/>
                <c:pt idx="0">
                  <c:v>Bombay Dyeing</c:v>
                </c:pt>
                <c:pt idx="1">
                  <c:v>Banswara Syntex</c:v>
                </c:pt>
                <c:pt idx="2">
                  <c:v>Trident</c:v>
                </c:pt>
                <c:pt idx="3">
                  <c:v>Industry Average</c:v>
                </c:pt>
              </c:strCache>
            </c:strRef>
          </c:cat>
          <c:val>
            <c:numRef>
              <c:f>'Bombay Dyeing'!$S$139:$S$142</c:f>
              <c:numCache>
                <c:formatCode>General</c:formatCode>
                <c:ptCount val="4"/>
                <c:pt idx="0">
                  <c:v>1.27</c:v>
                </c:pt>
                <c:pt idx="1">
                  <c:v>1.96</c:v>
                </c:pt>
                <c:pt idx="2">
                  <c:v>0.98</c:v>
                </c:pt>
                <c:pt idx="3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3-FB47-8681-853E80FB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657199"/>
        <c:axId val="1037657615"/>
      </c:barChart>
      <c:catAx>
        <c:axId val="103765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57615"/>
        <c:crosses val="autoZero"/>
        <c:auto val="1"/>
        <c:lblAlgn val="ctr"/>
        <c:lblOffset val="100"/>
        <c:noMultiLvlLbl val="0"/>
      </c:catAx>
      <c:valAx>
        <c:axId val="10376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'Trident - Dividend, Stock &amp; Mkt'!$D$8</c:f>
              <c:strCache>
                <c:ptCount val="1"/>
                <c:pt idx="0">
                  <c:v>Dividend (%)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9-824F-BCF4-C53A9A740A41}"/>
              </c:ext>
            </c:extLst>
          </c:dPt>
          <c:cat>
            <c:numRef>
              <c:f>'Trident - Dividend, Stock &amp; Mkt'!$C$9:$C$16</c:f>
              <c:numCache>
                <c:formatCode>d\-mmm\-yy</c:formatCode>
                <c:ptCount val="8"/>
                <c:pt idx="0">
                  <c:v>44774</c:v>
                </c:pt>
                <c:pt idx="1">
                  <c:v>44481</c:v>
                </c:pt>
                <c:pt idx="2">
                  <c:v>44333</c:v>
                </c:pt>
                <c:pt idx="3">
                  <c:v>43873</c:v>
                </c:pt>
                <c:pt idx="4">
                  <c:v>43762</c:v>
                </c:pt>
                <c:pt idx="5">
                  <c:v>43661</c:v>
                </c:pt>
                <c:pt idx="6">
                  <c:v>43598</c:v>
                </c:pt>
                <c:pt idx="7">
                  <c:v>43472</c:v>
                </c:pt>
              </c:numCache>
            </c:numRef>
          </c:cat>
          <c:val>
            <c:numRef>
              <c:f>'Trident - Dividend, Stock &amp; Mkt'!$D$9:$D$16</c:f>
              <c:numCache>
                <c:formatCode>0%</c:formatCode>
                <c:ptCount val="8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0.18</c:v>
                </c:pt>
                <c:pt idx="4">
                  <c:v>0.09</c:v>
                </c:pt>
                <c:pt idx="5">
                  <c:v>0.09</c:v>
                </c:pt>
                <c:pt idx="6">
                  <c:v>0.06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9-824F-BCF4-C53A9A74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78880"/>
        <c:axId val="448880528"/>
      </c:barChart>
      <c:catAx>
        <c:axId val="4488788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80528"/>
        <c:crosses val="autoZero"/>
        <c:auto val="0"/>
        <c:lblAlgn val="ctr"/>
        <c:lblOffset val="100"/>
        <c:noMultiLvlLbl val="0"/>
      </c:catAx>
      <c:valAx>
        <c:axId val="4488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rgbClr val="3D3A6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  <a:latin typeface="+mn-lt"/>
              </a:rPr>
              <a:t>Textile and Apparel Exports from India</a:t>
            </a:r>
            <a:r>
              <a:rPr lang="en-US" sz="1100" b="1" baseline="0">
                <a:solidFill>
                  <a:schemeClr val="tx1"/>
                </a:solidFill>
                <a:latin typeface="+mn-lt"/>
              </a:rPr>
              <a:t> </a:t>
            </a:r>
            <a:r>
              <a:rPr lang="en-US" sz="1100" b="1">
                <a:solidFill>
                  <a:schemeClr val="tx1"/>
                </a:solidFill>
                <a:latin typeface="+mn-lt"/>
              </a:rPr>
              <a:t>(USD 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'Trident - Dividend, Stock &amp; Mkt'!$D$26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B-444B-ADAE-407E67BA499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4B-444B-ADAE-407E67BA499C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B-444B-ADAE-407E67BA499C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4B-444B-ADAE-407E67BA49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B-444B-ADAE-407E67BA499C}"/>
              </c:ext>
            </c:extLst>
          </c:dPt>
          <c:cat>
            <c:strRef>
              <c:f>'Trident - Dividend, Stock &amp; Mkt'!$C$27:$C$31</c:f>
              <c:strCache>
                <c:ptCount val="5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FY26 (Forecast)</c:v>
                </c:pt>
              </c:strCache>
            </c:strRef>
          </c:cat>
          <c:val>
            <c:numRef>
              <c:f>'Trident - Dividend, Stock &amp; Mkt'!$D$27:$D$31</c:f>
              <c:numCache>
                <c:formatCode>0.00</c:formatCode>
                <c:ptCount val="5"/>
                <c:pt idx="0">
                  <c:v>37</c:v>
                </c:pt>
                <c:pt idx="1">
                  <c:v>36</c:v>
                </c:pt>
                <c:pt idx="2">
                  <c:v>34</c:v>
                </c:pt>
                <c:pt idx="3">
                  <c:v>30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B-444B-ADAE-407E67BA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815456"/>
        <c:axId val="442817136"/>
      </c:barChart>
      <c:catAx>
        <c:axId val="4428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7136"/>
        <c:crosses val="autoZero"/>
        <c:auto val="1"/>
        <c:lblAlgn val="ctr"/>
        <c:lblOffset val="100"/>
        <c:noMultiLvlLbl val="0"/>
      </c:catAx>
      <c:valAx>
        <c:axId val="4428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rgbClr val="3D3A6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RATIO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65-AA43-AD87-88456EAB6B5F}"/>
              </c:ext>
            </c:extLst>
          </c:dPt>
          <c:dPt>
            <c:idx val="1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5-AA43-AD87-88456EAB6B5F}"/>
              </c:ext>
            </c:extLst>
          </c:dPt>
          <c:dPt>
            <c:idx val="2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65-AA43-AD87-88456EAB6B5F}"/>
              </c:ext>
            </c:extLst>
          </c:dPt>
          <c:dPt>
            <c:idx val="3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65-AA43-AD87-88456EAB6B5F}"/>
              </c:ext>
            </c:extLst>
          </c:dPt>
          <c:dPt>
            <c:idx val="4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E65-AA43-AD87-88456EAB6B5F}"/>
              </c:ext>
            </c:extLst>
          </c:dPt>
          <c:dPt>
            <c:idx val="5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E65-AA43-AD87-88456EAB6B5F}"/>
              </c:ext>
            </c:extLst>
          </c:dPt>
          <c:dPt>
            <c:idx val="6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E65-AA43-AD87-88456EAB6B5F}"/>
              </c:ext>
            </c:extLst>
          </c:dPt>
          <c:dPt>
            <c:idx val="7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E65-AA43-AD87-88456EAB6B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'SSML - Ratios (2)'!$C$47:$J$48</c:f>
              <c:multiLvlStrCache>
                <c:ptCount val="8"/>
                <c:lvl>
                  <c:pt idx="0">
                    <c:v>2021-22</c:v>
                  </c:pt>
                  <c:pt idx="1">
                    <c:v>2020-21</c:v>
                  </c:pt>
                  <c:pt idx="2">
                    <c:v>2021-22</c:v>
                  </c:pt>
                  <c:pt idx="3">
                    <c:v>2020-21</c:v>
                  </c:pt>
                  <c:pt idx="4">
                    <c:v>2021-22</c:v>
                  </c:pt>
                  <c:pt idx="5">
                    <c:v>2020-21</c:v>
                  </c:pt>
                  <c:pt idx="6">
                    <c:v>2021-22</c:v>
                  </c:pt>
                  <c:pt idx="7">
                    <c:v>2020-21</c:v>
                  </c:pt>
                </c:lvl>
                <c:lvl>
                  <c:pt idx="0">
                    <c:v>SSML</c:v>
                  </c:pt>
                  <c:pt idx="2">
                    <c:v>Raymond</c:v>
                  </c:pt>
                  <c:pt idx="4">
                    <c:v>ABFRL</c:v>
                  </c:pt>
                  <c:pt idx="6">
                    <c:v>Industry</c:v>
                  </c:pt>
                </c:lvl>
              </c:multiLvlStrCache>
            </c:multiLvlStrRef>
          </c:cat>
          <c:val>
            <c:numRef>
              <c:f>'SSML - Ratios (2)'!$C$49:$J$49</c:f>
              <c:numCache>
                <c:formatCode>General</c:formatCode>
                <c:ptCount val="8"/>
                <c:pt idx="0">
                  <c:v>1.22</c:v>
                </c:pt>
                <c:pt idx="1">
                  <c:v>1.4</c:v>
                </c:pt>
                <c:pt idx="2">
                  <c:v>0.78</c:v>
                </c:pt>
                <c:pt idx="3">
                  <c:v>0.92</c:v>
                </c:pt>
                <c:pt idx="4">
                  <c:v>0.4</c:v>
                </c:pt>
                <c:pt idx="5">
                  <c:v>0.45</c:v>
                </c:pt>
                <c:pt idx="6">
                  <c:v>0.8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65-AA43-AD87-88456EAB6B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04197232"/>
        <c:axId val="1361068992"/>
      </c:barChart>
      <c:catAx>
        <c:axId val="14041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68992"/>
        <c:crosses val="autoZero"/>
        <c:auto val="1"/>
        <c:lblAlgn val="ctr"/>
        <c:lblOffset val="100"/>
        <c:noMultiLvlLbl val="0"/>
      </c:catAx>
      <c:valAx>
        <c:axId val="1361068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41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n-lt"/>
              </a:rPr>
              <a:t>Market Capitalisation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'Trident - Dividend, Stock &amp; Mkt'!$D$42</c:f>
              <c:strCache>
                <c:ptCount val="1"/>
                <c:pt idx="0">
                  <c:v>Market Share in ₹ Cr.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24-F040-9F0B-5E0131261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4-F040-9F0B-5E0131261E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24-F040-9F0B-5E0131261E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24-F040-9F0B-5E0131261E69}"/>
              </c:ext>
            </c:extLst>
          </c:dPt>
          <c:cat>
            <c:strRef>
              <c:f>'Trident - Dividend, Stock &amp; Mkt'!$C$43:$C$46</c:f>
              <c:strCache>
                <c:ptCount val="4"/>
                <c:pt idx="0">
                  <c:v>Page Industries</c:v>
                </c:pt>
                <c:pt idx="1">
                  <c:v>KPR Mill</c:v>
                </c:pt>
                <c:pt idx="2">
                  <c:v>Trident Limited</c:v>
                </c:pt>
                <c:pt idx="3">
                  <c:v>Alok Industries</c:v>
                </c:pt>
              </c:strCache>
            </c:strRef>
          </c:cat>
          <c:val>
            <c:numRef>
              <c:f>'Trident - Dividend, Stock &amp; Mkt'!$D$43:$D$46</c:f>
              <c:numCache>
                <c:formatCode>#,##0.00</c:formatCode>
                <c:ptCount val="4"/>
                <c:pt idx="0">
                  <c:v>54445.46</c:v>
                </c:pt>
                <c:pt idx="1">
                  <c:v>19644.05</c:v>
                </c:pt>
                <c:pt idx="2">
                  <c:v>19415.59</c:v>
                </c:pt>
                <c:pt idx="3">
                  <c:v>9756.7000000000007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6-D748-BEEA-68F3C284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rgbClr val="3D3A6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latin typeface="+mn-lt"/>
              </a:rPr>
              <a:t>Liquidity</a:t>
            </a:r>
            <a:r>
              <a:rPr lang="en-IN" sz="1100" b="1" baseline="0">
                <a:latin typeface="+mn-lt"/>
              </a:rPr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'Trident - Ratio Analysis '!$O$34</c:f>
              <c:strCache>
                <c:ptCount val="1"/>
                <c:pt idx="0">
                  <c:v>KPR Mill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'!$N$35:$N$36</c:f>
              <c:strCache>
                <c:ptCount val="2"/>
                <c:pt idx="0">
                  <c:v>Current Ratio </c:v>
                </c:pt>
                <c:pt idx="1">
                  <c:v>Quick Ratio </c:v>
                </c:pt>
              </c:strCache>
            </c:strRef>
          </c:cat>
          <c:val>
            <c:numRef>
              <c:f>'Trident - Ratio Analysis '!$O$35:$O$36</c:f>
              <c:numCache>
                <c:formatCode>0.00</c:formatCode>
                <c:ptCount val="2"/>
                <c:pt idx="0">
                  <c:v>2.74</c:v>
                </c:pt>
                <c:pt idx="1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7-154A-8E5B-52CEF9D39EC1}"/>
            </c:ext>
          </c:extLst>
        </c:ser>
        <c:ser>
          <c:idx val="1"/>
          <c:order val="1"/>
          <c:tx>
            <c:strRef>
              <c:f>'Trident - Ratio Analysis '!$P$34</c:f>
              <c:strCache>
                <c:ptCount val="1"/>
                <c:pt idx="0">
                  <c:v>Page industries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'!$N$35:$N$36</c:f>
              <c:strCache>
                <c:ptCount val="2"/>
                <c:pt idx="0">
                  <c:v>Current Ratio </c:v>
                </c:pt>
                <c:pt idx="1">
                  <c:v>Quick Ratio </c:v>
                </c:pt>
              </c:strCache>
            </c:strRef>
          </c:cat>
          <c:val>
            <c:numRef>
              <c:f>'Trident - Ratio Analysis '!$P$35:$P$36</c:f>
              <c:numCache>
                <c:formatCode>0.00</c:formatCode>
                <c:ptCount val="2"/>
                <c:pt idx="0">
                  <c:v>1.67</c:v>
                </c:pt>
                <c:pt idx="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7-154A-8E5B-52CEF9D39EC1}"/>
            </c:ext>
          </c:extLst>
        </c:ser>
        <c:ser>
          <c:idx val="2"/>
          <c:order val="2"/>
          <c:tx>
            <c:strRef>
              <c:f>'Trident - Ratio Analysis '!$Q$34</c:f>
              <c:strCache>
                <c:ptCount val="1"/>
                <c:pt idx="0">
                  <c:v>Trident ltd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'!$N$35:$N$36</c:f>
              <c:strCache>
                <c:ptCount val="2"/>
                <c:pt idx="0">
                  <c:v>Current Ratio </c:v>
                </c:pt>
                <c:pt idx="1">
                  <c:v>Quick Ratio </c:v>
                </c:pt>
              </c:strCache>
            </c:strRef>
          </c:cat>
          <c:val>
            <c:numRef>
              <c:f>'Trident - Ratio Analysis '!$Q$35:$Q$36</c:f>
              <c:numCache>
                <c:formatCode>0.00</c:formatCode>
                <c:ptCount val="2"/>
                <c:pt idx="0">
                  <c:v>1.25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7-154A-8E5B-52CEF9D39EC1}"/>
            </c:ext>
          </c:extLst>
        </c:ser>
        <c:ser>
          <c:idx val="3"/>
          <c:order val="3"/>
          <c:tx>
            <c:strRef>
              <c:f>'Trident - Ratio Analysis '!$R$34</c:f>
              <c:strCache>
                <c:ptCount val="1"/>
                <c:pt idx="0">
                  <c:v>Industry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'!$N$35:$N$36</c:f>
              <c:strCache>
                <c:ptCount val="2"/>
                <c:pt idx="0">
                  <c:v>Current Ratio </c:v>
                </c:pt>
                <c:pt idx="1">
                  <c:v>Quick Ratio </c:v>
                </c:pt>
              </c:strCache>
            </c:strRef>
          </c:cat>
          <c:val>
            <c:numRef>
              <c:f>'Trident - Ratio Analysis '!$R$35:$R$36</c:f>
              <c:numCache>
                <c:formatCode>0.00</c:formatCode>
                <c:ptCount val="2"/>
                <c:pt idx="0">
                  <c:v>1.8866666666666667</c:v>
                </c:pt>
                <c:pt idx="1">
                  <c:v>0.90666666666666673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7-154A-8E5B-52CEF9D39E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2443440"/>
        <c:axId val="1972425968"/>
      </c:barChart>
      <c:catAx>
        <c:axId val="197244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25968"/>
        <c:crosses val="autoZero"/>
        <c:auto val="1"/>
        <c:lblAlgn val="ctr"/>
        <c:lblOffset val="100"/>
        <c:noMultiLvlLbl val="0"/>
      </c:catAx>
      <c:valAx>
        <c:axId val="19724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3D3A6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'Trident - Ratio Analysis '!$N$37</c:f>
              <c:strCache>
                <c:ptCount val="1"/>
                <c:pt idx="0">
                  <c:v>Debt-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'!$O$34:$R$34</c:f>
              <c:strCache>
                <c:ptCount val="4"/>
                <c:pt idx="0">
                  <c:v>KPR Mill </c:v>
                </c:pt>
                <c:pt idx="1">
                  <c:v>Page industries </c:v>
                </c:pt>
                <c:pt idx="2">
                  <c:v>Trident ltd </c:v>
                </c:pt>
                <c:pt idx="3">
                  <c:v>Industry avg</c:v>
                </c:pt>
              </c:strCache>
            </c:strRef>
          </c:cat>
          <c:val>
            <c:numRef>
              <c:f>'Trident - Ratio Analysis '!$O$37:$R$37</c:f>
              <c:numCache>
                <c:formatCode>0.00</c:formatCode>
                <c:ptCount val="4"/>
                <c:pt idx="0">
                  <c:v>0.16</c:v>
                </c:pt>
                <c:pt idx="1">
                  <c:v>0</c:v>
                </c:pt>
                <c:pt idx="2">
                  <c:v>0.69</c:v>
                </c:pt>
                <c:pt idx="3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034E-92F1-A45DBAD01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521151"/>
        <c:axId val="259521567"/>
      </c:barChart>
      <c:catAx>
        <c:axId val="2595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21567"/>
        <c:crosses val="autoZero"/>
        <c:auto val="1"/>
        <c:lblAlgn val="ctr"/>
        <c:lblOffset val="100"/>
        <c:noMultiLvlLbl val="0"/>
      </c:catAx>
      <c:valAx>
        <c:axId val="2595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Profitability</a:t>
            </a:r>
            <a:r>
              <a:rPr lang="en-IN" sz="1100" b="1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'Trident - Ratio Analysis '!$O$34</c:f>
              <c:strCache>
                <c:ptCount val="1"/>
                <c:pt idx="0">
                  <c:v>KPR Mill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'!$N$38:$N$41</c:f>
              <c:strCache>
                <c:ptCount val="4"/>
                <c:pt idx="0">
                  <c:v>Net profit Ratio</c:v>
                </c:pt>
                <c:pt idx="1">
                  <c:v>ROCE</c:v>
                </c:pt>
                <c:pt idx="2">
                  <c:v>ROA </c:v>
                </c:pt>
                <c:pt idx="3">
                  <c:v>ROE</c:v>
                </c:pt>
              </c:strCache>
            </c:strRef>
          </c:cat>
          <c:val>
            <c:numRef>
              <c:f>'Trident - Ratio Analysis '!$O$38:$O$41</c:f>
              <c:numCache>
                <c:formatCode>0.00</c:formatCode>
                <c:ptCount val="4"/>
                <c:pt idx="0">
                  <c:v>17.93</c:v>
                </c:pt>
                <c:pt idx="1">
                  <c:v>37.1</c:v>
                </c:pt>
                <c:pt idx="2">
                  <c:v>21.75</c:v>
                </c:pt>
                <c:pt idx="3">
                  <c:v>27.76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5-6140-8467-BD6DB104398E}"/>
            </c:ext>
          </c:extLst>
        </c:ser>
        <c:ser>
          <c:idx val="1"/>
          <c:order val="1"/>
          <c:tx>
            <c:strRef>
              <c:f>'Trident - Ratio Analysis '!$P$34</c:f>
              <c:strCache>
                <c:ptCount val="1"/>
                <c:pt idx="0">
                  <c:v>Page industries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'!$N$38:$N$41</c:f>
              <c:strCache>
                <c:ptCount val="4"/>
                <c:pt idx="0">
                  <c:v>Net profit Ratio</c:v>
                </c:pt>
                <c:pt idx="1">
                  <c:v>ROCE</c:v>
                </c:pt>
                <c:pt idx="2">
                  <c:v>ROA </c:v>
                </c:pt>
                <c:pt idx="3">
                  <c:v>ROE</c:v>
                </c:pt>
              </c:strCache>
            </c:strRef>
          </c:cat>
          <c:val>
            <c:numRef>
              <c:f>'Trident - Ratio Analysis '!$P$38:$P$41</c:f>
              <c:numCache>
                <c:formatCode>0.00</c:formatCode>
                <c:ptCount val="4"/>
                <c:pt idx="0">
                  <c:v>13.8</c:v>
                </c:pt>
                <c:pt idx="1">
                  <c:v>63.92</c:v>
                </c:pt>
                <c:pt idx="2">
                  <c:v>25.46</c:v>
                </c:pt>
                <c:pt idx="3">
                  <c:v>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5-6140-8467-BD6DB104398E}"/>
            </c:ext>
          </c:extLst>
        </c:ser>
        <c:ser>
          <c:idx val="2"/>
          <c:order val="2"/>
          <c:tx>
            <c:strRef>
              <c:f>'Trident - Ratio Analysis '!$Q$34</c:f>
              <c:strCache>
                <c:ptCount val="1"/>
                <c:pt idx="0">
                  <c:v>Trident ltd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'!$N$38:$N$41</c:f>
              <c:strCache>
                <c:ptCount val="4"/>
                <c:pt idx="0">
                  <c:v>Net profit Ratio</c:v>
                </c:pt>
                <c:pt idx="1">
                  <c:v>ROCE</c:v>
                </c:pt>
                <c:pt idx="2">
                  <c:v>ROA </c:v>
                </c:pt>
                <c:pt idx="3">
                  <c:v>ROE</c:v>
                </c:pt>
              </c:strCache>
            </c:strRef>
          </c:cat>
          <c:val>
            <c:numRef>
              <c:f>'Trident - Ratio Analysis '!$Q$38:$Q$41</c:f>
              <c:numCache>
                <c:formatCode>0.00</c:formatCode>
                <c:ptCount val="4"/>
                <c:pt idx="0">
                  <c:v>11.74</c:v>
                </c:pt>
                <c:pt idx="1">
                  <c:v>28.59</c:v>
                </c:pt>
                <c:pt idx="2">
                  <c:v>12.67</c:v>
                </c:pt>
                <c:pt idx="3">
                  <c:v>21.46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5-6140-8467-BD6DB104398E}"/>
            </c:ext>
          </c:extLst>
        </c:ser>
        <c:ser>
          <c:idx val="3"/>
          <c:order val="3"/>
          <c:tx>
            <c:strRef>
              <c:f>'Trident - Ratio Analysis '!$R$34</c:f>
              <c:strCache>
                <c:ptCount val="1"/>
                <c:pt idx="0">
                  <c:v>Industry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'!$N$38:$N$41</c:f>
              <c:strCache>
                <c:ptCount val="4"/>
                <c:pt idx="0">
                  <c:v>Net profit Ratio</c:v>
                </c:pt>
                <c:pt idx="1">
                  <c:v>ROCE</c:v>
                </c:pt>
                <c:pt idx="2">
                  <c:v>ROA </c:v>
                </c:pt>
                <c:pt idx="3">
                  <c:v>ROE</c:v>
                </c:pt>
              </c:strCache>
            </c:strRef>
          </c:cat>
          <c:val>
            <c:numRef>
              <c:f>'Trident - Ratio Analysis '!$R$38:$R$41</c:f>
              <c:numCache>
                <c:formatCode>0.00</c:formatCode>
                <c:ptCount val="4"/>
                <c:pt idx="0">
                  <c:v>14.49</c:v>
                </c:pt>
                <c:pt idx="1">
                  <c:v>43.20333333333334</c:v>
                </c:pt>
                <c:pt idx="2">
                  <c:v>19.96</c:v>
                </c:pt>
                <c:pt idx="3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5-6140-8467-BD6DB10439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2438032"/>
        <c:axId val="1972445936"/>
      </c:barChart>
      <c:catAx>
        <c:axId val="19724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45936"/>
        <c:crosses val="autoZero"/>
        <c:auto val="1"/>
        <c:lblAlgn val="ctr"/>
        <c:lblOffset val="100"/>
        <c:noMultiLvlLbl val="0"/>
      </c:catAx>
      <c:valAx>
        <c:axId val="19724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Activity</a:t>
            </a:r>
            <a:r>
              <a:rPr lang="en-IN" sz="1100" b="1" baseline="0"/>
              <a:t> Ratios</a:t>
            </a:r>
          </a:p>
          <a:p>
            <a:pPr>
              <a:defRPr sz="1100" b="1"/>
            </a:pP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'Trident - Ratio Analysis '!$O$34</c:f>
              <c:strCache>
                <c:ptCount val="1"/>
                <c:pt idx="0">
                  <c:v>KPR Mill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'!$N$43:$N$44</c:f>
              <c:strCache>
                <c:ptCount val="2"/>
                <c:pt idx="0">
                  <c:v>Asset turnover ratio </c:v>
                </c:pt>
                <c:pt idx="1">
                  <c:v>Inventory turnover ratio</c:v>
                </c:pt>
              </c:strCache>
            </c:strRef>
          </c:cat>
          <c:val>
            <c:numRef>
              <c:f>'Trident - Ratio Analysis '!$O$43:$O$44</c:f>
              <c:numCache>
                <c:formatCode>0.00</c:formatCode>
                <c:ptCount val="2"/>
                <c:pt idx="0">
                  <c:v>1.39</c:v>
                </c:pt>
                <c:pt idx="1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C-9C46-9666-383CCECA9A83}"/>
            </c:ext>
          </c:extLst>
        </c:ser>
        <c:ser>
          <c:idx val="1"/>
          <c:order val="1"/>
          <c:tx>
            <c:strRef>
              <c:f>'Trident - Ratio Analysis '!$P$34</c:f>
              <c:strCache>
                <c:ptCount val="1"/>
                <c:pt idx="0">
                  <c:v>Page industries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'!$N$43:$N$44</c:f>
              <c:strCache>
                <c:ptCount val="2"/>
                <c:pt idx="0">
                  <c:v>Asset turnover ratio </c:v>
                </c:pt>
                <c:pt idx="1">
                  <c:v>Inventory turnover ratio</c:v>
                </c:pt>
              </c:strCache>
            </c:strRef>
          </c:cat>
          <c:val>
            <c:numRef>
              <c:f>'Trident - Ratio Analysis '!$P$43:$P$44</c:f>
              <c:numCache>
                <c:formatCode>0.00</c:formatCode>
                <c:ptCount val="2"/>
                <c:pt idx="0">
                  <c:v>2.0499999999999998</c:v>
                </c:pt>
                <c:pt idx="1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C-9C46-9666-383CCECA9A83}"/>
            </c:ext>
          </c:extLst>
        </c:ser>
        <c:ser>
          <c:idx val="2"/>
          <c:order val="2"/>
          <c:tx>
            <c:strRef>
              <c:f>'Trident - Ratio Analysis '!$Q$34</c:f>
              <c:strCache>
                <c:ptCount val="1"/>
                <c:pt idx="0">
                  <c:v>Trident ltd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'!$N$43:$N$44</c:f>
              <c:strCache>
                <c:ptCount val="2"/>
                <c:pt idx="0">
                  <c:v>Asset turnover ratio </c:v>
                </c:pt>
                <c:pt idx="1">
                  <c:v>Inventory turnover ratio</c:v>
                </c:pt>
              </c:strCache>
            </c:strRef>
          </c:cat>
          <c:val>
            <c:numRef>
              <c:f>'Trident - Ratio Analysis '!$Q$43:$Q$44</c:f>
              <c:numCache>
                <c:formatCode>0.00</c:formatCode>
                <c:ptCount val="2"/>
                <c:pt idx="0">
                  <c:v>2.11</c:v>
                </c:pt>
                <c:pt idx="1">
                  <c:v>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C-9C46-9666-383CCECA9A83}"/>
            </c:ext>
          </c:extLst>
        </c:ser>
        <c:ser>
          <c:idx val="3"/>
          <c:order val="3"/>
          <c:tx>
            <c:strRef>
              <c:f>'Trident - Ratio Analysis '!$R$34</c:f>
              <c:strCache>
                <c:ptCount val="1"/>
                <c:pt idx="0">
                  <c:v>Industry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'!$N$43:$N$44</c:f>
              <c:strCache>
                <c:ptCount val="2"/>
                <c:pt idx="0">
                  <c:v>Asset turnover ratio </c:v>
                </c:pt>
                <c:pt idx="1">
                  <c:v>Inventory turnover ratio</c:v>
                </c:pt>
              </c:strCache>
            </c:strRef>
          </c:cat>
          <c:val>
            <c:numRef>
              <c:f>'Trident - Ratio Analysis '!$R$43:$R$44</c:f>
              <c:numCache>
                <c:formatCode>0.00</c:formatCode>
                <c:ptCount val="2"/>
                <c:pt idx="0">
                  <c:v>1.8499999999999996</c:v>
                </c:pt>
                <c:pt idx="1">
                  <c:v>2.8699999999999997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C-9C46-9666-383CCECA9A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385056"/>
        <c:axId val="1920365920"/>
      </c:barChart>
      <c:catAx>
        <c:axId val="19203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65920"/>
        <c:crosses val="autoZero"/>
        <c:auto val="1"/>
        <c:lblAlgn val="ctr"/>
        <c:lblOffset val="100"/>
        <c:noMultiLvlLbl val="0"/>
      </c:catAx>
      <c:valAx>
        <c:axId val="19203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Valuation</a:t>
            </a:r>
            <a:r>
              <a:rPr lang="en-US" sz="1100" b="1" baseline="0"/>
              <a:t> Ratios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'Trident - Ratio Analysis '!$N$42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'Trident - Ratio Analysis '!$O$34:$R$34</c:f>
              <c:strCache>
                <c:ptCount val="4"/>
                <c:pt idx="0">
                  <c:v>KPR Mill </c:v>
                </c:pt>
                <c:pt idx="1">
                  <c:v>Page industries </c:v>
                </c:pt>
                <c:pt idx="2">
                  <c:v>Trident ltd </c:v>
                </c:pt>
                <c:pt idx="3">
                  <c:v>Industry avg</c:v>
                </c:pt>
              </c:strCache>
            </c:strRef>
          </c:cat>
          <c:val>
            <c:numRef>
              <c:f>'Trident - Ratio Analysis '!$O$42:$R$42</c:f>
              <c:numCache>
                <c:formatCode>0.00</c:formatCode>
                <c:ptCount val="4"/>
                <c:pt idx="0">
                  <c:v>21.24</c:v>
                </c:pt>
                <c:pt idx="1">
                  <c:v>481.03</c:v>
                </c:pt>
                <c:pt idx="2">
                  <c:v>1.6</c:v>
                </c:pt>
                <c:pt idx="3">
                  <c:v>167.95666666666668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D-A748-BC7C-AE6756A900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0387136"/>
        <c:axId val="1920383392"/>
      </c:barChart>
      <c:catAx>
        <c:axId val="192038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83392"/>
        <c:crosses val="autoZero"/>
        <c:auto val="1"/>
        <c:lblAlgn val="ctr"/>
        <c:lblOffset val="100"/>
        <c:noMultiLvlLbl val="0"/>
      </c:catAx>
      <c:valAx>
        <c:axId val="19203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'Rupa - Dividend'!$D$4</c:f>
              <c:strCache>
                <c:ptCount val="1"/>
                <c:pt idx="0">
                  <c:v>Dividend (Rs)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'Rupa - Dividend'!$C$5:$C$16</c:f>
              <c:numCache>
                <c:formatCode>m/d/yyyy</c:formatCode>
                <c:ptCount val="12"/>
                <c:pt idx="0">
                  <c:v>44704</c:v>
                </c:pt>
                <c:pt idx="1">
                  <c:v>44347</c:v>
                </c:pt>
                <c:pt idx="2">
                  <c:v>44348</c:v>
                </c:pt>
                <c:pt idx="3">
                  <c:v>44008</c:v>
                </c:pt>
                <c:pt idx="4">
                  <c:v>43612</c:v>
                </c:pt>
                <c:pt idx="5">
                  <c:v>43243</c:v>
                </c:pt>
                <c:pt idx="6">
                  <c:v>42888</c:v>
                </c:pt>
                <c:pt idx="7">
                  <c:v>42433</c:v>
                </c:pt>
                <c:pt idx="8">
                  <c:v>42145</c:v>
                </c:pt>
                <c:pt idx="9">
                  <c:v>41792</c:v>
                </c:pt>
                <c:pt idx="10">
                  <c:v>41425</c:v>
                </c:pt>
                <c:pt idx="11">
                  <c:v>41058</c:v>
                </c:pt>
              </c:numCache>
            </c:numRef>
          </c:cat>
          <c:val>
            <c:numRef>
              <c:f>'Rupa - Dividend'!$D$5:$D$16</c:f>
              <c:numCache>
                <c:formatCode>0.00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2.75</c:v>
                </c:pt>
                <c:pt idx="7">
                  <c:v>2.75</c:v>
                </c:pt>
                <c:pt idx="8">
                  <c:v>2.75</c:v>
                </c:pt>
                <c:pt idx="9">
                  <c:v>2.5</c:v>
                </c:pt>
                <c:pt idx="10">
                  <c:v>2</c:v>
                </c:pt>
                <c:pt idx="1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7745-91B4-58079567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837856"/>
        <c:axId val="1158913664"/>
      </c:barChart>
      <c:dateAx>
        <c:axId val="1158837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13664"/>
        <c:crosses val="autoZero"/>
        <c:auto val="1"/>
        <c:lblOffset val="100"/>
        <c:baseTimeUnit val="days"/>
      </c:dateAx>
      <c:valAx>
        <c:axId val="1158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</a:t>
            </a:r>
            <a:r>
              <a:rPr lang="en-GB" baseline="0"/>
              <a:t> Performance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'Rupa - Share Data'!$I$1</c:f>
              <c:strCache>
                <c:ptCount val="1"/>
                <c:pt idx="0">
                  <c:v>ARVIND.NS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'Rupa - Share Data'!$B$2:$B$13</c:f>
              <c:numCache>
                <c:formatCode>m/d/yyyy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'Rupa - Share Data'!$I$2:$I$13</c:f>
              <c:numCache>
                <c:formatCode>0.00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80.699996999999996</c:v>
                </c:pt>
                <c:pt idx="3">
                  <c:v>78.5</c:v>
                </c:pt>
                <c:pt idx="4">
                  <c:v>105.099998</c:v>
                </c:pt>
                <c:pt idx="5">
                  <c:v>90.900002000000001</c:v>
                </c:pt>
                <c:pt idx="6">
                  <c:v>93.75</c:v>
                </c:pt>
                <c:pt idx="7">
                  <c:v>132.39999399999999</c:v>
                </c:pt>
                <c:pt idx="8">
                  <c:v>118</c:v>
                </c:pt>
                <c:pt idx="9">
                  <c:v>120.75</c:v>
                </c:pt>
                <c:pt idx="10">
                  <c:v>145.800003</c:v>
                </c:pt>
                <c:pt idx="11">
                  <c:v>117.849998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2-B242-8215-6028CE251F22}"/>
            </c:ext>
          </c:extLst>
        </c:ser>
        <c:ser>
          <c:idx val="2"/>
          <c:order val="1"/>
          <c:tx>
            <c:strRef>
              <c:f>'Rupa - Share Data'!$C$1</c:f>
              <c:strCache>
                <c:ptCount val="1"/>
                <c:pt idx="0">
                  <c:v>RUPA.NS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'Rupa - Share Data'!$B$2:$B$13</c:f>
              <c:numCache>
                <c:formatCode>m/d/yyyy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'Rupa - Share Data'!$C$2:$C$13</c:f>
              <c:numCache>
                <c:formatCode>0.00</c:formatCode>
                <c:ptCount val="12"/>
                <c:pt idx="0">
                  <c:v>309.89999399999999</c:v>
                </c:pt>
                <c:pt idx="1">
                  <c:v>289.5</c:v>
                </c:pt>
                <c:pt idx="2">
                  <c:v>458</c:v>
                </c:pt>
                <c:pt idx="3">
                  <c:v>476.85000600000001</c:v>
                </c:pt>
                <c:pt idx="4">
                  <c:v>543</c:v>
                </c:pt>
                <c:pt idx="5">
                  <c:v>436</c:v>
                </c:pt>
                <c:pt idx="6">
                  <c:v>448</c:v>
                </c:pt>
                <c:pt idx="7">
                  <c:v>476</c:v>
                </c:pt>
                <c:pt idx="8">
                  <c:v>424.95001200000002</c:v>
                </c:pt>
                <c:pt idx="9">
                  <c:v>442</c:v>
                </c:pt>
                <c:pt idx="10">
                  <c:v>508</c:v>
                </c:pt>
                <c:pt idx="11">
                  <c:v>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2-B242-8215-6028CE251F22}"/>
            </c:ext>
          </c:extLst>
        </c:ser>
        <c:ser>
          <c:idx val="1"/>
          <c:order val="2"/>
          <c:tx>
            <c:strRef>
              <c:f>'Rupa - Share Data'!$F$1</c:f>
              <c:strCache>
                <c:ptCount val="1"/>
                <c:pt idx="0">
                  <c:v>LUXIND.NS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'Rupa - Share Data'!$B$2:$B$13</c:f>
              <c:numCache>
                <c:formatCode>m/d/yyyy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'Rupa - Share Data'!$F$2:$F$13</c:f>
              <c:numCache>
                <c:formatCode>0.00</c:formatCode>
                <c:ptCount val="12"/>
                <c:pt idx="0">
                  <c:v>1748</c:v>
                </c:pt>
                <c:pt idx="1">
                  <c:v>1904.90002</c:v>
                </c:pt>
                <c:pt idx="2">
                  <c:v>3133.25</c:v>
                </c:pt>
                <c:pt idx="3">
                  <c:v>3588.4499500000002</c:v>
                </c:pt>
                <c:pt idx="4">
                  <c:v>4162</c:v>
                </c:pt>
                <c:pt idx="5">
                  <c:v>3993.25</c:v>
                </c:pt>
                <c:pt idx="6">
                  <c:v>3503</c:v>
                </c:pt>
                <c:pt idx="7">
                  <c:v>3562</c:v>
                </c:pt>
                <c:pt idx="8">
                  <c:v>3760</c:v>
                </c:pt>
                <c:pt idx="9">
                  <c:v>3690</c:v>
                </c:pt>
                <c:pt idx="10">
                  <c:v>2739.6999500000002</c:v>
                </c:pt>
                <c:pt idx="11">
                  <c:v>2474.5500499999998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2-B242-8215-6028CE25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920496"/>
        <c:axId val="1158922144"/>
      </c:lineChart>
      <c:dateAx>
        <c:axId val="1158920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22144"/>
        <c:crosses val="autoZero"/>
        <c:auto val="1"/>
        <c:lblOffset val="100"/>
        <c:baseTimeUnit val="months"/>
      </c:dateAx>
      <c:valAx>
        <c:axId val="11589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latin typeface="+mn-lt"/>
              </a:rPr>
              <a:t>Market</a:t>
            </a:r>
            <a:r>
              <a:rPr lang="en-GB" sz="1100" b="1" baseline="0">
                <a:latin typeface="+mn-lt"/>
              </a:rPr>
              <a:t> Capitalisation</a:t>
            </a:r>
            <a:endParaRPr lang="en-GB" sz="11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6C45-8876-C505D0234F9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6C45-8876-C505D0234F9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41-6C45-8876-C505D0234F9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41-6C45-8876-C505D0234F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'Rupa - Market Cap'!$B$1:$B$4</c:f>
              <c:strCache>
                <c:ptCount val="4"/>
                <c:pt idx="0">
                  <c:v>Others</c:v>
                </c:pt>
                <c:pt idx="1">
                  <c:v>Market Capitalization of Rupa</c:v>
                </c:pt>
                <c:pt idx="2">
                  <c:v>Market Capitalization of Page Industries</c:v>
                </c:pt>
                <c:pt idx="3">
                  <c:v>Market Capitalization of Arvind Industries</c:v>
                </c:pt>
              </c:strCache>
            </c:strRef>
          </c:cat>
          <c:val>
            <c:numRef>
              <c:f>'Rupa - Market Cap'!$C$1:$C$4</c:f>
              <c:numCache>
                <c:formatCode>#,##0.00</c:formatCode>
                <c:ptCount val="4"/>
                <c:pt idx="0" formatCode="#,##0">
                  <c:v>16000000000</c:v>
                </c:pt>
                <c:pt idx="1">
                  <c:v>348967539</c:v>
                </c:pt>
                <c:pt idx="2" formatCode="#,##0">
                  <c:v>6887811963</c:v>
                </c:pt>
                <c:pt idx="3" formatCode="#,##0">
                  <c:v>357351444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41-6C45-8876-C505D0234F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'Rupa - Ratios'!$A$5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'Rupa - Ratios'!$C$5:$D$5</c:f>
              <c:numCache>
                <c:formatCode>0.00</c:formatCode>
                <c:ptCount val="2"/>
                <c:pt idx="0">
                  <c:v>2.0170827801304974</c:v>
                </c:pt>
                <c:pt idx="1">
                  <c:v>2.3171659223181917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1-F642-8113-B4750C59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7088368"/>
        <c:axId val="1837090016"/>
      </c:barChart>
      <c:catAx>
        <c:axId val="183708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90016"/>
        <c:crosses val="autoZero"/>
        <c:auto val="1"/>
        <c:lblAlgn val="ctr"/>
        <c:lblOffset val="100"/>
        <c:noMultiLvlLbl val="0"/>
      </c:catAx>
      <c:valAx>
        <c:axId val="18370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'SSML - Ratios (2)'!$B$69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2-CA4B-8FDC-2B8A3713216F}"/>
              </c:ext>
            </c:extLst>
          </c:dPt>
          <c:dPt>
            <c:idx val="1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2-CA4B-8FDC-2B8A3713216F}"/>
              </c:ext>
            </c:extLst>
          </c:dPt>
          <c:dPt>
            <c:idx val="2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42-CA4B-8FDC-2B8A3713216F}"/>
              </c:ext>
            </c:extLst>
          </c:dPt>
          <c:dPt>
            <c:idx val="3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42-CA4B-8FDC-2B8A3713216F}"/>
              </c:ext>
            </c:extLst>
          </c:dPt>
          <c:dPt>
            <c:idx val="4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2-CA4B-8FDC-2B8A3713216F}"/>
              </c:ext>
            </c:extLst>
          </c:dPt>
          <c:dPt>
            <c:idx val="5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42-CA4B-8FDC-2B8A3713216F}"/>
              </c:ext>
            </c:extLst>
          </c:dPt>
          <c:dPt>
            <c:idx val="6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42-CA4B-8FDC-2B8A3713216F}"/>
              </c:ext>
            </c:extLst>
          </c:dPt>
          <c:dPt>
            <c:idx val="7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942-CA4B-8FDC-2B8A371321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'SSML - Ratios (2)'!$C$67:$J$68</c:f>
              <c:multiLvlStrCache>
                <c:ptCount val="8"/>
                <c:lvl>
                  <c:pt idx="0">
                    <c:v>2021-22</c:v>
                  </c:pt>
                  <c:pt idx="1">
                    <c:v>2020-21</c:v>
                  </c:pt>
                  <c:pt idx="2">
                    <c:v>2021-22</c:v>
                  </c:pt>
                  <c:pt idx="3">
                    <c:v>2020-21</c:v>
                  </c:pt>
                  <c:pt idx="4">
                    <c:v>2021-22</c:v>
                  </c:pt>
                  <c:pt idx="5">
                    <c:v>2020-21</c:v>
                  </c:pt>
                  <c:pt idx="6">
                    <c:v>2021-22</c:v>
                  </c:pt>
                  <c:pt idx="7">
                    <c:v>2020-21</c:v>
                  </c:pt>
                </c:lvl>
                <c:lvl>
                  <c:pt idx="0">
                    <c:v>SSML</c:v>
                  </c:pt>
                  <c:pt idx="2">
                    <c:v>Raymond</c:v>
                  </c:pt>
                  <c:pt idx="4">
                    <c:v>ABFRL</c:v>
                  </c:pt>
                  <c:pt idx="6">
                    <c:v>Industry</c:v>
                  </c:pt>
                </c:lvl>
              </c:multiLvlStrCache>
            </c:multiLvlStrRef>
          </c:cat>
          <c:val>
            <c:numRef>
              <c:f>'SSML - Ratios (2)'!$C$69:$J$69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0.25</c:v>
                </c:pt>
                <c:pt idx="2">
                  <c:v>0.95</c:v>
                </c:pt>
                <c:pt idx="3">
                  <c:v>0.85</c:v>
                </c:pt>
                <c:pt idx="4">
                  <c:v>0.17</c:v>
                </c:pt>
                <c:pt idx="5">
                  <c:v>0.22</c:v>
                </c:pt>
                <c:pt idx="6">
                  <c:v>0.47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2-CA4B-8FDC-2B8A371321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32357183"/>
        <c:axId val="1233069471"/>
      </c:barChart>
      <c:catAx>
        <c:axId val="12323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69471"/>
        <c:crosses val="autoZero"/>
        <c:auto val="1"/>
        <c:lblAlgn val="ctr"/>
        <c:lblOffset val="100"/>
        <c:noMultiLvlLbl val="0"/>
      </c:catAx>
      <c:valAx>
        <c:axId val="1233069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23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'Rupa - Ratios'!$A$6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'Rupa - Ratios'!$C$6:$D$6</c:f>
              <c:numCache>
                <c:formatCode>0.00</c:formatCode>
                <c:ptCount val="2"/>
                <c:pt idx="0">
                  <c:v>1.1227658166631795</c:v>
                </c:pt>
                <c:pt idx="1">
                  <c:v>1.3361739170971119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C-4242-AAF5-937DBEEA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472752"/>
        <c:axId val="460474400"/>
      </c:barChart>
      <c:catAx>
        <c:axId val="46047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4400"/>
        <c:crosses val="autoZero"/>
        <c:auto val="1"/>
        <c:lblAlgn val="ctr"/>
        <c:lblOffset val="100"/>
        <c:noMultiLvlLbl val="0"/>
      </c:catAx>
      <c:valAx>
        <c:axId val="4604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'Rupa - Ratios'!$A$9</c:f>
              <c:strCache>
                <c:ptCount val="1"/>
                <c:pt idx="0">
                  <c:v>Debt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'Rupa - Ratios'!$C$9:$D$9</c:f>
              <c:numCache>
                <c:formatCode>0.00</c:formatCode>
                <c:ptCount val="2"/>
                <c:pt idx="0">
                  <c:v>0.42144817787055322</c:v>
                </c:pt>
                <c:pt idx="1">
                  <c:v>0.18395673788522915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EB45-B4A7-0FD1A793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7850624"/>
        <c:axId val="467852304"/>
      </c:barChart>
      <c:catAx>
        <c:axId val="46785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52304"/>
        <c:crosses val="autoZero"/>
        <c:auto val="1"/>
        <c:lblAlgn val="ctr"/>
        <c:lblOffset val="100"/>
        <c:noMultiLvlLbl val="0"/>
      </c:catAx>
      <c:valAx>
        <c:axId val="4678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Market Capitalisation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5C-5340-9981-95CD72F431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5C-5340-9981-95CD72F431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5C-5340-9981-95CD72F431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5C-5340-9981-95CD72F431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5C-5340-9981-95CD72F431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5C-5340-9981-95CD72F43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'Page - Ratios Analysis'!$J$38:$J$43</c:f>
              <c:strCache>
                <c:ptCount val="6"/>
                <c:pt idx="0">
                  <c:v>Page Industries</c:v>
                </c:pt>
                <c:pt idx="1">
                  <c:v>KPR Mills </c:v>
                </c:pt>
                <c:pt idx="2">
                  <c:v>Arvind Ltd</c:v>
                </c:pt>
                <c:pt idx="3">
                  <c:v>Trident</c:v>
                </c:pt>
                <c:pt idx="4">
                  <c:v>Alok Industries</c:v>
                </c:pt>
                <c:pt idx="5">
                  <c:v>Raymond</c:v>
                </c:pt>
              </c:strCache>
            </c:strRef>
          </c:cat>
          <c:val>
            <c:numRef>
              <c:f>'Page - Ratios Analysis'!$L$38:$L$43</c:f>
              <c:numCache>
                <c:formatCode>0.00</c:formatCode>
                <c:ptCount val="6"/>
                <c:pt idx="0">
                  <c:v>54857</c:v>
                </c:pt>
                <c:pt idx="1">
                  <c:v>20188</c:v>
                </c:pt>
                <c:pt idx="2">
                  <c:v>2840</c:v>
                </c:pt>
                <c:pt idx="3" formatCode="General">
                  <c:v>19415.59</c:v>
                </c:pt>
                <c:pt idx="4" formatCode="General">
                  <c:v>9781.52</c:v>
                </c:pt>
                <c:pt idx="5" formatCode="General">
                  <c:v>7636.34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5C-5340-9981-95CD72F431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'SSML - Ratios (2)'!$B$91</c:f>
              <c:strCache>
                <c:ptCount val="1"/>
                <c:pt idx="0">
                  <c:v>Proprietary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54-F347-B45D-810F963AAD3A}"/>
              </c:ext>
            </c:extLst>
          </c:dPt>
          <c:dPt>
            <c:idx val="1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54-F347-B45D-810F963AAD3A}"/>
              </c:ext>
            </c:extLst>
          </c:dPt>
          <c:dPt>
            <c:idx val="2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54-F347-B45D-810F963AAD3A}"/>
              </c:ext>
            </c:extLst>
          </c:dPt>
          <c:dPt>
            <c:idx val="3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54-F347-B45D-810F963AAD3A}"/>
              </c:ext>
            </c:extLst>
          </c:dPt>
          <c:dPt>
            <c:idx val="4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54-F347-B45D-810F963AAD3A}"/>
              </c:ext>
            </c:extLst>
          </c:dPt>
          <c:dPt>
            <c:idx val="5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54-F347-B45D-810F963AAD3A}"/>
              </c:ext>
            </c:extLst>
          </c:dPt>
          <c:dPt>
            <c:idx val="6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54-F347-B45D-810F963AAD3A}"/>
              </c:ext>
            </c:extLst>
          </c:dPt>
          <c:dPt>
            <c:idx val="7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454-F347-B45D-810F963AA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'SSML - Ratios (2)'!$C$89:$J$90</c:f>
              <c:multiLvlStrCache>
                <c:ptCount val="8"/>
                <c:lvl>
                  <c:pt idx="0">
                    <c:v>2021-22</c:v>
                  </c:pt>
                  <c:pt idx="1">
                    <c:v>2020-21</c:v>
                  </c:pt>
                  <c:pt idx="2">
                    <c:v>2021-22</c:v>
                  </c:pt>
                  <c:pt idx="3">
                    <c:v>2020-21</c:v>
                  </c:pt>
                  <c:pt idx="4">
                    <c:v>2021-22</c:v>
                  </c:pt>
                  <c:pt idx="5">
                    <c:v>2020-21</c:v>
                  </c:pt>
                  <c:pt idx="6">
                    <c:v>2021-22</c:v>
                  </c:pt>
                  <c:pt idx="7">
                    <c:v>2020-21</c:v>
                  </c:pt>
                </c:lvl>
                <c:lvl>
                  <c:pt idx="0">
                    <c:v>SSML</c:v>
                  </c:pt>
                  <c:pt idx="2">
                    <c:v>Raymond</c:v>
                  </c:pt>
                  <c:pt idx="4">
                    <c:v>ABFRL</c:v>
                  </c:pt>
                  <c:pt idx="6">
                    <c:v>Industry</c:v>
                  </c:pt>
                </c:lvl>
              </c:multiLvlStrCache>
            </c:multiLvlStrRef>
          </c:cat>
          <c:val>
            <c:numRef>
              <c:f>'SSML - Ratios (2)'!$C$91:$J$91</c:f>
              <c:numCache>
                <c:formatCode>General</c:formatCode>
                <c:ptCount val="8"/>
                <c:pt idx="0">
                  <c:v>0.62</c:v>
                </c:pt>
                <c:pt idx="1">
                  <c:v>0.64</c:v>
                </c:pt>
                <c:pt idx="2">
                  <c:v>0.31</c:v>
                </c:pt>
                <c:pt idx="3">
                  <c:v>0.35</c:v>
                </c:pt>
                <c:pt idx="4">
                  <c:v>0.25</c:v>
                </c:pt>
                <c:pt idx="5">
                  <c:v>0.28000000000000003</c:v>
                </c:pt>
                <c:pt idx="6">
                  <c:v>0.39</c:v>
                </c:pt>
                <c:pt idx="7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4-F347-B45D-810F963AA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6892367"/>
        <c:axId val="1256796431"/>
      </c:barChart>
      <c:catAx>
        <c:axId val="125689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6431"/>
        <c:crosses val="autoZero"/>
        <c:auto val="1"/>
        <c:lblAlgn val="ctr"/>
        <c:lblOffset val="100"/>
        <c:noMultiLvlLbl val="0"/>
      </c:catAx>
      <c:valAx>
        <c:axId val="1256796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68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'SSML - Ratios (2)'!$B$114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91-304D-A47D-63B80F390BEC}"/>
              </c:ext>
            </c:extLst>
          </c:dPt>
          <c:dPt>
            <c:idx val="1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91-304D-A47D-63B80F390BEC}"/>
              </c:ext>
            </c:extLst>
          </c:dPt>
          <c:dPt>
            <c:idx val="2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91-304D-A47D-63B80F390BEC}"/>
              </c:ext>
            </c:extLst>
          </c:dPt>
          <c:dPt>
            <c:idx val="3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91-304D-A47D-63B80F390BEC}"/>
              </c:ext>
            </c:extLst>
          </c:dPt>
          <c:dPt>
            <c:idx val="4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91-304D-A47D-63B80F390BEC}"/>
              </c:ext>
            </c:extLst>
          </c:dPt>
          <c:dPt>
            <c:idx val="5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91-304D-A47D-63B80F390BEC}"/>
              </c:ext>
            </c:extLst>
          </c:dPt>
          <c:dPt>
            <c:idx val="6"/>
            <c:invertIfNegative val="0"/>
            <c:bubble3D val="0"/>
            <c:spPr>
              <a:solidFill>
                <a:srgbClr val="2036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91-304D-A47D-63B80F390BEC}"/>
              </c:ext>
            </c:extLst>
          </c:dPt>
          <c:dPt>
            <c:idx val="7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691-304D-A47D-63B80F390B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'SSML - Ratios (2)'!$C$112:$J$113</c:f>
              <c:multiLvlStrCache>
                <c:ptCount val="8"/>
                <c:lvl>
                  <c:pt idx="0">
                    <c:v>2021-22</c:v>
                  </c:pt>
                  <c:pt idx="1">
                    <c:v>2020-21</c:v>
                  </c:pt>
                  <c:pt idx="2">
                    <c:v>2021-22</c:v>
                  </c:pt>
                  <c:pt idx="3">
                    <c:v>2020-21</c:v>
                  </c:pt>
                  <c:pt idx="4">
                    <c:v>2021-22</c:v>
                  </c:pt>
                  <c:pt idx="5">
                    <c:v>2020-21</c:v>
                  </c:pt>
                  <c:pt idx="6">
                    <c:v>2021-22</c:v>
                  </c:pt>
                  <c:pt idx="7">
                    <c:v>2020-21</c:v>
                  </c:pt>
                </c:lvl>
                <c:lvl>
                  <c:pt idx="0">
                    <c:v>SSML</c:v>
                  </c:pt>
                  <c:pt idx="2">
                    <c:v>Raymond</c:v>
                  </c:pt>
                  <c:pt idx="4">
                    <c:v>ABFRL</c:v>
                  </c:pt>
                  <c:pt idx="6">
                    <c:v>Industry</c:v>
                  </c:pt>
                </c:lvl>
              </c:multiLvlStrCache>
            </c:multiLvlStrRef>
          </c:cat>
          <c:val>
            <c:numRef>
              <c:f>'SSML - Ratios (2)'!$C$114:$J$114</c:f>
              <c:numCache>
                <c:formatCode>General</c:formatCode>
                <c:ptCount val="8"/>
                <c:pt idx="0">
                  <c:v>2.73</c:v>
                </c:pt>
                <c:pt idx="1">
                  <c:v>1.86</c:v>
                </c:pt>
                <c:pt idx="2">
                  <c:v>1.8</c:v>
                </c:pt>
                <c:pt idx="3">
                  <c:v>0.94</c:v>
                </c:pt>
                <c:pt idx="4">
                  <c:v>3.5</c:v>
                </c:pt>
                <c:pt idx="5">
                  <c:v>2.5299999999999998</c:v>
                </c:pt>
                <c:pt idx="6">
                  <c:v>2.68</c:v>
                </c:pt>
                <c:pt idx="7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304D-A47D-63B80F390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4090000"/>
        <c:axId val="1554091648"/>
      </c:barChart>
      <c:catAx>
        <c:axId val="15540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91648"/>
        <c:crosses val="autoZero"/>
        <c:auto val="1"/>
        <c:lblAlgn val="ctr"/>
        <c:lblOffset val="100"/>
        <c:noMultiLvlLbl val="0"/>
      </c:catAx>
      <c:valAx>
        <c:axId val="1554091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'SSML - Ratios (2)'!$B$134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rgbClr val="20366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B4-824C-B238-EDB0381C0B20}"/>
              </c:ext>
            </c:extLst>
          </c:dPt>
          <c:dPt>
            <c:idx val="3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B4-824C-B238-EDB0381C0B20}"/>
              </c:ext>
            </c:extLst>
          </c:dPt>
          <c:dPt>
            <c:idx val="5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B4-824C-B238-EDB0381C0B20}"/>
              </c:ext>
            </c:extLst>
          </c:dPt>
          <c:dPt>
            <c:idx val="7"/>
            <c:invertIfNegative val="0"/>
            <c:bubble3D val="0"/>
            <c:spPr>
              <a:solidFill>
                <a:srgbClr val="DAE2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B4-824C-B238-EDB0381C0B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'SSML - Ratios (2)'!$C$132:$J$133</c:f>
              <c:multiLvlStrCache>
                <c:ptCount val="8"/>
                <c:lvl>
                  <c:pt idx="0">
                    <c:v>2021-22</c:v>
                  </c:pt>
                  <c:pt idx="1">
                    <c:v>2020-21</c:v>
                  </c:pt>
                  <c:pt idx="2">
                    <c:v>2021-22</c:v>
                  </c:pt>
                  <c:pt idx="3">
                    <c:v>2020-21</c:v>
                  </c:pt>
                  <c:pt idx="4">
                    <c:v>2021-22</c:v>
                  </c:pt>
                  <c:pt idx="5">
                    <c:v>2020-21</c:v>
                  </c:pt>
                  <c:pt idx="6">
                    <c:v>2021-22</c:v>
                  </c:pt>
                  <c:pt idx="7">
                    <c:v>2020-21</c:v>
                  </c:pt>
                </c:lvl>
                <c:lvl>
                  <c:pt idx="0">
                    <c:v>SSML</c:v>
                  </c:pt>
                  <c:pt idx="2">
                    <c:v>Raymond</c:v>
                  </c:pt>
                  <c:pt idx="4">
                    <c:v>ABFRL</c:v>
                  </c:pt>
                  <c:pt idx="6">
                    <c:v>Industry</c:v>
                  </c:pt>
                </c:lvl>
              </c:multiLvlStrCache>
            </c:multiLvlStrRef>
          </c:cat>
          <c:val>
            <c:numRef>
              <c:f>'SSML - Ratios (2)'!$C$134:$J$134</c:f>
              <c:numCache>
                <c:formatCode>General</c:formatCode>
                <c:ptCount val="8"/>
                <c:pt idx="0">
                  <c:v>3.85</c:v>
                </c:pt>
                <c:pt idx="1">
                  <c:v>2.2200000000000002</c:v>
                </c:pt>
                <c:pt idx="2">
                  <c:v>3.66</c:v>
                </c:pt>
                <c:pt idx="3">
                  <c:v>1.79</c:v>
                </c:pt>
                <c:pt idx="4">
                  <c:v>1.62</c:v>
                </c:pt>
                <c:pt idx="5">
                  <c:v>1.1399999999999999</c:v>
                </c:pt>
                <c:pt idx="6">
                  <c:v>3.02</c:v>
                </c:pt>
                <c:pt idx="7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4-824C-B238-EDB0381C0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3481552"/>
        <c:axId val="623716864"/>
      </c:barChart>
      <c:catAx>
        <c:axId val="6234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16864"/>
        <c:crosses val="autoZero"/>
        <c:auto val="1"/>
        <c:lblAlgn val="ctr"/>
        <c:lblOffset val="100"/>
        <c:noMultiLvlLbl val="0"/>
      </c:catAx>
      <c:valAx>
        <c:axId val="623716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34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latin typeface="+mn-lt"/>
              </a:rPr>
              <a:t>Company and Industry Ratio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'SSML - Ratio Graphs'!$F$5</c:f>
              <c:strCache>
                <c:ptCount val="1"/>
                <c:pt idx="0">
                  <c:v>SSML</c:v>
                </c:pt>
              </c:strCache>
            </c:strRef>
          </c:tx>
          <c:spPr>
            <a:solidFill>
              <a:srgbClr val="3D3A61"/>
            </a:solidFill>
            <a:ln>
              <a:solidFill>
                <a:srgbClr val="3D3A61"/>
              </a:solidFill>
            </a:ln>
            <a:effectLst/>
          </c:spPr>
          <c:invertIfNegative val="0"/>
          <c:cat>
            <c:strRef>
              <c:f>'SSML - Ratio Graphs'!$D$6:$D$11</c:f>
              <c:strCache>
                <c:ptCount val="6"/>
                <c:pt idx="0">
                  <c:v>Current Ratio</c:v>
                </c:pt>
                <c:pt idx="1">
                  <c:v>Quick Ratio</c:v>
                </c:pt>
                <c:pt idx="2">
                  <c:v>Debt-Equity Ratio</c:v>
                </c:pt>
                <c:pt idx="3">
                  <c:v>Proprietary Ratio</c:v>
                </c:pt>
                <c:pt idx="4">
                  <c:v>Inventory Turnover Ratio</c:v>
                </c:pt>
                <c:pt idx="5">
                  <c:v>Fixed Assets Turnover Ratio</c:v>
                </c:pt>
              </c:strCache>
            </c:strRef>
          </c:cat>
          <c:val>
            <c:numRef>
              <c:f>'SSML - Ratio Graphs'!$F$6:$F$11</c:f>
              <c:numCache>
                <c:formatCode>0.00</c:formatCode>
                <c:ptCount val="6"/>
                <c:pt idx="0">
                  <c:v>2.11</c:v>
                </c:pt>
                <c:pt idx="1">
                  <c:v>1.22</c:v>
                </c:pt>
                <c:pt idx="2">
                  <c:v>0.28999999999999998</c:v>
                </c:pt>
                <c:pt idx="3">
                  <c:v>0.62</c:v>
                </c:pt>
                <c:pt idx="4">
                  <c:v>2.73</c:v>
                </c:pt>
                <c:pt idx="5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C-BF4F-8C22-35D83BABC6C2}"/>
            </c:ext>
          </c:extLst>
        </c:ser>
        <c:ser>
          <c:idx val="1"/>
          <c:order val="1"/>
          <c:tx>
            <c:strRef>
              <c:f>'SSML - Ratio Graphs'!$G$5</c:f>
              <c:strCache>
                <c:ptCount val="1"/>
                <c:pt idx="0">
                  <c:v>Industry Avg.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'SSML - Ratio Graphs'!$D$6:$D$11</c:f>
              <c:strCache>
                <c:ptCount val="6"/>
                <c:pt idx="0">
                  <c:v>Current Ratio</c:v>
                </c:pt>
                <c:pt idx="1">
                  <c:v>Quick Ratio</c:v>
                </c:pt>
                <c:pt idx="2">
                  <c:v>Debt-Equity Ratio</c:v>
                </c:pt>
                <c:pt idx="3">
                  <c:v>Proprietary Ratio</c:v>
                </c:pt>
                <c:pt idx="4">
                  <c:v>Inventory Turnover Ratio</c:v>
                </c:pt>
                <c:pt idx="5">
                  <c:v>Fixed Assets Turnover Ratio</c:v>
                </c:pt>
              </c:strCache>
            </c:strRef>
          </c:cat>
          <c:val>
            <c:numRef>
              <c:f>'SSML - Ratio Graphs'!$G$6:$G$11</c:f>
              <c:numCache>
                <c:formatCode>0.00</c:formatCode>
                <c:ptCount val="6"/>
                <c:pt idx="0">
                  <c:v>1.5</c:v>
                </c:pt>
                <c:pt idx="1">
                  <c:v>0.8</c:v>
                </c:pt>
                <c:pt idx="2">
                  <c:v>0.47</c:v>
                </c:pt>
                <c:pt idx="3">
                  <c:v>0.39</c:v>
                </c:pt>
                <c:pt idx="4">
                  <c:v>2.68</c:v>
                </c:pt>
                <c:pt idx="5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C-BF4F-8C22-35D83BA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82672"/>
        <c:axId val="353884320"/>
      </c:barChart>
      <c:catAx>
        <c:axId val="353882672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84320"/>
        <c:crosses val="autoZero"/>
        <c:auto val="0"/>
        <c:lblAlgn val="ctr"/>
        <c:lblOffset val="400"/>
        <c:noMultiLvlLbl val="0"/>
      </c:catAx>
      <c:valAx>
        <c:axId val="353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rgbClr val="3D3A6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 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 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 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 /><Relationship Id="rId2" Type="http://schemas.openxmlformats.org/officeDocument/2006/relationships/chart" Target="../charts/chart50.xml" /><Relationship Id="rId1" Type="http://schemas.openxmlformats.org/officeDocument/2006/relationships/chart" Target="../charts/chart49.xml" 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 /><Relationship Id="rId3" Type="http://schemas.openxmlformats.org/officeDocument/2006/relationships/image" Target="../media/image7.png" /><Relationship Id="rId7" Type="http://schemas.openxmlformats.org/officeDocument/2006/relationships/image" Target="../media/image11.png" /><Relationship Id="rId2" Type="http://schemas.openxmlformats.org/officeDocument/2006/relationships/image" Target="../media/image6.png" /><Relationship Id="rId1" Type="http://schemas.openxmlformats.org/officeDocument/2006/relationships/image" Target="../media/image5.jpeg" /><Relationship Id="rId6" Type="http://schemas.openxmlformats.org/officeDocument/2006/relationships/image" Target="../media/image10.png" /><Relationship Id="rId5" Type="http://schemas.openxmlformats.org/officeDocument/2006/relationships/image" Target="../media/image9.png" /><Relationship Id="rId10" Type="http://schemas.openxmlformats.org/officeDocument/2006/relationships/image" Target="../media/image13.png" /><Relationship Id="rId4" Type="http://schemas.openxmlformats.org/officeDocument/2006/relationships/image" Target="../media/image8.png" /><Relationship Id="rId9" Type="http://schemas.openxmlformats.org/officeDocument/2006/relationships/chart" Target="../charts/chart52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6" Type="http://schemas.openxmlformats.org/officeDocument/2006/relationships/chart" Target="../charts/chart8.xml" /><Relationship Id="rId5" Type="http://schemas.openxmlformats.org/officeDocument/2006/relationships/chart" Target="../charts/chart7.xml" /><Relationship Id="rId4" Type="http://schemas.openxmlformats.org/officeDocument/2006/relationships/chart" Target="../charts/chart6.xml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 /><Relationship Id="rId2" Type="http://schemas.openxmlformats.org/officeDocument/2006/relationships/chart" Target="../charts/chart10.xml" /><Relationship Id="rId1" Type="http://schemas.openxmlformats.org/officeDocument/2006/relationships/chart" Target="../charts/chart9.xml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 /><Relationship Id="rId1" Type="http://schemas.openxmlformats.org/officeDocument/2006/relationships/image" Target="../media/image2.pn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 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 /><Relationship Id="rId3" Type="http://schemas.openxmlformats.org/officeDocument/2006/relationships/chart" Target="../charts/chart15.xml" /><Relationship Id="rId7" Type="http://schemas.openxmlformats.org/officeDocument/2006/relationships/chart" Target="../charts/chart19.xml" /><Relationship Id="rId12" Type="http://schemas.openxmlformats.org/officeDocument/2006/relationships/chart" Target="../charts/chart24.xml" /><Relationship Id="rId2" Type="http://schemas.openxmlformats.org/officeDocument/2006/relationships/chart" Target="../charts/chart14.xml" /><Relationship Id="rId1" Type="http://schemas.openxmlformats.org/officeDocument/2006/relationships/chart" Target="../charts/chart13.xml" /><Relationship Id="rId6" Type="http://schemas.openxmlformats.org/officeDocument/2006/relationships/chart" Target="../charts/chart18.xml" /><Relationship Id="rId11" Type="http://schemas.openxmlformats.org/officeDocument/2006/relationships/chart" Target="../charts/chart23.xml" /><Relationship Id="rId5" Type="http://schemas.openxmlformats.org/officeDocument/2006/relationships/chart" Target="../charts/chart17.xml" /><Relationship Id="rId10" Type="http://schemas.openxmlformats.org/officeDocument/2006/relationships/chart" Target="../charts/chart22.xml" /><Relationship Id="rId4" Type="http://schemas.openxmlformats.org/officeDocument/2006/relationships/chart" Target="../charts/chart16.xml" /><Relationship Id="rId9" Type="http://schemas.openxmlformats.org/officeDocument/2006/relationships/chart" Target="../charts/chart21.xml" 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 /><Relationship Id="rId13" Type="http://schemas.openxmlformats.org/officeDocument/2006/relationships/chart" Target="../charts/chart37.xml" /><Relationship Id="rId3" Type="http://schemas.openxmlformats.org/officeDocument/2006/relationships/chart" Target="../charts/chart27.xml" /><Relationship Id="rId7" Type="http://schemas.openxmlformats.org/officeDocument/2006/relationships/chart" Target="../charts/chart31.xml" /><Relationship Id="rId12" Type="http://schemas.openxmlformats.org/officeDocument/2006/relationships/chart" Target="../charts/chart36.xml" /><Relationship Id="rId2" Type="http://schemas.openxmlformats.org/officeDocument/2006/relationships/chart" Target="../charts/chart26.xml" /><Relationship Id="rId1" Type="http://schemas.openxmlformats.org/officeDocument/2006/relationships/chart" Target="../charts/chart25.xml" /><Relationship Id="rId6" Type="http://schemas.openxmlformats.org/officeDocument/2006/relationships/chart" Target="../charts/chart30.xml" /><Relationship Id="rId11" Type="http://schemas.openxmlformats.org/officeDocument/2006/relationships/chart" Target="../charts/chart35.xml" /><Relationship Id="rId5" Type="http://schemas.openxmlformats.org/officeDocument/2006/relationships/chart" Target="../charts/chart29.xml" /><Relationship Id="rId10" Type="http://schemas.openxmlformats.org/officeDocument/2006/relationships/chart" Target="../charts/chart34.xml" /><Relationship Id="rId4" Type="http://schemas.openxmlformats.org/officeDocument/2006/relationships/chart" Target="../charts/chart28.xml" /><Relationship Id="rId9" Type="http://schemas.openxmlformats.org/officeDocument/2006/relationships/chart" Target="../charts/chart33.xml" /><Relationship Id="rId14" Type="http://schemas.openxmlformats.org/officeDocument/2006/relationships/image" Target="../media/image3.png" 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 /><Relationship Id="rId2" Type="http://schemas.openxmlformats.org/officeDocument/2006/relationships/chart" Target="../charts/chart39.xml" /><Relationship Id="rId1" Type="http://schemas.openxmlformats.org/officeDocument/2006/relationships/chart" Target="../charts/chart38.xml" /><Relationship Id="rId4" Type="http://schemas.openxmlformats.org/officeDocument/2006/relationships/image" Target="../media/image4.png" 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 /><Relationship Id="rId2" Type="http://schemas.openxmlformats.org/officeDocument/2006/relationships/chart" Target="../charts/chart42.xml" /><Relationship Id="rId1" Type="http://schemas.openxmlformats.org/officeDocument/2006/relationships/chart" Target="../charts/chart41.xml" /><Relationship Id="rId5" Type="http://schemas.openxmlformats.org/officeDocument/2006/relationships/chart" Target="../charts/chart45.xml" /><Relationship Id="rId4" Type="http://schemas.openxmlformats.org/officeDocument/2006/relationships/chart" Target="../charts/chart4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474134</xdr:colOff>
      <xdr:row>16</xdr:row>
      <xdr:rowOff>8467</xdr:rowOff>
    </xdr:from>
    <xdr:to>
      <xdr:col>5</xdr:col>
      <xdr:colOff>601134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25F590-E7D5-6C50-7E21-808D3C637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4232</xdr:colOff>
      <xdr:row>13</xdr:row>
      <xdr:rowOff>88900</xdr:rowOff>
    </xdr:from>
    <xdr:to>
      <xdr:col>14</xdr:col>
      <xdr:colOff>787400</xdr:colOff>
      <xdr:row>30</xdr:row>
      <xdr:rowOff>93135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259964-F80C-2F01-100A-715AD99A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50800</xdr:colOff>
      <xdr:row>11</xdr:row>
      <xdr:rowOff>50800</xdr:rowOff>
    </xdr:from>
    <xdr:to>
      <xdr:col>24</xdr:col>
      <xdr:colOff>0</xdr:colOff>
      <xdr:row>28</xdr:row>
      <xdr:rowOff>139700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5AF655-B6E2-DDFE-716E-01DCD2FC2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33300" y="2463800"/>
          <a:ext cx="5689600" cy="354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524935</xdr:colOff>
      <xdr:row>33</xdr:row>
      <xdr:rowOff>21166</xdr:rowOff>
    </xdr:from>
    <xdr:to>
      <xdr:col>8</xdr:col>
      <xdr:colOff>541868</xdr:colOff>
      <xdr:row>53</xdr:row>
      <xdr:rowOff>80433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13707-DE44-994C-9AF1-F4D9F928B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524933</xdr:colOff>
      <xdr:row>14</xdr:row>
      <xdr:rowOff>12701</xdr:rowOff>
    </xdr:from>
    <xdr:to>
      <xdr:col>8</xdr:col>
      <xdr:colOff>817033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A4C94-9513-6B4D-9900-FE9BA3F8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5</xdr:row>
      <xdr:rowOff>2363</xdr:rowOff>
    </xdr:from>
    <xdr:to>
      <xdr:col>2</xdr:col>
      <xdr:colOff>1669458</xdr:colOff>
      <xdr:row>21</xdr:row>
      <xdr:rowOff>166872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1F097-2462-3340-AFD3-57182B741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5771</xdr:colOff>
      <xdr:row>29</xdr:row>
      <xdr:rowOff>23956</xdr:rowOff>
    </xdr:from>
    <xdr:to>
      <xdr:col>10</xdr:col>
      <xdr:colOff>415635</xdr:colOff>
      <xdr:row>42</xdr:row>
      <xdr:rowOff>65520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FA567-BF66-744A-A645-FFFDA1B4D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14430</xdr:colOff>
      <xdr:row>14</xdr:row>
      <xdr:rowOff>204353</xdr:rowOff>
    </xdr:from>
    <xdr:to>
      <xdr:col>10</xdr:col>
      <xdr:colOff>441612</xdr:colOff>
      <xdr:row>28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DAAD3-899B-9849-8C7C-DF987FECC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11544</xdr:colOff>
      <xdr:row>1</xdr:row>
      <xdr:rowOff>8082</xdr:rowOff>
    </xdr:from>
    <xdr:to>
      <xdr:col>10</xdr:col>
      <xdr:colOff>451714</xdr:colOff>
      <xdr:row>14</xdr:row>
      <xdr:rowOff>49646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3DD3F-5062-DF4B-A159-D6405CF02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558147</xdr:colOff>
      <xdr:row>37</xdr:row>
      <xdr:rowOff>19134</xdr:rowOff>
    </xdr:from>
    <xdr:to>
      <xdr:col>4</xdr:col>
      <xdr:colOff>1997480</xdr:colOff>
      <xdr:row>61</xdr:row>
      <xdr:rowOff>66373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32EF3-7F82-854E-B2EF-107897A2C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" t="7538" r="2501" b="1383"/>
        <a:stretch/>
      </xdr:blipFill>
      <xdr:spPr>
        <a:xfrm>
          <a:off x="558147" y="7328690"/>
          <a:ext cx="7972777" cy="4788572"/>
        </a:xfrm>
        <a:prstGeom prst="rect">
          <a:avLst/>
        </a:prstGeom>
      </xdr:spPr>
    </xdr:pic>
    <xdr:clientData/>
  </xdr:twoCellAnchor>
  <xdr:twoCellAnchor editAs="oneCell">
    <xdr:from>
      <xdr:col>5</xdr:col>
      <xdr:colOff>95959</xdr:colOff>
      <xdr:row>0</xdr:row>
      <xdr:rowOff>0</xdr:rowOff>
    </xdr:from>
    <xdr:to>
      <xdr:col>9</xdr:col>
      <xdr:colOff>352783</xdr:colOff>
      <xdr:row>16</xdr:row>
      <xdr:rowOff>180215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5823F-9151-8A40-B8C8-98FAAABD5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12" t="11581" r="9903" b="12138"/>
        <a:stretch/>
      </xdr:blipFill>
      <xdr:spPr>
        <a:xfrm>
          <a:off x="9183515" y="0"/>
          <a:ext cx="3643490" cy="3341104"/>
        </a:xfrm>
        <a:prstGeom prst="rect">
          <a:avLst/>
        </a:prstGeom>
      </xdr:spPr>
    </xdr:pic>
    <xdr:clientData/>
  </xdr:twoCellAnchor>
  <xdr:twoCellAnchor editAs="oneCell">
    <xdr:from>
      <xdr:col>11</xdr:col>
      <xdr:colOff>296338</xdr:colOff>
      <xdr:row>0</xdr:row>
      <xdr:rowOff>14111</xdr:rowOff>
    </xdr:from>
    <xdr:to>
      <xdr:col>16</xdr:col>
      <xdr:colOff>378476</xdr:colOff>
      <xdr:row>17</xdr:row>
      <xdr:rowOff>282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72E0A9-ABCD-6A40-8F33-2D6D5382E4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8" t="11958" r="10897" b="12253"/>
        <a:stretch/>
      </xdr:blipFill>
      <xdr:spPr>
        <a:xfrm>
          <a:off x="14153449" y="14111"/>
          <a:ext cx="3539360" cy="3337560"/>
        </a:xfrm>
        <a:prstGeom prst="rect">
          <a:avLst/>
        </a:prstGeom>
      </xdr:spPr>
    </xdr:pic>
    <xdr:clientData/>
  </xdr:twoCellAnchor>
  <xdr:twoCellAnchor editAs="oneCell">
    <xdr:from>
      <xdr:col>5</xdr:col>
      <xdr:colOff>133727</xdr:colOff>
      <xdr:row>16</xdr:row>
      <xdr:rowOff>183444</xdr:rowOff>
    </xdr:from>
    <xdr:to>
      <xdr:col>9</xdr:col>
      <xdr:colOff>371588</xdr:colOff>
      <xdr:row>33</xdr:row>
      <xdr:rowOff>162560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2146F8-41FC-ED4A-94D0-BF7DB418C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1283" y="3344333"/>
          <a:ext cx="3624527" cy="3337560"/>
        </a:xfrm>
        <a:prstGeom prst="rect">
          <a:avLst/>
        </a:prstGeom>
      </xdr:spPr>
    </xdr:pic>
    <xdr:clientData/>
  </xdr:twoCellAnchor>
  <xdr:twoCellAnchor editAs="oneCell">
    <xdr:from>
      <xdr:col>11</xdr:col>
      <xdr:colOff>392293</xdr:colOff>
      <xdr:row>16</xdr:row>
      <xdr:rowOff>174978</xdr:rowOff>
    </xdr:from>
    <xdr:to>
      <xdr:col>16</xdr:col>
      <xdr:colOff>611727</xdr:colOff>
      <xdr:row>33</xdr:row>
      <xdr:rowOff>154094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646467-A1E0-DE4D-94DE-BBE35F89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4" y="3335867"/>
          <a:ext cx="3676656" cy="3337560"/>
        </a:xfrm>
        <a:prstGeom prst="rect">
          <a:avLst/>
        </a:prstGeom>
      </xdr:spPr>
    </xdr:pic>
    <xdr:clientData/>
  </xdr:twoCellAnchor>
  <xdr:twoCellAnchor editAs="oneCell">
    <xdr:from>
      <xdr:col>0</xdr:col>
      <xdr:colOff>64915</xdr:colOff>
      <xdr:row>68</xdr:row>
      <xdr:rowOff>59266</xdr:rowOff>
    </xdr:from>
    <xdr:to>
      <xdr:col>3</xdr:col>
      <xdr:colOff>394970</xdr:colOff>
      <xdr:row>85</xdr:row>
      <xdr:rowOff>38382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2B4C89-C19D-1B48-882C-C2CB19C07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15" y="13493044"/>
          <a:ext cx="3519166" cy="3337560"/>
        </a:xfrm>
        <a:prstGeom prst="rect">
          <a:avLst/>
        </a:prstGeom>
      </xdr:spPr>
    </xdr:pic>
    <xdr:clientData/>
  </xdr:twoCellAnchor>
  <xdr:twoCellAnchor editAs="oneCell">
    <xdr:from>
      <xdr:col>0</xdr:col>
      <xdr:colOff>231424</xdr:colOff>
      <xdr:row>85</xdr:row>
      <xdr:rowOff>25400</xdr:rowOff>
    </xdr:from>
    <xdr:to>
      <xdr:col>3</xdr:col>
      <xdr:colOff>513409</xdr:colOff>
      <xdr:row>102</xdr:row>
      <xdr:rowOff>4515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FD0069-9699-3348-80BD-4E8E4CCD5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24" y="16817622"/>
          <a:ext cx="3471096" cy="3337560"/>
        </a:xfrm>
        <a:prstGeom prst="rect">
          <a:avLst/>
        </a:prstGeom>
      </xdr:spPr>
    </xdr:pic>
    <xdr:clientData/>
  </xdr:twoCellAnchor>
  <xdr:twoCellAnchor editAs="oneCell">
    <xdr:from>
      <xdr:col>3</xdr:col>
      <xdr:colOff>1938868</xdr:colOff>
      <xdr:row>85</xdr:row>
      <xdr:rowOff>11289</xdr:rowOff>
    </xdr:from>
    <xdr:to>
      <xdr:col>4</xdr:col>
      <xdr:colOff>2191243</xdr:colOff>
      <xdr:row>101</xdr:row>
      <xdr:rowOff>180340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794485-3190-6D4F-AD38-5E82F3EB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7979" y="16803511"/>
          <a:ext cx="3596708" cy="3337560"/>
        </a:xfrm>
        <a:prstGeom prst="rect">
          <a:avLst/>
        </a:prstGeom>
      </xdr:spPr>
    </xdr:pic>
    <xdr:clientData/>
  </xdr:twoCellAnchor>
  <xdr:twoCellAnchor>
    <xdr:from>
      <xdr:col>6</xdr:col>
      <xdr:colOff>790221</xdr:colOff>
      <xdr:row>44</xdr:row>
      <xdr:rowOff>136171</xdr:rowOff>
    </xdr:from>
    <xdr:to>
      <xdr:col>15</xdr:col>
      <xdr:colOff>654538</xdr:colOff>
      <xdr:row>64</xdr:row>
      <xdr:rowOff>112888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8F0996-6C33-EA45-8B8C-80ACBAB06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</xdr:col>
      <xdr:colOff>1827392</xdr:colOff>
      <xdr:row>68</xdr:row>
      <xdr:rowOff>40704</xdr:rowOff>
    </xdr:from>
    <xdr:to>
      <xdr:col>4</xdr:col>
      <xdr:colOff>2205784</xdr:colOff>
      <xdr:row>85</xdr:row>
      <xdr:rowOff>19820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0D7181-C08C-924D-AA0F-D624C3BAE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3" y="13474482"/>
          <a:ext cx="3722725" cy="3337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258885</xdr:colOff>
      <xdr:row>29</xdr:row>
      <xdr:rowOff>98670</xdr:rowOff>
    </xdr:from>
    <xdr:to>
      <xdr:col>7</xdr:col>
      <xdr:colOff>678961</xdr:colOff>
      <xdr:row>45</xdr:row>
      <xdr:rowOff>28332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A78BB-8132-5838-FB95-6EA5A303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273538</xdr:colOff>
      <xdr:row>49</xdr:row>
      <xdr:rowOff>156308</xdr:rowOff>
    </xdr:from>
    <xdr:to>
      <xdr:col>7</xdr:col>
      <xdr:colOff>693614</xdr:colOff>
      <xdr:row>65</xdr:row>
      <xdr:rowOff>85970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86479-45EF-0346-B177-1B92393C3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263769</xdr:colOff>
      <xdr:row>69</xdr:row>
      <xdr:rowOff>137746</xdr:rowOff>
    </xdr:from>
    <xdr:to>
      <xdr:col>7</xdr:col>
      <xdr:colOff>683845</xdr:colOff>
      <xdr:row>85</xdr:row>
      <xdr:rowOff>67408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F6620D-BD12-6CE4-49B1-0FB13A07F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273539</xdr:colOff>
      <xdr:row>92</xdr:row>
      <xdr:rowOff>10747</xdr:rowOff>
    </xdr:from>
    <xdr:to>
      <xdr:col>7</xdr:col>
      <xdr:colOff>693615</xdr:colOff>
      <xdr:row>107</xdr:row>
      <xdr:rowOff>116255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8C522E-E1E9-6CC1-6AE5-301B3FF5C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254000</xdr:colOff>
      <xdr:row>114</xdr:row>
      <xdr:rowOff>147515</xdr:rowOff>
    </xdr:from>
    <xdr:to>
      <xdr:col>7</xdr:col>
      <xdr:colOff>674076</xdr:colOff>
      <xdr:row>130</xdr:row>
      <xdr:rowOff>77177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5A62E9-A445-B19F-554A-4C7C33D1F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263770</xdr:colOff>
      <xdr:row>134</xdr:row>
      <xdr:rowOff>108439</xdr:rowOff>
    </xdr:from>
    <xdr:to>
      <xdr:col>7</xdr:col>
      <xdr:colOff>683846</xdr:colOff>
      <xdr:row>150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CBC0A8-0721-50FD-EF37-19DB2CF61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25400</xdr:rowOff>
    </xdr:from>
    <xdr:to>
      <xdr:col>8</xdr:col>
      <xdr:colOff>812800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FA88FA-149F-11A8-F5D2-D55F22B6E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38</xdr:row>
      <xdr:rowOff>12700</xdr:rowOff>
    </xdr:from>
    <xdr:to>
      <xdr:col>7</xdr:col>
      <xdr:colOff>800100</xdr:colOff>
      <xdr:row>51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C2D6E-CB72-CEA2-756D-100B7370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57</xdr:row>
      <xdr:rowOff>12700</xdr:rowOff>
    </xdr:from>
    <xdr:to>
      <xdr:col>8</xdr:col>
      <xdr:colOff>0</xdr:colOff>
      <xdr:row>71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D9DBE2-475E-4661-8239-048B9952E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12700</xdr:rowOff>
    </xdr:from>
    <xdr:to>
      <xdr:col>8</xdr:col>
      <xdr:colOff>0</xdr:colOff>
      <xdr:row>20</xdr:row>
      <xdr:rowOff>12700</xdr:rowOff>
    </xdr:to>
    <xdr:pic>
      <xdr:nvPicPr>
        <xdr:cNvPr id="2" name="Picture 1" descr="Chart, bar chart, histogram&#10;&#10;Description automatically generated">
          <a:extLst>
            <a:ext uri="{FF2B5EF4-FFF2-40B4-BE49-F238E27FC236}">
              <a16:creationId xmlns:a16="http://schemas.microsoft.com/office/drawing/2014/main" id="{46916576-0A4E-4A52-BC8F-4102FE96B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825500"/>
          <a:ext cx="5778500" cy="3251200"/>
        </a:xfrm>
        <a:prstGeom prst="rect">
          <a:avLst/>
        </a:prstGeom>
        <a:noFill/>
        <a:ln w="15875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0</xdr:colOff>
      <xdr:row>38</xdr:row>
      <xdr:rowOff>190500</xdr:rowOff>
    </xdr:to>
    <xdr:pic>
      <xdr:nvPicPr>
        <xdr:cNvPr id="3" name="Picture 2" descr="Chart, line chart&#10;&#10;Description automatically generated">
          <a:extLst>
            <a:ext uri="{FF2B5EF4-FFF2-40B4-BE49-F238E27FC236}">
              <a16:creationId xmlns:a16="http://schemas.microsoft.com/office/drawing/2014/main" id="{5BCF04B2-A84D-719A-8826-4C9147156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4470400"/>
          <a:ext cx="5778500" cy="3441700"/>
        </a:xfrm>
        <a:prstGeom prst="rect">
          <a:avLst/>
        </a:prstGeom>
        <a:noFill/>
        <a:ln w="15875"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14</xdr:row>
      <xdr:rowOff>12700</xdr:rowOff>
    </xdr:from>
    <xdr:to>
      <xdr:col>6</xdr:col>
      <xdr:colOff>596900</xdr:colOff>
      <xdr:row>31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A9D81-90A7-A64B-A648-DA33A4DB2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636691</xdr:colOff>
      <xdr:row>56</xdr:row>
      <xdr:rowOff>158326</xdr:rowOff>
    </xdr:from>
    <xdr:to>
      <xdr:col>9</xdr:col>
      <xdr:colOff>207431</xdr:colOff>
      <xdr:row>70</xdr:row>
      <xdr:rowOff>143932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47BA6-7D37-8B49-BFCC-DF1C30CF8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644314</xdr:colOff>
      <xdr:row>73</xdr:row>
      <xdr:rowOff>112183</xdr:rowOff>
    </xdr:from>
    <xdr:to>
      <xdr:col>9</xdr:col>
      <xdr:colOff>207433</xdr:colOff>
      <xdr:row>87</xdr:row>
      <xdr:rowOff>122767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A0D90-DB2A-6F4E-BF56-260B50EFD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614680</xdr:colOff>
      <xdr:row>90</xdr:row>
      <xdr:rowOff>12701</xdr:rowOff>
    </xdr:from>
    <xdr:to>
      <xdr:col>9</xdr:col>
      <xdr:colOff>177800</xdr:colOff>
      <xdr:row>104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A30569-B92C-5944-824A-42A131D3A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601134</xdr:colOff>
      <xdr:row>109</xdr:row>
      <xdr:rowOff>64770</xdr:rowOff>
    </xdr:from>
    <xdr:to>
      <xdr:col>9</xdr:col>
      <xdr:colOff>156634</xdr:colOff>
      <xdr:row>123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2EA8CD-370A-384E-8720-598D733B0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597747</xdr:colOff>
      <xdr:row>124</xdr:row>
      <xdr:rowOff>157057</xdr:rowOff>
    </xdr:from>
    <xdr:to>
      <xdr:col>9</xdr:col>
      <xdr:colOff>148167</xdr:colOff>
      <xdr:row>138</xdr:row>
      <xdr:rowOff>148167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38E29D-A710-B64E-A00D-46FAC93C9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602827</xdr:colOff>
      <xdr:row>140</xdr:row>
      <xdr:rowOff>82550</xdr:rowOff>
    </xdr:from>
    <xdr:to>
      <xdr:col>9</xdr:col>
      <xdr:colOff>173568</xdr:colOff>
      <xdr:row>154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89F7B8-D3E9-2946-9639-9078571F4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470746</xdr:colOff>
      <xdr:row>56</xdr:row>
      <xdr:rowOff>74929</xdr:rowOff>
    </xdr:from>
    <xdr:to>
      <xdr:col>25</xdr:col>
      <xdr:colOff>182033</xdr:colOff>
      <xdr:row>70</xdr:row>
      <xdr:rowOff>88899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3A0AB6-41E1-3948-8A66-6162A1F47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480907</xdr:colOff>
      <xdr:row>72</xdr:row>
      <xdr:rowOff>11431</xdr:rowOff>
    </xdr:from>
    <xdr:to>
      <xdr:col>25</xdr:col>
      <xdr:colOff>194734</xdr:colOff>
      <xdr:row>87</xdr:row>
      <xdr:rowOff>11431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9FB9B8-F89C-1E40-B054-3317287C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470747</xdr:colOff>
      <xdr:row>88</xdr:row>
      <xdr:rowOff>162136</xdr:rowOff>
    </xdr:from>
    <xdr:to>
      <xdr:col>25</xdr:col>
      <xdr:colOff>182034</xdr:colOff>
      <xdr:row>102</xdr:row>
      <xdr:rowOff>186266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8D6DC2-A374-4443-B1E4-2FFDB8C38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520699</xdr:colOff>
      <xdr:row>109</xdr:row>
      <xdr:rowOff>45297</xdr:rowOff>
    </xdr:from>
    <xdr:to>
      <xdr:col>25</xdr:col>
      <xdr:colOff>237066</xdr:colOff>
      <xdr:row>123</xdr:row>
      <xdr:rowOff>33867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A1BF27-4FD3-4E45-B8F8-C74AFE7D8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507153</xdr:colOff>
      <xdr:row>140</xdr:row>
      <xdr:rowOff>53763</xdr:rowOff>
    </xdr:from>
    <xdr:to>
      <xdr:col>25</xdr:col>
      <xdr:colOff>190499</xdr:colOff>
      <xdr:row>154</xdr:row>
      <xdr:rowOff>67733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7D5B60-2A70-E947-8806-25D1E0BD4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504612</xdr:colOff>
      <xdr:row>124</xdr:row>
      <xdr:rowOff>140970</xdr:rowOff>
    </xdr:from>
    <xdr:to>
      <xdr:col>25</xdr:col>
      <xdr:colOff>228599</xdr:colOff>
      <xdr:row>138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F9572B-D389-6040-BD80-250989080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140970</xdr:rowOff>
    </xdr:from>
    <xdr:to>
      <xdr:col>10</xdr:col>
      <xdr:colOff>1341120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D24AC-8E1C-B548-B6B2-83D47A7DC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175260</xdr:colOff>
      <xdr:row>67</xdr:row>
      <xdr:rowOff>60960</xdr:rowOff>
    </xdr:from>
    <xdr:to>
      <xdr:col>13</xdr:col>
      <xdr:colOff>777240</xdr:colOff>
      <xdr:row>80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22343-1309-D340-8829-DC124AC40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</xdr:colOff>
      <xdr:row>83</xdr:row>
      <xdr:rowOff>95250</xdr:rowOff>
    </xdr:from>
    <xdr:to>
      <xdr:col>13</xdr:col>
      <xdr:colOff>822960</xdr:colOff>
      <xdr:row>98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5AB81-8E17-854D-BDCF-663CED4BB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100</xdr:row>
      <xdr:rowOff>114300</xdr:rowOff>
    </xdr:from>
    <xdr:to>
      <xdr:col>14</xdr:col>
      <xdr:colOff>30480</xdr:colOff>
      <xdr:row>115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F8551C-D505-804B-BA3B-30A72250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117</xdr:row>
      <xdr:rowOff>179070</xdr:rowOff>
    </xdr:from>
    <xdr:to>
      <xdr:col>13</xdr:col>
      <xdr:colOff>830580</xdr:colOff>
      <xdr:row>132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DFBE3C-7E91-E244-946E-DA9C7FBA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373380</xdr:colOff>
      <xdr:row>67</xdr:row>
      <xdr:rowOff>148590</xdr:rowOff>
    </xdr:from>
    <xdr:to>
      <xdr:col>28</xdr:col>
      <xdr:colOff>312420</xdr:colOff>
      <xdr:row>80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434CE7-59DB-B04C-A5CA-AFD27B8B7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137160</xdr:colOff>
      <xdr:row>82</xdr:row>
      <xdr:rowOff>133350</xdr:rowOff>
    </xdr:from>
    <xdr:to>
      <xdr:col>28</xdr:col>
      <xdr:colOff>441960</xdr:colOff>
      <xdr:row>97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6FFE9F-8438-8943-AC07-A42C4A502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106680</xdr:colOff>
      <xdr:row>99</xdr:row>
      <xdr:rowOff>125730</xdr:rowOff>
    </xdr:from>
    <xdr:to>
      <xdr:col>28</xdr:col>
      <xdr:colOff>411480</xdr:colOff>
      <xdr:row>114</xdr:row>
      <xdr:rowOff>125730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73D8F2-E811-D046-9DF9-FF338D7FC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129540</xdr:colOff>
      <xdr:row>115</xdr:row>
      <xdr:rowOff>87630</xdr:rowOff>
    </xdr:from>
    <xdr:to>
      <xdr:col>28</xdr:col>
      <xdr:colOff>434340</xdr:colOff>
      <xdr:row>130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FD9251-01B9-104F-93F9-452E3FBD6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68580</xdr:colOff>
      <xdr:row>133</xdr:row>
      <xdr:rowOff>64770</xdr:rowOff>
    </xdr:from>
    <xdr:to>
      <xdr:col>13</xdr:col>
      <xdr:colOff>822960</xdr:colOff>
      <xdr:row>148</xdr:row>
      <xdr:rowOff>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D36B41-1725-3848-A6F3-D01CBA505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152400</xdr:colOff>
      <xdr:row>132</xdr:row>
      <xdr:rowOff>49530</xdr:rowOff>
    </xdr:from>
    <xdr:to>
      <xdr:col>28</xdr:col>
      <xdr:colOff>457200</xdr:colOff>
      <xdr:row>147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BF46E0-BD1F-B148-9BF9-4ABBD8F27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160020</xdr:colOff>
      <xdr:row>143</xdr:row>
      <xdr:rowOff>11430</xdr:rowOff>
    </xdr:from>
    <xdr:to>
      <xdr:col>21</xdr:col>
      <xdr:colOff>68580</xdr:colOff>
      <xdr:row>158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4F05DE-20A1-E046-BDEE-6626A32CC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335280</xdr:colOff>
      <xdr:row>148</xdr:row>
      <xdr:rowOff>64770</xdr:rowOff>
    </xdr:from>
    <xdr:to>
      <xdr:col>29</xdr:col>
      <xdr:colOff>30480</xdr:colOff>
      <xdr:row>163</xdr:row>
      <xdr:rowOff>64770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187425-B915-2342-9D5F-6BCDAC10E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17</xdr:col>
      <xdr:colOff>251460</xdr:colOff>
      <xdr:row>5</xdr:row>
      <xdr:rowOff>76200</xdr:rowOff>
    </xdr:from>
    <xdr:to>
      <xdr:col>23</xdr:col>
      <xdr:colOff>447040</xdr:colOff>
      <xdr:row>19</xdr:row>
      <xdr:rowOff>170180</xdr:rowOff>
    </xdr:to>
    <xdr:pic>
      <xdr:nvPicPr>
        <xdr:cNvPr id="15" name="Picture 14" descr="Chart, line chart&#10;&#10;Description automatically generated">
          <a:extLst>
            <a:ext uri="{FF2B5EF4-FFF2-40B4-BE49-F238E27FC236}">
              <a16:creationId xmlns:a16="http://schemas.microsoft.com/office/drawing/2014/main" id="{2EEC8BBF-CF20-6A41-951F-F0FADC324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1160" y="1041400"/>
          <a:ext cx="4234180" cy="276098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4</xdr:row>
      <xdr:rowOff>12700</xdr:rowOff>
    </xdr:from>
    <xdr:to>
      <xdr:col>11</xdr:col>
      <xdr:colOff>812800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FB3A4-1DE7-DBB9-B475-BEB8DDCD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21</xdr:row>
      <xdr:rowOff>12700</xdr:rowOff>
    </xdr:from>
    <xdr:to>
      <xdr:col>12</xdr:col>
      <xdr:colOff>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2CB38-8A81-7E60-62D4-085ECEE0F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37</xdr:row>
      <xdr:rowOff>6350</xdr:rowOff>
    </xdr:from>
    <xdr:to>
      <xdr:col>11</xdr:col>
      <xdr:colOff>812800</xdr:colOff>
      <xdr:row>50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43BE2E-7012-A54B-D20B-F8F592654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25400</xdr:colOff>
      <xdr:row>53</xdr:row>
      <xdr:rowOff>12700</xdr:rowOff>
    </xdr:from>
    <xdr:to>
      <xdr:col>10</xdr:col>
      <xdr:colOff>0</xdr:colOff>
      <xdr:row>71</xdr:row>
      <xdr:rowOff>0</xdr:rowOff>
    </xdr:to>
    <xdr:pic>
      <xdr:nvPicPr>
        <xdr:cNvPr id="7" name="Picture 6" descr="Chart, histogram&#10;&#10;Description automatically generated">
          <a:extLst>
            <a:ext uri="{FF2B5EF4-FFF2-40B4-BE49-F238E27FC236}">
              <a16:creationId xmlns:a16="http://schemas.microsoft.com/office/drawing/2014/main" id="{75E327DC-473F-42FF-DFDF-7DC9F50F2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8300" y="10883900"/>
          <a:ext cx="6134100" cy="3644900"/>
        </a:xfrm>
        <a:prstGeom prst="rect">
          <a:avLst/>
        </a:prstGeom>
        <a:ln w="15875">
          <a:solidFill>
            <a:srgbClr val="3D3A6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17</xdr:row>
      <xdr:rowOff>12700</xdr:rowOff>
    </xdr:from>
    <xdr:to>
      <xdr:col>5</xdr:col>
      <xdr:colOff>957580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D9506-4795-E147-8267-C25362E72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33</xdr:row>
      <xdr:rowOff>12700</xdr:rowOff>
    </xdr:from>
    <xdr:to>
      <xdr:col>5</xdr:col>
      <xdr:colOff>952500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8391F-ED4C-044D-8F02-9AD74B1CC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</xdr:colOff>
      <xdr:row>1</xdr:row>
      <xdr:rowOff>12700</xdr:rowOff>
    </xdr:from>
    <xdr:to>
      <xdr:col>14</xdr:col>
      <xdr:colOff>12700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649B2-34BC-9846-B7BC-BA054DA10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33</xdr:row>
      <xdr:rowOff>12700</xdr:rowOff>
    </xdr:from>
    <xdr:to>
      <xdr:col>14</xdr:col>
      <xdr:colOff>12700</xdr:colOff>
      <xdr:row>48</xdr:row>
      <xdr:rowOff>20320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CE6E34-413F-8A43-9777-3619019E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17</xdr:row>
      <xdr:rowOff>12700</xdr:rowOff>
    </xdr:from>
    <xdr:to>
      <xdr:col>14</xdr:col>
      <xdr:colOff>0</xdr:colOff>
      <xdr:row>32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3FAF9-CEC9-7741-9ACD-82CE69DC8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adalwai/Library/Messages/Attachments/93/03/AA215591-E6FD-472E-8D93-AEDF61FCE3FE/FILE_1214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adalwai/Library/Messages/Attachments/44/04/88F56FE9-7297-42B1-BCD1-705F01B3A297/FILE_7717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lone Balance Sheet"/>
      <sheetName val="Standalone Profit and Los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Balance Sheet"/>
      <sheetName val="Income Statemen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84FC0-C316-734D-B610-DE1A8C1009A5}" name="Table4" displayName="Table4" ref="A5:C35" totalsRowShown="0" headerRowDxfId="23" dataDxfId="22">
  <tableColumns count="3">
    <tableColumn id="1" xr3:uid="{E9B65954-EE14-344F-A91D-5E35514D43F0}" name="Statement of Profit and Loss for the year ended 31 March 2022" dataDxfId="21"/>
    <tableColumn id="2" xr3:uid="{B75B41D2-097D-5F41-B9B8-4D1DCCCCF808}" name=" " dataDxfId="20"/>
    <tableColumn id="3" xr3:uid="{806AD576-ACF9-2047-B61A-A5AFF613BAF9}" name="  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96ADF0-8507-3643-BF9D-82C6B5576E1C}" name="Table7" displayName="Table7" ref="A2:C49" totalsRowShown="0" headerRowDxfId="18" dataDxfId="17" tableBorderDxfId="16" headerRowCellStyle="Normal 2">
  <tableColumns count="3">
    <tableColumn id="1" xr3:uid="{00057B5B-48B2-7E44-9E65-6BD3E4922EF1}" name="Balance Sheet" dataDxfId="15"/>
    <tableColumn id="3" xr3:uid="{69EC2CD6-B8D6-FB4F-A59D-E6C03C71FCE0}" name="31 March 2022" dataDxfId="14"/>
    <tableColumn id="4" xr3:uid="{7948D154-1CE8-0941-9309-2BC4FBFF393B}" name="31 March 2021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7007F-1DB6-E845-B4A8-5086A614B8AF}" name="Table6" displayName="Table6" ref="A3:C19" totalsRowShown="0" headerRowDxfId="12" dataDxfId="11">
  <tableColumns count="3">
    <tableColumn id="1" xr3:uid="{CEEF00E0-FA90-5542-BAB8-2186B8A4AE17}" name="Ratios" dataDxfId="10"/>
    <tableColumn id="2" xr3:uid="{183741F7-F7D8-DD46-BF50-65AC52AF444F}" name="2022" dataDxfId="9"/>
    <tableColumn id="3" xr3:uid="{CAF4656F-EDD2-8342-95D0-C915C02FACD8}" name="2021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0731EC-9EDF-204F-BDB8-030E12940DE5}" name="Table62" displayName="Table62" ref="U4:V20" totalsRowShown="0" headerRowDxfId="7" dataDxfId="6">
  <tableColumns count="2">
    <tableColumn id="1" xr3:uid="{08395B75-1E34-C140-918D-AD0F961C863A}" name="Ratios" dataDxfId="5"/>
    <tableColumn id="2" xr3:uid="{CDB80276-CF09-444E-ABD4-E8EB073B30B4}" name="2022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F7CED6-8263-B148-B021-FDA2131E17FA}" name="Table624" displayName="Table624" ref="X4:Y20" totalsRowShown="0" headerRowDxfId="3" dataDxfId="2">
  <tableColumns count="2">
    <tableColumn id="1" xr3:uid="{4AC971FE-F650-474C-8A91-B2125CEF57DB}" name="Ratios" dataDxfId="1"/>
    <tableColumn id="2" xr3:uid="{39A6831E-48C7-8B4A-8209-76DC9CF69DC9}" name="20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 /><Relationship Id="rId1" Type="http://schemas.openxmlformats.org/officeDocument/2006/relationships/printerSettings" Target="../printerSettings/printerSettings16.bin" 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 /><Relationship Id="rId1" Type="http://schemas.openxmlformats.org/officeDocument/2006/relationships/printerSettings" Target="../printerSettings/printerSettings17.bin" 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 /><Relationship Id="rId1" Type="http://schemas.openxmlformats.org/officeDocument/2006/relationships/printerSettings" Target="../printerSettings/printerSettings18.bin" 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 /><Relationship Id="rId1" Type="http://schemas.openxmlformats.org/officeDocument/2006/relationships/printerSettings" Target="../printerSettings/printerSettings21.bin" 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2.bin" 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3.bin" 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 /><Relationship Id="rId2" Type="http://schemas.openxmlformats.org/officeDocument/2006/relationships/drawing" Target="../drawings/drawing14.xml" /><Relationship Id="rId1" Type="http://schemas.openxmlformats.org/officeDocument/2006/relationships/printerSettings" Target="../printerSettings/printerSettings24.bin" /><Relationship Id="rId5" Type="http://schemas.openxmlformats.org/officeDocument/2006/relationships/table" Target="../tables/table5.xml" /><Relationship Id="rId4" Type="http://schemas.openxmlformats.org/officeDocument/2006/relationships/table" Target="../tables/table4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E584-1F44-C44E-BE2C-8941E080BBA6}">
  <dimension ref="B1:Y40"/>
  <sheetViews>
    <sheetView showGridLines="0" tabSelected="1" zoomScaleNormal="100" zoomScaleSheetLayoutView="90" workbookViewId="0">
      <selection activeCell="B1" sqref="B1:F1"/>
    </sheetView>
  </sheetViews>
  <sheetFormatPr defaultColWidth="10.8515625" defaultRowHeight="15" x14ac:dyDescent="0.2"/>
  <cols>
    <col min="1" max="1" width="3.328125" customWidth="1"/>
    <col min="2" max="2" width="12.9453125" bestFit="1" customWidth="1"/>
    <col min="3" max="3" width="15.53515625" bestFit="1" customWidth="1"/>
    <col min="4" max="6" width="14.796875" customWidth="1"/>
    <col min="7" max="8" width="3.328125" customWidth="1"/>
    <col min="9" max="9" width="9.73828125" customWidth="1"/>
    <col min="10" max="15" width="10.48046875" customWidth="1"/>
    <col min="16" max="17" width="3.328125" customWidth="1"/>
    <col min="18" max="18" width="21.20703125" customWidth="1"/>
    <col min="19" max="23" width="9" customWidth="1"/>
    <col min="24" max="24" width="9.24609375" customWidth="1"/>
    <col min="25" max="26" width="3.328125" customWidth="1"/>
  </cols>
  <sheetData>
    <row r="1" spans="2:25" x14ac:dyDescent="0.2">
      <c r="B1" s="385" t="s">
        <v>487</v>
      </c>
      <c r="C1" s="385"/>
      <c r="D1" s="385"/>
      <c r="E1" s="385"/>
      <c r="F1" s="385"/>
    </row>
    <row r="2" spans="2:25" x14ac:dyDescent="0.2">
      <c r="B2" s="385" t="s">
        <v>15</v>
      </c>
      <c r="C2" s="385"/>
      <c r="D2" s="385"/>
      <c r="E2" s="385"/>
      <c r="F2" s="385"/>
      <c r="I2" s="385" t="s">
        <v>16</v>
      </c>
      <c r="J2" s="385"/>
      <c r="K2" s="385"/>
      <c r="L2" s="385"/>
      <c r="M2" s="385"/>
      <c r="N2" s="385"/>
      <c r="O2" s="385"/>
      <c r="R2" s="385" t="s">
        <v>24</v>
      </c>
      <c r="S2" s="385"/>
      <c r="T2" s="385"/>
      <c r="U2" s="385"/>
      <c r="V2" s="385"/>
      <c r="W2" s="385"/>
      <c r="X2" s="385"/>
      <c r="Y2" s="385"/>
    </row>
    <row r="4" spans="2:25" x14ac:dyDescent="0.2">
      <c r="B4" s="375" t="s">
        <v>0</v>
      </c>
      <c r="C4" s="375"/>
      <c r="D4" s="375"/>
      <c r="E4" s="375"/>
      <c r="F4" s="375"/>
      <c r="I4" s="386" t="s">
        <v>22</v>
      </c>
      <c r="J4" s="386"/>
      <c r="K4" s="386"/>
      <c r="L4" s="386"/>
      <c r="M4" s="386"/>
      <c r="N4" s="386"/>
      <c r="O4" s="386"/>
    </row>
    <row r="5" spans="2:25" x14ac:dyDescent="0.2">
      <c r="B5" s="1" t="s">
        <v>1</v>
      </c>
      <c r="C5" s="1" t="s">
        <v>2</v>
      </c>
      <c r="D5" s="2" t="s">
        <v>3</v>
      </c>
      <c r="E5" s="2" t="s">
        <v>4</v>
      </c>
      <c r="F5" s="3" t="s">
        <v>5</v>
      </c>
      <c r="I5" s="383" t="s">
        <v>1</v>
      </c>
      <c r="J5" s="382" t="s">
        <v>17</v>
      </c>
      <c r="K5" s="382"/>
      <c r="L5" s="382" t="s">
        <v>18</v>
      </c>
      <c r="M5" s="382"/>
      <c r="N5" s="382" t="s">
        <v>19</v>
      </c>
      <c r="O5" s="382"/>
      <c r="R5" s="409"/>
      <c r="S5" s="411" t="s">
        <v>114</v>
      </c>
      <c r="T5" s="412"/>
      <c r="U5" s="411" t="s">
        <v>115</v>
      </c>
      <c r="V5" s="412"/>
      <c r="W5" s="411" t="s">
        <v>116</v>
      </c>
      <c r="X5" s="412"/>
    </row>
    <row r="6" spans="2:25" x14ac:dyDescent="0.2">
      <c r="B6" s="378" t="s">
        <v>6</v>
      </c>
      <c r="C6" s="4" t="s">
        <v>7</v>
      </c>
      <c r="D6" s="19">
        <v>3</v>
      </c>
      <c r="E6" s="19">
        <v>2</v>
      </c>
      <c r="F6" s="5">
        <v>1.5</v>
      </c>
      <c r="I6" s="383"/>
      <c r="J6" s="382"/>
      <c r="K6" s="382"/>
      <c r="L6" s="382"/>
      <c r="M6" s="382"/>
      <c r="N6" s="382"/>
      <c r="O6" s="382"/>
      <c r="R6" s="410"/>
      <c r="S6" s="413"/>
      <c r="T6" s="414"/>
      <c r="U6" s="413"/>
      <c r="V6" s="414"/>
      <c r="W6" s="413"/>
      <c r="X6" s="414"/>
    </row>
    <row r="7" spans="2:25" x14ac:dyDescent="0.2">
      <c r="B7" s="376"/>
      <c r="C7" s="6" t="s">
        <v>7</v>
      </c>
      <c r="D7" s="14">
        <v>3</v>
      </c>
      <c r="E7" s="14">
        <v>2</v>
      </c>
      <c r="F7" s="7">
        <v>1.5</v>
      </c>
      <c r="I7" s="384"/>
      <c r="J7" s="15" t="s">
        <v>20</v>
      </c>
      <c r="K7" s="15" t="s">
        <v>21</v>
      </c>
      <c r="L7" s="15" t="s">
        <v>20</v>
      </c>
      <c r="M7" s="15" t="s">
        <v>21</v>
      </c>
      <c r="N7" s="15" t="s">
        <v>20</v>
      </c>
      <c r="O7" s="15" t="s">
        <v>21</v>
      </c>
      <c r="R7" s="28" t="s">
        <v>17</v>
      </c>
      <c r="S7" s="403">
        <v>656.18</v>
      </c>
      <c r="T7" s="404"/>
      <c r="U7" s="403">
        <v>872.72</v>
      </c>
      <c r="V7" s="404"/>
      <c r="W7" s="395">
        <v>2223.75</v>
      </c>
      <c r="X7" s="396"/>
    </row>
    <row r="8" spans="2:25" x14ac:dyDescent="0.2">
      <c r="B8" s="376"/>
      <c r="C8" s="6" t="s">
        <v>8</v>
      </c>
      <c r="D8" s="14">
        <v>3.2</v>
      </c>
      <c r="E8" s="14">
        <v>2</v>
      </c>
      <c r="F8" s="7">
        <v>1.6</v>
      </c>
      <c r="I8" s="16" t="s">
        <v>6</v>
      </c>
      <c r="J8" s="19">
        <v>474.45</v>
      </c>
      <c r="K8" s="19">
        <v>409.3</v>
      </c>
      <c r="L8" s="19">
        <v>860.95</v>
      </c>
      <c r="M8" s="19">
        <v>645</v>
      </c>
      <c r="N8" s="19">
        <v>305.5</v>
      </c>
      <c r="O8" s="19">
        <v>252.1</v>
      </c>
      <c r="R8" s="17" t="s">
        <v>18</v>
      </c>
      <c r="S8" s="397">
        <v>1443.24</v>
      </c>
      <c r="T8" s="398"/>
      <c r="U8" s="397">
        <v>2407.9699999999998</v>
      </c>
      <c r="V8" s="398"/>
      <c r="W8" s="397">
        <v>5690.38</v>
      </c>
      <c r="X8" s="398"/>
    </row>
    <row r="9" spans="2:25" ht="25.5" x14ac:dyDescent="0.2">
      <c r="B9" s="377"/>
      <c r="C9" s="8" t="s">
        <v>9</v>
      </c>
      <c r="D9" s="20">
        <v>9.1999999999999993</v>
      </c>
      <c r="E9" s="20">
        <v>2</v>
      </c>
      <c r="F9" s="9">
        <v>4.5999999999999996</v>
      </c>
      <c r="I9" s="17" t="s">
        <v>10</v>
      </c>
      <c r="J9" s="14">
        <v>224.45</v>
      </c>
      <c r="K9" s="14">
        <v>182.75</v>
      </c>
      <c r="L9" s="14">
        <v>408.95</v>
      </c>
      <c r="M9" s="14">
        <v>327.55</v>
      </c>
      <c r="N9" s="14">
        <v>223.55</v>
      </c>
      <c r="O9" s="14">
        <v>182.6</v>
      </c>
      <c r="R9" s="29" t="s">
        <v>19</v>
      </c>
      <c r="S9" s="399">
        <v>11853.01</v>
      </c>
      <c r="T9" s="400"/>
      <c r="U9" s="399">
        <v>17058.38</v>
      </c>
      <c r="V9" s="400"/>
      <c r="W9" s="399">
        <v>28334.23</v>
      </c>
      <c r="X9" s="400"/>
    </row>
    <row r="10" spans="2:25" x14ac:dyDescent="0.2">
      <c r="B10" s="376" t="s">
        <v>10</v>
      </c>
      <c r="C10" s="6" t="s">
        <v>8</v>
      </c>
      <c r="D10" s="14">
        <v>4.5999999999999996</v>
      </c>
      <c r="E10" s="14">
        <v>2</v>
      </c>
      <c r="F10" s="7">
        <v>2.2999999999999998</v>
      </c>
      <c r="I10" s="10" t="s">
        <v>11</v>
      </c>
      <c r="J10" s="22">
        <v>227</v>
      </c>
      <c r="K10" s="22">
        <v>119</v>
      </c>
      <c r="L10" s="22">
        <v>525</v>
      </c>
      <c r="M10" s="22">
        <v>209.5</v>
      </c>
      <c r="N10" s="22">
        <v>263</v>
      </c>
      <c r="O10" s="22">
        <v>149.65</v>
      </c>
    </row>
    <row r="11" spans="2:25" x14ac:dyDescent="0.2">
      <c r="B11" s="377"/>
      <c r="C11" s="8" t="s">
        <v>9</v>
      </c>
      <c r="D11" s="20">
        <v>4.5999999999999996</v>
      </c>
      <c r="E11" s="20">
        <v>2</v>
      </c>
      <c r="F11" s="9">
        <v>2.2999999999999998</v>
      </c>
      <c r="I11" s="415" t="s">
        <v>23</v>
      </c>
      <c r="J11" s="415"/>
      <c r="K11" s="415"/>
      <c r="L11" s="415"/>
      <c r="M11" s="415"/>
      <c r="N11" s="415"/>
      <c r="O11" s="415"/>
    </row>
    <row r="12" spans="2:25" x14ac:dyDescent="0.2">
      <c r="B12" s="376" t="s">
        <v>11</v>
      </c>
      <c r="C12" s="6" t="s">
        <v>12</v>
      </c>
      <c r="D12" s="14">
        <v>4</v>
      </c>
      <c r="E12" s="14">
        <v>2</v>
      </c>
      <c r="F12" s="7">
        <v>2</v>
      </c>
    </row>
    <row r="13" spans="2:25" x14ac:dyDescent="0.2">
      <c r="B13" s="376"/>
      <c r="C13" s="6" t="s">
        <v>7</v>
      </c>
      <c r="D13" s="14">
        <v>2.2000000000000002</v>
      </c>
      <c r="E13" s="14">
        <v>2</v>
      </c>
      <c r="F13" s="7">
        <v>1.1000000000000001</v>
      </c>
    </row>
    <row r="14" spans="2:25" x14ac:dyDescent="0.2">
      <c r="B14" s="376"/>
      <c r="C14" s="6" t="s">
        <v>7</v>
      </c>
      <c r="D14" s="14">
        <v>2.4</v>
      </c>
      <c r="E14" s="14">
        <v>2</v>
      </c>
      <c r="F14" s="7">
        <v>1.2</v>
      </c>
    </row>
    <row r="15" spans="2:25" x14ac:dyDescent="0.2">
      <c r="B15" s="379"/>
      <c r="C15" s="10" t="s">
        <v>9</v>
      </c>
      <c r="D15" s="21">
        <v>8.6</v>
      </c>
      <c r="E15" s="21">
        <v>2</v>
      </c>
      <c r="F15" s="11">
        <v>4.3</v>
      </c>
    </row>
    <row r="29" spans="18:24" ht="28.9" customHeight="1" x14ac:dyDescent="0.2"/>
    <row r="31" spans="18:24" x14ac:dyDescent="0.2">
      <c r="R31" s="401"/>
      <c r="S31" s="401"/>
      <c r="T31" s="45">
        <v>43921</v>
      </c>
      <c r="U31" s="393" t="s">
        <v>25</v>
      </c>
      <c r="V31" s="45">
        <v>44286</v>
      </c>
      <c r="W31" s="393" t="s">
        <v>25</v>
      </c>
      <c r="X31" s="45">
        <v>44651</v>
      </c>
    </row>
    <row r="32" spans="18:24" ht="30" customHeight="1" x14ac:dyDescent="0.2">
      <c r="R32" s="402"/>
      <c r="S32" s="402"/>
      <c r="T32" s="46" t="s">
        <v>26</v>
      </c>
      <c r="U32" s="394"/>
      <c r="V32" s="46" t="s">
        <v>26</v>
      </c>
      <c r="W32" s="394"/>
      <c r="X32" s="46" t="s">
        <v>26</v>
      </c>
    </row>
    <row r="33" spans="2:24" x14ac:dyDescent="0.2">
      <c r="B33" s="373"/>
      <c r="C33" s="374"/>
      <c r="D33" s="12" t="s">
        <v>6</v>
      </c>
      <c r="E33" s="12" t="s">
        <v>10</v>
      </c>
      <c r="F33" s="12" t="s">
        <v>11</v>
      </c>
      <c r="I33" s="23"/>
      <c r="J33" s="382" t="s">
        <v>28</v>
      </c>
      <c r="K33" s="382"/>
      <c r="L33" s="382" t="s">
        <v>29</v>
      </c>
      <c r="M33" s="382"/>
      <c r="N33" s="382" t="s">
        <v>27</v>
      </c>
      <c r="O33" s="382"/>
      <c r="R33" s="405" t="s">
        <v>17</v>
      </c>
      <c r="S33" s="406"/>
      <c r="T33" s="4">
        <v>656.18</v>
      </c>
      <c r="U33" s="49">
        <v>0.33</v>
      </c>
      <c r="V33" s="4">
        <v>872.72</v>
      </c>
      <c r="W33" s="52">
        <v>1.5481</v>
      </c>
      <c r="X33" s="55">
        <v>2223.75</v>
      </c>
    </row>
    <row r="34" spans="2:24" x14ac:dyDescent="0.2">
      <c r="B34" s="380" t="s">
        <v>14</v>
      </c>
      <c r="C34" s="381"/>
      <c r="D34" s="14">
        <v>9.1999999999999993</v>
      </c>
      <c r="E34" s="14">
        <v>4.5999999999999996</v>
      </c>
      <c r="F34" s="14">
        <v>8.6</v>
      </c>
      <c r="I34" s="24"/>
      <c r="J34" s="416"/>
      <c r="K34" s="416"/>
      <c r="L34" s="416"/>
      <c r="M34" s="416"/>
      <c r="N34" s="416"/>
      <c r="O34" s="416"/>
      <c r="R34" s="380" t="s">
        <v>18</v>
      </c>
      <c r="S34" s="381"/>
      <c r="T34" s="47">
        <v>1443.24</v>
      </c>
      <c r="U34" s="50">
        <v>0.66839999999999999</v>
      </c>
      <c r="V34" s="47">
        <v>2407.9699999999998</v>
      </c>
      <c r="W34" s="53">
        <v>1.3631</v>
      </c>
      <c r="X34" s="47">
        <v>5690.38</v>
      </c>
    </row>
    <row r="35" spans="2:24" x14ac:dyDescent="0.2">
      <c r="B35" s="380" t="s">
        <v>13</v>
      </c>
      <c r="C35" s="381"/>
      <c r="D35" s="14">
        <v>2</v>
      </c>
      <c r="E35" s="14">
        <v>2</v>
      </c>
      <c r="F35" s="14">
        <v>2</v>
      </c>
      <c r="I35" s="27" t="s">
        <v>6</v>
      </c>
      <c r="J35" s="389">
        <v>441.88</v>
      </c>
      <c r="K35" s="390"/>
      <c r="L35" s="389">
        <v>752.98</v>
      </c>
      <c r="M35" s="390"/>
      <c r="N35" s="389">
        <v>278.8</v>
      </c>
      <c r="O35" s="390"/>
      <c r="R35" s="407" t="s">
        <v>19</v>
      </c>
      <c r="S35" s="408"/>
      <c r="T35" s="48">
        <v>11853.01</v>
      </c>
      <c r="U35" s="51">
        <v>0.43919999999999998</v>
      </c>
      <c r="V35" s="48">
        <v>17058.38</v>
      </c>
      <c r="W35" s="54">
        <v>0.66100000000000003</v>
      </c>
      <c r="X35" s="48">
        <v>28334.23</v>
      </c>
    </row>
    <row r="36" spans="2:24" x14ac:dyDescent="0.2">
      <c r="B36" s="371" t="s">
        <v>5</v>
      </c>
      <c r="C36" s="372"/>
      <c r="D36" s="13">
        <v>4.5999999999999996</v>
      </c>
      <c r="E36" s="13">
        <v>2.2999999999999998</v>
      </c>
      <c r="F36" s="13">
        <v>4.3</v>
      </c>
      <c r="I36" s="25" t="s">
        <v>10</v>
      </c>
      <c r="J36" s="391">
        <v>203.6</v>
      </c>
      <c r="K36" s="392"/>
      <c r="L36" s="391">
        <v>368.25</v>
      </c>
      <c r="M36" s="392"/>
      <c r="N36" s="391">
        <v>203.08</v>
      </c>
      <c r="O36" s="392"/>
    </row>
    <row r="37" spans="2:24" x14ac:dyDescent="0.2">
      <c r="I37" s="26" t="s">
        <v>11</v>
      </c>
      <c r="J37" s="387">
        <v>173</v>
      </c>
      <c r="K37" s="388"/>
      <c r="L37" s="387">
        <v>367.25</v>
      </c>
      <c r="M37" s="388"/>
      <c r="N37" s="387">
        <v>206.33</v>
      </c>
      <c r="O37" s="388"/>
    </row>
    <row r="40" spans="2:24" ht="28.9" customHeight="1" x14ac:dyDescent="0.2"/>
  </sheetData>
  <mergeCells count="49">
    <mergeCell ref="B1:F1"/>
    <mergeCell ref="R33:S33"/>
    <mergeCell ref="R34:S34"/>
    <mergeCell ref="R35:S35"/>
    <mergeCell ref="U31:U32"/>
    <mergeCell ref="R2:Y2"/>
    <mergeCell ref="R5:R6"/>
    <mergeCell ref="S5:T6"/>
    <mergeCell ref="U5:V6"/>
    <mergeCell ref="W5:X6"/>
    <mergeCell ref="I11:O11"/>
    <mergeCell ref="J33:K34"/>
    <mergeCell ref="L33:M34"/>
    <mergeCell ref="N33:O34"/>
    <mergeCell ref="J5:K6"/>
    <mergeCell ref="L5:M6"/>
    <mergeCell ref="W31:W32"/>
    <mergeCell ref="W7:X7"/>
    <mergeCell ref="W8:X8"/>
    <mergeCell ref="W9:X9"/>
    <mergeCell ref="R31:S32"/>
    <mergeCell ref="S7:T7"/>
    <mergeCell ref="S8:T8"/>
    <mergeCell ref="S9:T9"/>
    <mergeCell ref="U7:V7"/>
    <mergeCell ref="U8:V8"/>
    <mergeCell ref="U9:V9"/>
    <mergeCell ref="N37:O37"/>
    <mergeCell ref="J35:K35"/>
    <mergeCell ref="J36:K36"/>
    <mergeCell ref="L35:M35"/>
    <mergeCell ref="N35:O35"/>
    <mergeCell ref="N36:O36"/>
    <mergeCell ref="J37:K37"/>
    <mergeCell ref="L36:M36"/>
    <mergeCell ref="L37:M37"/>
    <mergeCell ref="N5:O6"/>
    <mergeCell ref="I5:I7"/>
    <mergeCell ref="B2:F2"/>
    <mergeCell ref="I4:O4"/>
    <mergeCell ref="I2:O2"/>
    <mergeCell ref="B36:C36"/>
    <mergeCell ref="B33:C33"/>
    <mergeCell ref="B4:F4"/>
    <mergeCell ref="B10:B11"/>
    <mergeCell ref="B6:B9"/>
    <mergeCell ref="B12:B15"/>
    <mergeCell ref="B35:C35"/>
    <mergeCell ref="B34:C3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F161-3EF2-7C42-914B-0B8519DDFD6D}">
  <dimension ref="A2:Y162"/>
  <sheetViews>
    <sheetView topLeftCell="A2" zoomScale="75" workbookViewId="0">
      <selection activeCell="AA11" sqref="AA11"/>
    </sheetView>
  </sheetViews>
  <sheetFormatPr defaultColWidth="8.75390625" defaultRowHeight="15" x14ac:dyDescent="0.2"/>
  <cols>
    <col min="1" max="1" width="32.5546875" style="88" customWidth="1"/>
    <col min="2" max="2" width="26.7578125" style="88" customWidth="1"/>
    <col min="3" max="3" width="21.94921875" style="88" customWidth="1"/>
    <col min="4" max="4" width="18.25" style="88" customWidth="1"/>
    <col min="5" max="5" width="10.234375" style="88" customWidth="1"/>
    <col min="6" max="9" width="8.75390625" style="88" customWidth="1"/>
    <col min="10" max="10" width="22.8125" style="88" customWidth="1"/>
    <col min="11" max="11" width="31.3203125" style="88" customWidth="1"/>
    <col min="12" max="12" width="12.69921875" style="88" bestFit="1" customWidth="1"/>
    <col min="13" max="13" width="11.7109375" style="88" bestFit="1" customWidth="1"/>
    <col min="14" max="14" width="12.453125" style="88" customWidth="1"/>
    <col min="15" max="15" width="8.75390625" style="88"/>
    <col min="16" max="16" width="14.671875" style="88" customWidth="1"/>
    <col min="17" max="19" width="8.75390625" style="88" customWidth="1"/>
    <col min="20" max="16384" width="8.75390625" style="88"/>
  </cols>
  <sheetData>
    <row r="2" spans="1:25" ht="15.75" thickBot="1" x14ac:dyDescent="0.25"/>
    <row r="3" spans="1:25" ht="14.65" customHeight="1" x14ac:dyDescent="0.2">
      <c r="C3" s="475" t="s">
        <v>270</v>
      </c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7"/>
      <c r="R3" s="481" t="s">
        <v>271</v>
      </c>
      <c r="S3" s="482"/>
      <c r="T3" s="482"/>
      <c r="U3" s="482"/>
      <c r="V3" s="482"/>
      <c r="W3" s="482"/>
      <c r="X3" s="482"/>
      <c r="Y3" s="483"/>
    </row>
    <row r="4" spans="1:25" ht="15.75" thickBot="1" x14ac:dyDescent="0.25">
      <c r="C4" s="478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  <c r="R4" s="484"/>
      <c r="S4" s="485"/>
      <c r="T4" s="485"/>
      <c r="U4" s="485"/>
      <c r="V4" s="485"/>
      <c r="W4" s="485"/>
      <c r="X4" s="485"/>
      <c r="Y4" s="486"/>
    </row>
    <row r="8" spans="1:25" x14ac:dyDescent="0.2">
      <c r="A8" s="152" t="s">
        <v>272</v>
      </c>
      <c r="B8" s="152" t="s">
        <v>273</v>
      </c>
    </row>
    <row r="9" spans="1:25" x14ac:dyDescent="0.2">
      <c r="A9" s="153" t="s">
        <v>274</v>
      </c>
      <c r="B9" s="153">
        <v>2165</v>
      </c>
    </row>
    <row r="10" spans="1:25" x14ac:dyDescent="0.2">
      <c r="A10" s="153" t="s">
        <v>275</v>
      </c>
      <c r="B10" s="153">
        <v>2842</v>
      </c>
    </row>
    <row r="11" spans="1:25" x14ac:dyDescent="0.2">
      <c r="A11" s="153" t="s">
        <v>276</v>
      </c>
      <c r="B11" s="153">
        <v>8349</v>
      </c>
    </row>
    <row r="12" spans="1:25" x14ac:dyDescent="0.2">
      <c r="A12" s="153" t="s">
        <v>133</v>
      </c>
      <c r="B12" s="153">
        <v>53962</v>
      </c>
    </row>
    <row r="13" spans="1:25" x14ac:dyDescent="0.2">
      <c r="A13" s="153" t="s">
        <v>277</v>
      </c>
      <c r="B13" s="153">
        <v>20307</v>
      </c>
    </row>
    <row r="14" spans="1:25" x14ac:dyDescent="0.2">
      <c r="A14" s="153" t="s">
        <v>278</v>
      </c>
      <c r="B14" s="153">
        <v>389</v>
      </c>
    </row>
    <row r="15" spans="1:25" x14ac:dyDescent="0.2">
      <c r="A15" s="153" t="s">
        <v>29</v>
      </c>
      <c r="B15" s="153">
        <v>6734</v>
      </c>
    </row>
    <row r="16" spans="1:25" x14ac:dyDescent="0.2">
      <c r="A16" s="154"/>
    </row>
    <row r="17" spans="1:25" x14ac:dyDescent="0.2">
      <c r="A17" s="154"/>
      <c r="B17" s="154"/>
    </row>
    <row r="18" spans="1:25" x14ac:dyDescent="0.2">
      <c r="A18" s="154"/>
      <c r="B18" s="154"/>
    </row>
    <row r="22" spans="1:25" x14ac:dyDescent="0.2">
      <c r="A22" s="469" t="s">
        <v>279</v>
      </c>
      <c r="B22" s="470"/>
      <c r="C22" s="470"/>
      <c r="D22" s="470"/>
      <c r="E22" s="470"/>
      <c r="F22" s="470"/>
      <c r="G22" s="470"/>
      <c r="H22" s="470"/>
      <c r="I22" s="471"/>
      <c r="V22" s="463" t="s">
        <v>280</v>
      </c>
      <c r="W22" s="463"/>
      <c r="X22" s="463"/>
      <c r="Y22" s="463"/>
    </row>
    <row r="23" spans="1:25" x14ac:dyDescent="0.2">
      <c r="A23" s="472"/>
      <c r="B23" s="473"/>
      <c r="C23" s="473"/>
      <c r="D23" s="473"/>
      <c r="E23" s="473"/>
      <c r="F23" s="473"/>
      <c r="G23" s="473"/>
      <c r="H23" s="473"/>
      <c r="I23" s="474"/>
    </row>
    <row r="24" spans="1:25" x14ac:dyDescent="0.2">
      <c r="A24" s="153" t="s">
        <v>281</v>
      </c>
      <c r="B24" s="155">
        <v>44621</v>
      </c>
      <c r="C24" s="155">
        <v>44256</v>
      </c>
      <c r="D24" s="156">
        <v>43891</v>
      </c>
    </row>
    <row r="25" spans="1:25" x14ac:dyDescent="0.2">
      <c r="A25" s="87" t="s">
        <v>282</v>
      </c>
      <c r="B25" s="86"/>
      <c r="C25" s="86"/>
      <c r="D25" s="157"/>
    </row>
    <row r="26" spans="1:25" x14ac:dyDescent="0.2">
      <c r="A26" s="87" t="s">
        <v>283</v>
      </c>
      <c r="B26" s="86"/>
      <c r="C26" s="86"/>
      <c r="D26" s="157"/>
    </row>
    <row r="27" spans="1:25" x14ac:dyDescent="0.2">
      <c r="A27" s="86" t="s">
        <v>284</v>
      </c>
      <c r="B27" s="157">
        <v>462.53</v>
      </c>
      <c r="C27" s="157">
        <v>481.33</v>
      </c>
      <c r="D27" s="157">
        <v>510.48</v>
      </c>
    </row>
    <row r="28" spans="1:25" x14ac:dyDescent="0.2">
      <c r="A28" s="86" t="s">
        <v>285</v>
      </c>
      <c r="B28" s="157">
        <v>0.13</v>
      </c>
      <c r="C28" s="157">
        <v>0.8</v>
      </c>
      <c r="D28" s="157">
        <v>1.23</v>
      </c>
    </row>
    <row r="29" spans="1:25" x14ac:dyDescent="0.2">
      <c r="A29" s="86" t="s">
        <v>286</v>
      </c>
      <c r="B29" s="157">
        <v>0.33</v>
      </c>
      <c r="C29" s="157">
        <v>3.17</v>
      </c>
      <c r="D29" s="157">
        <v>6.06</v>
      </c>
    </row>
    <row r="30" spans="1:25" ht="14.65" customHeight="1" x14ac:dyDescent="0.2">
      <c r="A30" s="86" t="s">
        <v>287</v>
      </c>
      <c r="B30" s="157">
        <v>3.45</v>
      </c>
      <c r="C30" s="157">
        <v>3.52</v>
      </c>
      <c r="D30" s="157">
        <v>3.59</v>
      </c>
      <c r="J30" s="469" t="s">
        <v>288</v>
      </c>
      <c r="K30" s="470"/>
      <c r="L30" s="470"/>
      <c r="M30" s="470"/>
      <c r="N30" s="471"/>
      <c r="O30" s="158"/>
      <c r="P30" s="158"/>
      <c r="Q30" s="158"/>
      <c r="R30" s="158"/>
      <c r="S30" s="158"/>
    </row>
    <row r="31" spans="1:25" ht="14.65" customHeight="1" x14ac:dyDescent="0.2">
      <c r="A31" s="86" t="s">
        <v>106</v>
      </c>
      <c r="B31" s="157">
        <v>0.14000000000000001</v>
      </c>
      <c r="C31" s="157">
        <v>0.22</v>
      </c>
      <c r="D31" s="157">
        <v>0.66</v>
      </c>
      <c r="J31" s="487"/>
      <c r="K31" s="488"/>
      <c r="L31" s="488"/>
      <c r="M31" s="488"/>
      <c r="N31" s="489"/>
      <c r="O31" s="158"/>
      <c r="P31" s="158"/>
      <c r="Q31" s="158"/>
      <c r="R31" s="158"/>
      <c r="S31" s="158"/>
    </row>
    <row r="32" spans="1:25" x14ac:dyDescent="0.2">
      <c r="A32" s="86" t="s">
        <v>289</v>
      </c>
      <c r="B32" s="157">
        <v>0.33</v>
      </c>
      <c r="C32" s="157"/>
      <c r="D32" s="157"/>
      <c r="J32" s="159" t="s">
        <v>290</v>
      </c>
      <c r="K32" s="160" t="s">
        <v>291</v>
      </c>
      <c r="L32" s="490" t="s">
        <v>292</v>
      </c>
      <c r="M32" s="490"/>
      <c r="N32" s="491"/>
    </row>
    <row r="33" spans="1:14" x14ac:dyDescent="0.2">
      <c r="A33" s="86" t="s">
        <v>293</v>
      </c>
      <c r="B33" s="157"/>
      <c r="C33" s="157"/>
      <c r="D33" s="157"/>
      <c r="J33" s="161" t="s">
        <v>294</v>
      </c>
      <c r="K33" s="86"/>
      <c r="L33" s="153">
        <v>2022</v>
      </c>
      <c r="M33" s="153">
        <v>2021</v>
      </c>
      <c r="N33" s="162">
        <v>2020</v>
      </c>
    </row>
    <row r="34" spans="1:14" x14ac:dyDescent="0.2">
      <c r="A34" s="153" t="s">
        <v>295</v>
      </c>
      <c r="B34" s="157">
        <v>366.3</v>
      </c>
      <c r="C34" s="157">
        <v>472.67</v>
      </c>
      <c r="D34" s="157">
        <v>376.43</v>
      </c>
      <c r="J34" s="163" t="s">
        <v>35</v>
      </c>
      <c r="K34" s="86" t="s">
        <v>296</v>
      </c>
      <c r="L34" s="86">
        <f>B50/B75</f>
        <v>1.4437082442175821</v>
      </c>
      <c r="M34" s="86">
        <f>C50/C75</f>
        <v>1.2920529801324503</v>
      </c>
      <c r="N34" s="164">
        <f>D50/D75</f>
        <v>2.3873216636809049</v>
      </c>
    </row>
    <row r="35" spans="1:14" x14ac:dyDescent="0.2">
      <c r="A35" s="153" t="s">
        <v>297</v>
      </c>
      <c r="B35" s="157"/>
      <c r="C35" s="157">
        <v>3.66</v>
      </c>
      <c r="D35" s="157">
        <v>5.74</v>
      </c>
      <c r="J35" s="163" t="s">
        <v>37</v>
      </c>
      <c r="K35" s="86" t="s">
        <v>298</v>
      </c>
      <c r="L35" s="86">
        <f>(B50-B42)/B75</f>
        <v>0.4434822393226468</v>
      </c>
      <c r="M35" s="86">
        <f>(C50-C42)/C75</f>
        <v>0.40769164177812406</v>
      </c>
      <c r="N35" s="164">
        <f>(D50-D42)/D75</f>
        <v>0.6435144215895765</v>
      </c>
    </row>
    <row r="36" spans="1:14" x14ac:dyDescent="0.2">
      <c r="A36" s="153" t="s">
        <v>299</v>
      </c>
      <c r="B36" s="157">
        <v>22.77</v>
      </c>
      <c r="C36" s="157">
        <v>2.41</v>
      </c>
      <c r="D36" s="157">
        <v>0.01</v>
      </c>
      <c r="J36" s="163"/>
      <c r="K36" s="86"/>
      <c r="L36" s="86"/>
      <c r="M36" s="86"/>
      <c r="N36" s="164"/>
    </row>
    <row r="37" spans="1:14" x14ac:dyDescent="0.2">
      <c r="A37" s="165" t="s">
        <v>300</v>
      </c>
      <c r="B37" s="157">
        <v>643.05999999999995</v>
      </c>
      <c r="C37" s="157">
        <v>567.98</v>
      </c>
      <c r="D37" s="157">
        <v>532.1</v>
      </c>
      <c r="J37" s="166" t="s">
        <v>301</v>
      </c>
      <c r="K37" s="86"/>
      <c r="L37" s="86"/>
      <c r="M37" s="86"/>
      <c r="N37" s="164"/>
    </row>
    <row r="38" spans="1:14" x14ac:dyDescent="0.2">
      <c r="A38" s="165" t="s">
        <v>302</v>
      </c>
      <c r="B38" s="157">
        <v>110.8</v>
      </c>
      <c r="C38" s="157">
        <v>115.36</v>
      </c>
      <c r="D38" s="157">
        <v>55.2</v>
      </c>
      <c r="J38" s="163" t="s">
        <v>40</v>
      </c>
      <c r="K38" s="86" t="s">
        <v>303</v>
      </c>
      <c r="L38" s="86">
        <f>B62/B57</f>
        <v>-4.1512962792107659</v>
      </c>
      <c r="M38" s="86">
        <f>C62/C57</f>
        <v>-12.762031130390405</v>
      </c>
      <c r="N38" s="164">
        <f>D62/D57</f>
        <v>56.020651443922098</v>
      </c>
    </row>
    <row r="39" spans="1:14" x14ac:dyDescent="0.2">
      <c r="A39" s="167" t="s">
        <v>304</v>
      </c>
      <c r="B39" s="167">
        <v>1609.54</v>
      </c>
      <c r="C39" s="167">
        <v>1651.12</v>
      </c>
      <c r="D39" s="167">
        <v>1491.5</v>
      </c>
      <c r="J39" s="163" t="s">
        <v>305</v>
      </c>
      <c r="K39" s="86" t="s">
        <v>306</v>
      </c>
      <c r="L39" s="86">
        <f>B57/B51</f>
        <v>-0.17942344984155512</v>
      </c>
      <c r="M39" s="86">
        <f>C57/C51</f>
        <v>-4.2265673026110027E-2</v>
      </c>
      <c r="N39" s="164">
        <f>D57/D51</f>
        <v>1.238328298379736E-2</v>
      </c>
    </row>
    <row r="40" spans="1:14" x14ac:dyDescent="0.2">
      <c r="A40" s="86"/>
      <c r="B40" s="157"/>
      <c r="C40" s="157"/>
      <c r="D40" s="157"/>
      <c r="J40" s="163"/>
      <c r="K40" s="86"/>
      <c r="L40" s="86"/>
      <c r="M40" s="86"/>
      <c r="N40" s="164"/>
    </row>
    <row r="41" spans="1:14" x14ac:dyDescent="0.2">
      <c r="A41" s="168" t="s">
        <v>307</v>
      </c>
      <c r="B41" s="157"/>
      <c r="C41" s="157"/>
      <c r="D41" s="157"/>
      <c r="J41" s="161" t="s">
        <v>308</v>
      </c>
      <c r="K41" s="86"/>
      <c r="L41" s="86"/>
      <c r="M41" s="86"/>
      <c r="N41" s="164"/>
    </row>
    <row r="42" spans="1:14" x14ac:dyDescent="0.2">
      <c r="A42" s="86" t="s">
        <v>62</v>
      </c>
      <c r="B42" s="157">
        <v>1814.53</v>
      </c>
      <c r="C42" s="157">
        <v>2043.14</v>
      </c>
      <c r="D42" s="157">
        <v>2423.77</v>
      </c>
      <c r="J42" s="163" t="s">
        <v>309</v>
      </c>
      <c r="K42" s="86" t="s">
        <v>310</v>
      </c>
      <c r="L42" s="86">
        <f>((B127-B92-B91-B103)/B84)*100</f>
        <v>-21.880905128619045</v>
      </c>
      <c r="M42" s="86">
        <f>((C127-C92-C91-C103)/C84)*100</f>
        <v>-38.236613880934314</v>
      </c>
      <c r="N42" s="164">
        <f>((D127-D92-D91-D103)/D84)*100</f>
        <v>16.867215862927196</v>
      </c>
    </row>
    <row r="43" spans="1:14" x14ac:dyDescent="0.2">
      <c r="A43" s="86" t="s">
        <v>293</v>
      </c>
      <c r="B43" s="157"/>
      <c r="C43" s="157"/>
      <c r="D43" s="157"/>
      <c r="J43" s="163" t="s">
        <v>311</v>
      </c>
      <c r="K43" s="86" t="s">
        <v>312</v>
      </c>
      <c r="L43" s="86">
        <f>((B84-B123)/B84)*100</f>
        <v>44.385201925724758</v>
      </c>
      <c r="M43" s="86">
        <f>((C84-C123)/C84)*100</f>
        <v>55.526184823490055</v>
      </c>
      <c r="N43" s="164">
        <f>((D84-D123)/D84)*100</f>
        <v>53.154793125790626</v>
      </c>
    </row>
    <row r="44" spans="1:14" x14ac:dyDescent="0.2">
      <c r="A44" s="153" t="s">
        <v>313</v>
      </c>
      <c r="B44" s="157">
        <v>294.89999999999998</v>
      </c>
      <c r="C44" s="157">
        <v>656.37</v>
      </c>
      <c r="D44" s="157">
        <v>728.74</v>
      </c>
      <c r="J44" s="163" t="s">
        <v>314</v>
      </c>
      <c r="K44" s="86" t="s">
        <v>315</v>
      </c>
      <c r="L44" s="86">
        <f>((B127-B92-B91-B103)/B51)*100</f>
        <v>-10.898642576739343</v>
      </c>
      <c r="M44" s="86">
        <f>((C127-C92-C91-C103)/C51)*100</f>
        <v>-10.109034435900478</v>
      </c>
      <c r="N44" s="164">
        <f>((D127-D92-D91-D103)/D51)*100</f>
        <v>6.8197458890452856</v>
      </c>
    </row>
    <row r="45" spans="1:14" x14ac:dyDescent="0.2">
      <c r="A45" s="153" t="s">
        <v>316</v>
      </c>
      <c r="B45" s="157">
        <v>414.86</v>
      </c>
      <c r="C45" s="157">
        <v>141.88</v>
      </c>
      <c r="D45" s="157">
        <v>1.36</v>
      </c>
      <c r="J45" s="163" t="s">
        <v>317</v>
      </c>
      <c r="K45" s="86" t="s">
        <v>318</v>
      </c>
      <c r="L45" s="86">
        <f>((B127-B92)/(B39+B50-B75))*100</f>
        <v>-0.44647294655578013</v>
      </c>
      <c r="M45" s="86">
        <f>((C127-C92)/(C39+C50-C75))*100</f>
        <v>3.5376314035728882</v>
      </c>
      <c r="N45" s="164">
        <f>((D127-D92)/(D39+D50-D75))*100</f>
        <v>10.08515167642363</v>
      </c>
    </row>
    <row r="46" spans="1:14" x14ac:dyDescent="0.2">
      <c r="A46" s="153" t="s">
        <v>319</v>
      </c>
      <c r="B46" s="157">
        <v>52.14</v>
      </c>
      <c r="C46" s="157">
        <v>95.22</v>
      </c>
      <c r="D46" s="157">
        <v>44.17</v>
      </c>
      <c r="J46" s="163"/>
      <c r="K46" s="86"/>
      <c r="L46" s="86"/>
      <c r="M46" s="86"/>
      <c r="N46" s="164"/>
    </row>
    <row r="47" spans="1:14" x14ac:dyDescent="0.2">
      <c r="A47" s="153" t="s">
        <v>320</v>
      </c>
      <c r="B47" s="157">
        <v>0.05</v>
      </c>
      <c r="C47" s="157">
        <v>0.52</v>
      </c>
      <c r="D47" s="157">
        <v>0.47</v>
      </c>
      <c r="J47" s="161" t="s">
        <v>321</v>
      </c>
      <c r="K47" s="86"/>
      <c r="L47" s="86"/>
      <c r="M47" s="86"/>
      <c r="N47" s="164"/>
    </row>
    <row r="48" spans="1:14" x14ac:dyDescent="0.2">
      <c r="A48" s="153" t="s">
        <v>322</v>
      </c>
      <c r="B48" s="157">
        <v>4.13</v>
      </c>
      <c r="C48" s="157">
        <v>0.7</v>
      </c>
      <c r="D48" s="157">
        <v>3.92</v>
      </c>
      <c r="J48" s="163" t="s">
        <v>323</v>
      </c>
      <c r="K48" s="86" t="s">
        <v>324</v>
      </c>
      <c r="L48" s="86">
        <f>(B127-B92-B91-B103)/B128</f>
        <v>-22.313904332875456</v>
      </c>
      <c r="M48" s="86">
        <f>(C127-C92-C91-C103)/C128</f>
        <v>-22.69204865618353</v>
      </c>
      <c r="N48" s="164">
        <f>(D127-D92-D91-D103)/D128</f>
        <v>15.881577399267629</v>
      </c>
    </row>
    <row r="49" spans="1:14" x14ac:dyDescent="0.2">
      <c r="A49" s="86" t="s">
        <v>325</v>
      </c>
      <c r="B49" s="157">
        <v>38.450000000000003</v>
      </c>
      <c r="C49" s="157">
        <v>42.2</v>
      </c>
      <c r="D49" s="157">
        <v>116.28</v>
      </c>
      <c r="J49" s="163" t="s">
        <v>326</v>
      </c>
      <c r="K49" s="86" t="s">
        <v>327</v>
      </c>
      <c r="L49" s="86">
        <v>0</v>
      </c>
      <c r="M49" s="86">
        <v>0</v>
      </c>
      <c r="N49" s="164">
        <f>(0.2/44.5)*100</f>
        <v>0.44943820224719105</v>
      </c>
    </row>
    <row r="50" spans="1:14" x14ac:dyDescent="0.2">
      <c r="A50" s="167" t="s">
        <v>74</v>
      </c>
      <c r="B50" s="167">
        <v>2619.06</v>
      </c>
      <c r="C50" s="167">
        <v>2985.03</v>
      </c>
      <c r="D50" s="167">
        <v>3318.21</v>
      </c>
      <c r="J50" s="163"/>
      <c r="K50" s="86"/>
      <c r="L50" s="86"/>
      <c r="M50" s="86"/>
      <c r="N50" s="164"/>
    </row>
    <row r="51" spans="1:14" x14ac:dyDescent="0.2">
      <c r="A51" s="167" t="s">
        <v>328</v>
      </c>
      <c r="B51" s="167">
        <v>4228.6000000000004</v>
      </c>
      <c r="C51" s="167">
        <v>4636.1499999999996</v>
      </c>
      <c r="D51" s="167">
        <v>4809.71</v>
      </c>
      <c r="J51" s="161" t="s">
        <v>329</v>
      </c>
      <c r="K51" s="86"/>
      <c r="L51" s="86"/>
      <c r="M51" s="86"/>
      <c r="N51" s="164"/>
    </row>
    <row r="52" spans="1:14" x14ac:dyDescent="0.2">
      <c r="A52" s="86"/>
      <c r="B52" s="157"/>
      <c r="C52" s="157"/>
      <c r="D52" s="157"/>
      <c r="J52" s="163" t="s">
        <v>330</v>
      </c>
      <c r="K52" s="86" t="s">
        <v>331</v>
      </c>
      <c r="L52" s="86">
        <f>(B127-B92)/B91</f>
        <v>-2.0572519083969468E-2</v>
      </c>
      <c r="M52" s="86">
        <f>(C127-C92)/C91</f>
        <v>0.13983922228453918</v>
      </c>
      <c r="N52" s="164">
        <f>(D127-D92)/D91</f>
        <v>0.62274746307464512</v>
      </c>
    </row>
    <row r="53" spans="1:14" x14ac:dyDescent="0.2">
      <c r="A53" s="87" t="s">
        <v>332</v>
      </c>
      <c r="B53" s="157"/>
      <c r="C53" s="157"/>
      <c r="D53" s="157"/>
      <c r="J53" s="163"/>
      <c r="K53" s="86"/>
      <c r="L53" s="86"/>
      <c r="M53" s="86"/>
      <c r="N53" s="164"/>
    </row>
    <row r="54" spans="1:14" x14ac:dyDescent="0.2">
      <c r="A54" s="87" t="s">
        <v>333</v>
      </c>
      <c r="B54" s="157"/>
      <c r="C54" s="157"/>
      <c r="D54" s="157"/>
      <c r="J54" s="161" t="s">
        <v>334</v>
      </c>
      <c r="K54" s="86"/>
      <c r="L54" s="86"/>
      <c r="M54" s="86"/>
      <c r="N54" s="164"/>
    </row>
    <row r="55" spans="1:14" x14ac:dyDescent="0.2">
      <c r="A55" s="86" t="s">
        <v>335</v>
      </c>
      <c r="B55" s="157">
        <v>41.31</v>
      </c>
      <c r="C55" s="157" t="s">
        <v>336</v>
      </c>
      <c r="D55" s="157">
        <v>41.31</v>
      </c>
      <c r="J55" s="163" t="s">
        <v>45</v>
      </c>
      <c r="K55" s="86" t="s">
        <v>337</v>
      </c>
      <c r="L55" s="86">
        <f>B123/((B124+B126)/2)</f>
        <v>11.296846368984472</v>
      </c>
      <c r="M55" s="86">
        <f>C123/((C124+C126)/2)</f>
        <v>5.9735904881924284</v>
      </c>
      <c r="N55" s="164">
        <f>D123/((D124+D126)/2)</f>
        <v>16.330196289325087</v>
      </c>
    </row>
    <row r="56" spans="1:14" x14ac:dyDescent="0.2">
      <c r="A56" s="86" t="s">
        <v>338</v>
      </c>
      <c r="B56" s="157">
        <v>-799.75</v>
      </c>
      <c r="C56" s="157">
        <v>-237.43</v>
      </c>
      <c r="D56" s="157">
        <v>17.850000000000001</v>
      </c>
      <c r="J56" s="169" t="s">
        <v>339</v>
      </c>
      <c r="K56" s="170" t="s">
        <v>340</v>
      </c>
      <c r="L56" s="170">
        <f>B82/B39</f>
        <v>1.243162642742647</v>
      </c>
      <c r="M56" s="170">
        <f>C82/C39</f>
        <v>0.7227942245263822</v>
      </c>
      <c r="N56" s="171">
        <f>D82/D39</f>
        <v>1.2702782433791484</v>
      </c>
    </row>
    <row r="57" spans="1:14" x14ac:dyDescent="0.2">
      <c r="A57" s="167" t="s">
        <v>341</v>
      </c>
      <c r="B57" s="157">
        <v>-758.71</v>
      </c>
      <c r="C57" s="157">
        <v>-195.95</v>
      </c>
      <c r="D57" s="157">
        <v>59.56</v>
      </c>
    </row>
    <row r="58" spans="1:14" x14ac:dyDescent="0.2">
      <c r="A58" s="86"/>
      <c r="B58" s="157"/>
      <c r="C58" s="157"/>
      <c r="D58" s="157"/>
    </row>
    <row r="59" spans="1:14" x14ac:dyDescent="0.2">
      <c r="A59" s="87" t="s">
        <v>342</v>
      </c>
      <c r="B59" s="157"/>
      <c r="C59" s="157"/>
      <c r="D59" s="157"/>
    </row>
    <row r="60" spans="1:14" x14ac:dyDescent="0.2">
      <c r="A60" s="87" t="s">
        <v>343</v>
      </c>
      <c r="B60" s="157"/>
      <c r="C60" s="157"/>
      <c r="D60" s="157"/>
    </row>
    <row r="61" spans="1:14" x14ac:dyDescent="0.2">
      <c r="A61" s="86" t="s">
        <v>344</v>
      </c>
      <c r="B61" s="157"/>
      <c r="C61" s="157"/>
      <c r="D61" s="157"/>
    </row>
    <row r="62" spans="1:14" x14ac:dyDescent="0.2">
      <c r="A62" s="153" t="s">
        <v>345</v>
      </c>
      <c r="B62" s="157">
        <v>3149.63</v>
      </c>
      <c r="C62" s="157">
        <v>2500.7199999999998</v>
      </c>
      <c r="D62" s="157">
        <v>3336.59</v>
      </c>
    </row>
    <row r="63" spans="1:14" x14ac:dyDescent="0.2">
      <c r="A63" s="153" t="s">
        <v>346</v>
      </c>
      <c r="B63" s="157">
        <v>11.32</v>
      </c>
      <c r="C63" s="157">
        <v>7.67</v>
      </c>
      <c r="D63" s="157">
        <v>9.5500000000000007</v>
      </c>
    </row>
    <row r="64" spans="1:14" x14ac:dyDescent="0.2">
      <c r="A64" s="165" t="s">
        <v>167</v>
      </c>
      <c r="B64" s="157">
        <v>11.97</v>
      </c>
      <c r="C64" s="86">
        <v>13.39</v>
      </c>
      <c r="D64" s="157">
        <v>14.48</v>
      </c>
    </row>
    <row r="65" spans="1:21" x14ac:dyDescent="0.2">
      <c r="A65" s="167" t="s">
        <v>347</v>
      </c>
      <c r="B65" s="167">
        <v>3172.92</v>
      </c>
      <c r="C65" s="167">
        <v>2521.7800000000002</v>
      </c>
      <c r="D65" s="167">
        <v>3360.62</v>
      </c>
    </row>
    <row r="66" spans="1:21" x14ac:dyDescent="0.2">
      <c r="A66" s="86"/>
      <c r="B66" s="157"/>
      <c r="C66" s="157"/>
      <c r="D66" s="157"/>
    </row>
    <row r="67" spans="1:21" x14ac:dyDescent="0.2">
      <c r="A67" s="87" t="s">
        <v>348</v>
      </c>
      <c r="B67" s="157"/>
      <c r="C67" s="157"/>
      <c r="D67" s="157"/>
    </row>
    <row r="68" spans="1:21" x14ac:dyDescent="0.2">
      <c r="A68" s="86" t="s">
        <v>349</v>
      </c>
      <c r="B68" s="157"/>
      <c r="C68" s="157"/>
      <c r="D68" s="157"/>
    </row>
    <row r="69" spans="1:21" x14ac:dyDescent="0.2">
      <c r="A69" s="153" t="s">
        <v>345</v>
      </c>
      <c r="B69" s="157">
        <v>1292.1199999999999</v>
      </c>
      <c r="C69" s="157">
        <v>839.05</v>
      </c>
      <c r="D69" s="157">
        <v>784.08</v>
      </c>
    </row>
    <row r="70" spans="1:21" x14ac:dyDescent="0.2">
      <c r="A70" s="153" t="s">
        <v>350</v>
      </c>
      <c r="B70" s="157"/>
      <c r="C70" s="157">
        <v>2.58</v>
      </c>
      <c r="D70" s="157">
        <v>2.4500000000000002</v>
      </c>
      <c r="P70" s="469" t="s">
        <v>351</v>
      </c>
      <c r="Q70" s="470"/>
      <c r="R70" s="470"/>
      <c r="S70" s="470"/>
      <c r="T70" s="470"/>
      <c r="U70" s="471"/>
    </row>
    <row r="71" spans="1:21" x14ac:dyDescent="0.2">
      <c r="A71" s="153" t="s">
        <v>352</v>
      </c>
      <c r="B71" s="157">
        <v>335.29</v>
      </c>
      <c r="C71" s="157">
        <v>384.55</v>
      </c>
      <c r="D71" s="157">
        <v>308.68</v>
      </c>
      <c r="P71" s="472"/>
      <c r="Q71" s="473"/>
      <c r="R71" s="473"/>
      <c r="S71" s="473"/>
      <c r="T71" s="473"/>
      <c r="U71" s="474"/>
    </row>
    <row r="72" spans="1:21" x14ac:dyDescent="0.2">
      <c r="A72" s="153" t="s">
        <v>353</v>
      </c>
      <c r="B72" s="157">
        <v>83.4</v>
      </c>
      <c r="C72" s="157">
        <v>902.49</v>
      </c>
      <c r="D72" s="157">
        <v>165.53</v>
      </c>
      <c r="P72" s="172" t="s">
        <v>354</v>
      </c>
      <c r="Q72" s="173">
        <v>2022</v>
      </c>
      <c r="R72" s="173">
        <v>2021</v>
      </c>
      <c r="S72" s="174">
        <v>2020</v>
      </c>
    </row>
    <row r="73" spans="1:21" x14ac:dyDescent="0.2">
      <c r="A73" s="165" t="s">
        <v>355</v>
      </c>
      <c r="B73" s="157">
        <v>100.16</v>
      </c>
      <c r="C73" s="157">
        <v>123.67</v>
      </c>
      <c r="D73" s="157">
        <v>69.06</v>
      </c>
      <c r="P73" s="175" t="s">
        <v>274</v>
      </c>
      <c r="Q73" s="88">
        <v>1.44</v>
      </c>
      <c r="R73" s="88">
        <v>1.29</v>
      </c>
      <c r="S73" s="176">
        <v>2.38</v>
      </c>
    </row>
    <row r="74" spans="1:21" x14ac:dyDescent="0.2">
      <c r="A74" s="165" t="s">
        <v>167</v>
      </c>
      <c r="B74" s="157">
        <v>3.15</v>
      </c>
      <c r="C74" s="157">
        <v>3.96</v>
      </c>
      <c r="D74" s="157">
        <v>60.09</v>
      </c>
      <c r="P74" s="175" t="s">
        <v>278</v>
      </c>
      <c r="Q74" s="88">
        <v>1.49</v>
      </c>
      <c r="R74" s="88">
        <v>1.76</v>
      </c>
      <c r="S74" s="176">
        <v>1.23</v>
      </c>
    </row>
    <row r="75" spans="1:21" x14ac:dyDescent="0.2">
      <c r="A75" s="167" t="s">
        <v>356</v>
      </c>
      <c r="B75" s="167">
        <v>1814.12</v>
      </c>
      <c r="C75" s="167">
        <v>2310.3000000000002</v>
      </c>
      <c r="D75" s="167">
        <v>1389.93</v>
      </c>
      <c r="P75" s="175" t="s">
        <v>277</v>
      </c>
      <c r="Q75" s="88">
        <v>1.25</v>
      </c>
      <c r="R75" s="88">
        <v>0.99</v>
      </c>
      <c r="S75" s="176">
        <v>1.03</v>
      </c>
    </row>
    <row r="76" spans="1:21" x14ac:dyDescent="0.2">
      <c r="A76" s="167" t="s">
        <v>357</v>
      </c>
      <c r="B76" s="167">
        <v>4228.6000000000004</v>
      </c>
      <c r="C76" s="167">
        <v>4636.1499999999996</v>
      </c>
      <c r="D76" s="167">
        <v>4809.71</v>
      </c>
      <c r="P76" s="177" t="s">
        <v>358</v>
      </c>
      <c r="Q76" s="170">
        <f>(Q74+Q75)/2</f>
        <v>1.37</v>
      </c>
      <c r="R76" s="170">
        <f>(R74+R75)/2</f>
        <v>1.375</v>
      </c>
      <c r="S76" s="171">
        <f>(S74+S75)/2</f>
        <v>1.1299999999999999</v>
      </c>
    </row>
    <row r="77" spans="1:21" x14ac:dyDescent="0.2">
      <c r="B77" s="178"/>
    </row>
    <row r="78" spans="1:21" x14ac:dyDescent="0.2">
      <c r="B78" s="178"/>
      <c r="P78" s="172" t="s">
        <v>359</v>
      </c>
      <c r="Q78" s="173">
        <v>2022</v>
      </c>
      <c r="R78" s="173">
        <v>2021</v>
      </c>
      <c r="S78" s="174">
        <v>2020</v>
      </c>
    </row>
    <row r="79" spans="1:21" x14ac:dyDescent="0.2">
      <c r="A79" s="469" t="s">
        <v>360</v>
      </c>
      <c r="B79" s="470"/>
      <c r="C79" s="470"/>
      <c r="D79" s="470"/>
      <c r="E79" s="470"/>
      <c r="F79" s="471"/>
      <c r="P79" s="175" t="s">
        <v>274</v>
      </c>
      <c r="Q79" s="88">
        <v>0.44</v>
      </c>
      <c r="R79" s="88">
        <v>0.4</v>
      </c>
      <c r="S79" s="176">
        <v>0.64</v>
      </c>
    </row>
    <row r="80" spans="1:21" x14ac:dyDescent="0.2">
      <c r="A80" s="472"/>
      <c r="B80" s="473"/>
      <c r="C80" s="473"/>
      <c r="D80" s="473"/>
      <c r="E80" s="473"/>
      <c r="F80" s="474"/>
      <c r="P80" s="175" t="s">
        <v>278</v>
      </c>
      <c r="Q80" s="88">
        <v>0.67</v>
      </c>
      <c r="R80" s="88">
        <v>0.88</v>
      </c>
      <c r="S80" s="176">
        <v>0.59</v>
      </c>
    </row>
    <row r="81" spans="1:19" x14ac:dyDescent="0.2">
      <c r="A81" s="153" t="s">
        <v>281</v>
      </c>
      <c r="B81" s="155">
        <v>44621</v>
      </c>
      <c r="C81" s="155">
        <v>44256</v>
      </c>
      <c r="D81" s="155">
        <v>43891</v>
      </c>
      <c r="E81" s="86"/>
      <c r="F81" s="86"/>
      <c r="P81" s="175" t="s">
        <v>277</v>
      </c>
      <c r="Q81" s="88">
        <v>0.6</v>
      </c>
      <c r="R81" s="88">
        <v>0.44</v>
      </c>
      <c r="S81" s="176">
        <v>0.49</v>
      </c>
    </row>
    <row r="82" spans="1:19" x14ac:dyDescent="0.2">
      <c r="A82" s="86" t="s">
        <v>361</v>
      </c>
      <c r="B82" s="157">
        <v>2000.92</v>
      </c>
      <c r="C82" s="157">
        <v>1193.42</v>
      </c>
      <c r="D82" s="157">
        <v>1894.62</v>
      </c>
      <c r="P82" s="177" t="s">
        <v>358</v>
      </c>
      <c r="Q82" s="170">
        <f>(Q80+Q81)/2</f>
        <v>0.63500000000000001</v>
      </c>
      <c r="R82" s="170">
        <f>(R80+R81)/2</f>
        <v>0.66</v>
      </c>
      <c r="S82" s="171">
        <f>(S80+S81)/2</f>
        <v>0.54</v>
      </c>
    </row>
    <row r="83" spans="1:19" x14ac:dyDescent="0.2">
      <c r="A83" s="86" t="s">
        <v>362</v>
      </c>
      <c r="B83" s="157">
        <v>105.3</v>
      </c>
      <c r="C83" s="157">
        <v>32.29</v>
      </c>
      <c r="D83" s="157">
        <v>50.04</v>
      </c>
    </row>
    <row r="84" spans="1:19" x14ac:dyDescent="0.2">
      <c r="A84" s="167" t="s">
        <v>363</v>
      </c>
      <c r="B84" s="167">
        <v>2106.2199999999998</v>
      </c>
      <c r="C84" s="167">
        <v>1225.71</v>
      </c>
      <c r="D84" s="167">
        <v>1944.66</v>
      </c>
      <c r="P84" s="172" t="s">
        <v>364</v>
      </c>
      <c r="Q84" s="173">
        <v>2022</v>
      </c>
      <c r="R84" s="173">
        <v>2021</v>
      </c>
      <c r="S84" s="174">
        <v>2020</v>
      </c>
    </row>
    <row r="85" spans="1:19" x14ac:dyDescent="0.2">
      <c r="A85" s="86"/>
      <c r="B85" s="157"/>
      <c r="C85" s="157"/>
      <c r="D85" s="157"/>
      <c r="P85" s="175" t="s">
        <v>274</v>
      </c>
      <c r="Q85" s="88">
        <v>-4.1500000000000004</v>
      </c>
      <c r="R85" s="88">
        <v>-12.76</v>
      </c>
      <c r="S85" s="176">
        <v>56.02</v>
      </c>
    </row>
    <row r="86" spans="1:19" x14ac:dyDescent="0.2">
      <c r="A86" s="87" t="s">
        <v>365</v>
      </c>
      <c r="B86" s="157"/>
      <c r="C86" s="157"/>
      <c r="D86" s="157"/>
      <c r="P86" s="175" t="s">
        <v>278</v>
      </c>
      <c r="Q86" s="88">
        <v>0.65</v>
      </c>
      <c r="R86" s="88">
        <v>0.48</v>
      </c>
      <c r="S86" s="176">
        <v>0.76</v>
      </c>
    </row>
    <row r="87" spans="1:19" x14ac:dyDescent="0.2">
      <c r="A87" s="153" t="s">
        <v>92</v>
      </c>
      <c r="B87" s="157">
        <v>1171.3699999999999</v>
      </c>
      <c r="C87" s="157">
        <v>545.12</v>
      </c>
      <c r="D87" s="157">
        <v>910.98</v>
      </c>
      <c r="P87" s="175" t="s">
        <v>277</v>
      </c>
      <c r="Q87" s="88">
        <v>0.69</v>
      </c>
      <c r="R87" s="88">
        <v>0.73</v>
      </c>
      <c r="S87" s="176">
        <v>0.54</v>
      </c>
    </row>
    <row r="88" spans="1:19" x14ac:dyDescent="0.2">
      <c r="A88" s="153" t="s">
        <v>366</v>
      </c>
      <c r="B88" s="157">
        <v>4.58</v>
      </c>
      <c r="C88" s="157">
        <v>1.96</v>
      </c>
      <c r="D88" s="157">
        <v>160.91999999999999</v>
      </c>
      <c r="P88" s="177" t="s">
        <v>358</v>
      </c>
      <c r="Q88" s="170">
        <f>(Q86+Q87)/2</f>
        <v>0.66999999999999993</v>
      </c>
      <c r="R88" s="170">
        <f>(R86+R87)/2</f>
        <v>0.60499999999999998</v>
      </c>
      <c r="S88" s="171">
        <f>(S86+S87)/2</f>
        <v>0.65</v>
      </c>
    </row>
    <row r="89" spans="1:19" x14ac:dyDescent="0.2">
      <c r="A89" s="86" t="s">
        <v>367</v>
      </c>
      <c r="B89" s="157">
        <v>176.13</v>
      </c>
      <c r="C89" s="157">
        <v>307.13</v>
      </c>
      <c r="D89" s="157">
        <v>-54.61</v>
      </c>
    </row>
    <row r="90" spans="1:19" x14ac:dyDescent="0.2">
      <c r="A90" s="153" t="s">
        <v>368</v>
      </c>
      <c r="B90" s="157">
        <v>62.72</v>
      </c>
      <c r="C90" s="157">
        <v>60.33</v>
      </c>
      <c r="D90" s="157">
        <v>89.85</v>
      </c>
      <c r="P90" s="172" t="s">
        <v>369</v>
      </c>
      <c r="Q90" s="173">
        <v>2022</v>
      </c>
      <c r="R90" s="173">
        <v>2021</v>
      </c>
      <c r="S90" s="174">
        <v>2020</v>
      </c>
    </row>
    <row r="91" spans="1:19" x14ac:dyDescent="0.2">
      <c r="A91" s="153" t="s">
        <v>370</v>
      </c>
      <c r="B91" s="157">
        <v>524</v>
      </c>
      <c r="C91" s="157">
        <v>588.39</v>
      </c>
      <c r="D91" s="157">
        <v>553.82000000000005</v>
      </c>
      <c r="P91" s="175" t="s">
        <v>274</v>
      </c>
      <c r="Q91" s="88">
        <v>-0.17</v>
      </c>
      <c r="R91" s="88">
        <v>-0.04</v>
      </c>
      <c r="S91" s="176">
        <v>0.01</v>
      </c>
    </row>
    <row r="92" spans="1:19" x14ac:dyDescent="0.2">
      <c r="A92" s="153" t="s">
        <v>371</v>
      </c>
      <c r="B92" s="157">
        <v>32.78</v>
      </c>
      <c r="C92" s="157">
        <v>33.72</v>
      </c>
      <c r="D92" s="157">
        <v>33.11</v>
      </c>
      <c r="P92" s="175" t="s">
        <v>278</v>
      </c>
      <c r="Q92" s="88">
        <v>0.11</v>
      </c>
      <c r="R92" s="88">
        <v>0.03</v>
      </c>
      <c r="S92" s="176">
        <v>0.15</v>
      </c>
    </row>
    <row r="93" spans="1:19" x14ac:dyDescent="0.2">
      <c r="A93" s="153" t="s">
        <v>372</v>
      </c>
      <c r="B93" s="157">
        <v>435.98</v>
      </c>
      <c r="C93" s="157">
        <v>253.38</v>
      </c>
      <c r="D93" s="157">
        <v>458.66</v>
      </c>
      <c r="P93" s="175" t="s">
        <v>277</v>
      </c>
      <c r="Q93" s="88">
        <v>0.59</v>
      </c>
      <c r="R93" s="88">
        <v>0.57999999999999996</v>
      </c>
      <c r="S93" s="176">
        <v>0.11</v>
      </c>
    </row>
    <row r="94" spans="1:19" x14ac:dyDescent="0.2">
      <c r="A94" s="167" t="s">
        <v>373</v>
      </c>
      <c r="B94" s="167">
        <v>2407.56</v>
      </c>
      <c r="C94" s="167">
        <v>1790.03</v>
      </c>
      <c r="D94" s="167">
        <v>2153.73</v>
      </c>
      <c r="P94" s="177" t="s">
        <v>358</v>
      </c>
      <c r="Q94" s="170">
        <f>(Q92+Q93)/2</f>
        <v>0.35</v>
      </c>
      <c r="R94" s="170">
        <f>(R92+R93)/2</f>
        <v>0.30499999999999999</v>
      </c>
      <c r="S94" s="171">
        <f>(S92+S93)/2</f>
        <v>0.13</v>
      </c>
    </row>
    <row r="95" spans="1:19" x14ac:dyDescent="0.2">
      <c r="A95" s="87" t="s">
        <v>374</v>
      </c>
      <c r="B95" s="167">
        <v>-301.33999999999997</v>
      </c>
      <c r="C95" s="167">
        <v>-564.32000000000005</v>
      </c>
      <c r="D95" s="167">
        <v>-209.07</v>
      </c>
    </row>
    <row r="96" spans="1:19" x14ac:dyDescent="0.2">
      <c r="A96" s="165" t="s">
        <v>375</v>
      </c>
      <c r="B96" s="157">
        <v>-233.03</v>
      </c>
      <c r="C96" s="157">
        <v>57.78</v>
      </c>
      <c r="D96" s="157"/>
      <c r="P96" s="172" t="s">
        <v>376</v>
      </c>
      <c r="Q96" s="173">
        <v>2022</v>
      </c>
      <c r="R96" s="173">
        <v>2021</v>
      </c>
      <c r="S96" s="174">
        <v>2020</v>
      </c>
    </row>
    <row r="97" spans="1:19" x14ac:dyDescent="0.2">
      <c r="A97" s="87" t="s">
        <v>374</v>
      </c>
      <c r="B97" s="167">
        <v>-534.37</v>
      </c>
      <c r="C97" s="167">
        <v>-506.54</v>
      </c>
      <c r="D97" s="167">
        <v>-209.07</v>
      </c>
      <c r="P97" s="175" t="s">
        <v>274</v>
      </c>
      <c r="Q97" s="88">
        <v>-21.88</v>
      </c>
      <c r="R97" s="88">
        <v>-38.229999999999997</v>
      </c>
      <c r="S97" s="176">
        <v>16.86</v>
      </c>
    </row>
    <row r="98" spans="1:19" x14ac:dyDescent="0.2">
      <c r="A98" s="87"/>
      <c r="B98" s="157"/>
      <c r="C98" s="157"/>
      <c r="D98" s="157"/>
      <c r="P98" s="175" t="s">
        <v>278</v>
      </c>
      <c r="Q98" s="88">
        <v>3.92</v>
      </c>
      <c r="R98" s="88">
        <v>1.77</v>
      </c>
      <c r="S98" s="176">
        <v>4.13</v>
      </c>
    </row>
    <row r="99" spans="1:19" x14ac:dyDescent="0.2">
      <c r="A99" s="87" t="s">
        <v>377</v>
      </c>
      <c r="B99" s="86"/>
      <c r="C99" s="157"/>
      <c r="D99" s="157"/>
      <c r="P99" s="175" t="s">
        <v>277</v>
      </c>
      <c r="Q99" s="88">
        <v>11.77</v>
      </c>
      <c r="R99" s="88">
        <v>7.65</v>
      </c>
      <c r="S99" s="176">
        <v>7.27</v>
      </c>
    </row>
    <row r="100" spans="1:19" x14ac:dyDescent="0.2">
      <c r="A100" s="86" t="s">
        <v>378</v>
      </c>
      <c r="B100" s="86"/>
      <c r="C100" s="157"/>
      <c r="D100" s="157"/>
      <c r="P100" s="177" t="s">
        <v>358</v>
      </c>
      <c r="Q100" s="170">
        <f>(Q98+Q99)/2</f>
        <v>7.8449999999999998</v>
      </c>
      <c r="R100" s="170">
        <f>(R98+R99)/2</f>
        <v>4.71</v>
      </c>
      <c r="S100" s="171">
        <f>(S98+S99)/2</f>
        <v>5.6999999999999993</v>
      </c>
    </row>
    <row r="101" spans="1:19" x14ac:dyDescent="0.2">
      <c r="A101" s="86" t="s">
        <v>379</v>
      </c>
      <c r="B101" s="86">
        <v>-74.14</v>
      </c>
      <c r="C101" s="157">
        <v>-36.619999999999997</v>
      </c>
      <c r="D101" s="157">
        <v>-531.59</v>
      </c>
    </row>
    <row r="102" spans="1:19" x14ac:dyDescent="0.2">
      <c r="A102" s="86" t="s">
        <v>380</v>
      </c>
      <c r="B102" s="86">
        <v>0.22</v>
      </c>
      <c r="C102" s="157">
        <v>-0.82</v>
      </c>
      <c r="D102" s="157">
        <v>-5.35</v>
      </c>
      <c r="P102" s="172" t="s">
        <v>381</v>
      </c>
      <c r="Q102" s="173">
        <v>2022</v>
      </c>
      <c r="R102" s="173">
        <v>2021</v>
      </c>
      <c r="S102" s="174">
        <v>2020</v>
      </c>
    </row>
    <row r="103" spans="1:19" x14ac:dyDescent="0.2">
      <c r="A103" s="167" t="s">
        <v>382</v>
      </c>
      <c r="B103" s="87">
        <v>-73.92</v>
      </c>
      <c r="C103" s="167">
        <v>-37.44</v>
      </c>
      <c r="D103" s="167">
        <v>-536.94000000000005</v>
      </c>
      <c r="P103" s="175" t="s">
        <v>274</v>
      </c>
      <c r="Q103" s="88">
        <v>44.38</v>
      </c>
      <c r="R103" s="88">
        <v>55.52</v>
      </c>
      <c r="S103" s="176">
        <v>53.15</v>
      </c>
    </row>
    <row r="104" spans="1:19" x14ac:dyDescent="0.2">
      <c r="A104" s="87" t="s">
        <v>383</v>
      </c>
      <c r="B104" s="87">
        <v>-460.45</v>
      </c>
      <c r="C104" s="167">
        <v>-469.1</v>
      </c>
      <c r="D104" s="167">
        <v>327.87</v>
      </c>
      <c r="P104" s="175" t="s">
        <v>278</v>
      </c>
      <c r="Q104" s="88">
        <v>6.48</v>
      </c>
      <c r="R104" s="88">
        <v>3.73</v>
      </c>
      <c r="S104" s="176">
        <v>7.21</v>
      </c>
    </row>
    <row r="105" spans="1:19" x14ac:dyDescent="0.2">
      <c r="A105" s="86"/>
      <c r="B105" s="86"/>
      <c r="C105" s="157"/>
      <c r="D105" s="157"/>
      <c r="P105" s="175" t="s">
        <v>277</v>
      </c>
      <c r="Q105" s="88">
        <v>16.690000000000001</v>
      </c>
      <c r="R105" s="88">
        <v>10.49</v>
      </c>
      <c r="S105" s="176">
        <v>10.79</v>
      </c>
    </row>
    <row r="106" spans="1:19" x14ac:dyDescent="0.2">
      <c r="A106" s="87" t="s">
        <v>384</v>
      </c>
      <c r="B106" s="86"/>
      <c r="C106" s="157"/>
      <c r="D106" s="157"/>
      <c r="P106" s="177" t="s">
        <v>358</v>
      </c>
      <c r="Q106" s="170">
        <f>(Q104+Q105)/2</f>
        <v>11.585000000000001</v>
      </c>
      <c r="R106" s="170">
        <f>(R104+R105)/2</f>
        <v>7.11</v>
      </c>
      <c r="S106" s="171">
        <f>(S104+S105)/2</f>
        <v>9</v>
      </c>
    </row>
    <row r="107" spans="1:19" x14ac:dyDescent="0.2">
      <c r="A107" s="86" t="s">
        <v>385</v>
      </c>
      <c r="B107" s="86"/>
      <c r="C107" s="157"/>
      <c r="D107" s="157"/>
    </row>
    <row r="108" spans="1:19" x14ac:dyDescent="0.2">
      <c r="A108" s="86" t="s">
        <v>386</v>
      </c>
      <c r="B108" s="86">
        <v>3.36</v>
      </c>
      <c r="C108" s="157">
        <v>2.63</v>
      </c>
      <c r="D108" s="157">
        <v>-2.7</v>
      </c>
      <c r="P108" s="172" t="s">
        <v>387</v>
      </c>
      <c r="Q108" s="173">
        <v>2022</v>
      </c>
      <c r="R108" s="173">
        <v>2021</v>
      </c>
      <c r="S108" s="174">
        <v>2020</v>
      </c>
    </row>
    <row r="109" spans="1:19" x14ac:dyDescent="0.2">
      <c r="A109" s="86" t="s">
        <v>388</v>
      </c>
      <c r="B109" s="86">
        <v>-106.36</v>
      </c>
      <c r="C109" s="157">
        <v>215.48</v>
      </c>
      <c r="D109" s="157">
        <v>-410.59</v>
      </c>
      <c r="P109" s="175" t="s">
        <v>274</v>
      </c>
      <c r="Q109" s="88">
        <v>-10.89</v>
      </c>
      <c r="R109" s="88">
        <v>-10.1</v>
      </c>
      <c r="S109" s="176">
        <v>6.81</v>
      </c>
    </row>
    <row r="110" spans="1:19" x14ac:dyDescent="0.2">
      <c r="A110" s="86" t="s">
        <v>389</v>
      </c>
      <c r="B110" s="86">
        <v>0.94</v>
      </c>
      <c r="C110" s="157">
        <v>0.32</v>
      </c>
      <c r="D110" s="157">
        <v>0.79</v>
      </c>
      <c r="P110" s="175" t="s">
        <v>278</v>
      </c>
      <c r="Q110" s="88">
        <v>5.28</v>
      </c>
      <c r="R110" s="88">
        <v>1.84</v>
      </c>
      <c r="S110" s="176">
        <v>6.26</v>
      </c>
    </row>
    <row r="111" spans="1:19" x14ac:dyDescent="0.2">
      <c r="A111" s="167" t="s">
        <v>390</v>
      </c>
      <c r="B111" s="87">
        <v>-102.06</v>
      </c>
      <c r="C111" s="167">
        <v>218.43</v>
      </c>
      <c r="D111" s="167">
        <v>-412.5</v>
      </c>
      <c r="P111" s="175" t="s">
        <v>277</v>
      </c>
      <c r="Q111" s="88">
        <v>12.67</v>
      </c>
      <c r="R111" s="88">
        <v>6</v>
      </c>
      <c r="S111" s="176">
        <v>5.97</v>
      </c>
    </row>
    <row r="112" spans="1:19" x14ac:dyDescent="0.2">
      <c r="A112" s="87" t="s">
        <v>391</v>
      </c>
      <c r="B112" s="87">
        <v>-562.51</v>
      </c>
      <c r="C112" s="167">
        <v>250.67</v>
      </c>
      <c r="D112" s="167">
        <v>-84.63</v>
      </c>
      <c r="P112" s="177" t="s">
        <v>358</v>
      </c>
      <c r="Q112" s="170">
        <f>(Q110+Q111)/2</f>
        <v>8.9749999999999996</v>
      </c>
      <c r="R112" s="170">
        <f>(R110+R111)/2</f>
        <v>3.92</v>
      </c>
      <c r="S112" s="171">
        <f>(S110+S111)/2</f>
        <v>6.1150000000000002</v>
      </c>
    </row>
    <row r="113" spans="1:19" x14ac:dyDescent="0.2">
      <c r="A113" s="86"/>
      <c r="B113" s="86"/>
      <c r="C113" s="157"/>
      <c r="D113" s="157"/>
    </row>
    <row r="114" spans="1:19" x14ac:dyDescent="0.2">
      <c r="A114" s="86" t="s">
        <v>392</v>
      </c>
      <c r="B114" s="86"/>
      <c r="C114" s="157"/>
      <c r="D114" s="157"/>
      <c r="P114" s="172" t="s">
        <v>393</v>
      </c>
      <c r="Q114" s="173">
        <v>2022</v>
      </c>
      <c r="R114" s="173">
        <v>2021</v>
      </c>
      <c r="S114" s="174">
        <v>2020</v>
      </c>
    </row>
    <row r="115" spans="1:19" x14ac:dyDescent="0.2">
      <c r="A115" s="86" t="s">
        <v>394</v>
      </c>
      <c r="B115" s="86">
        <v>-22.29</v>
      </c>
      <c r="C115" s="157">
        <v>-22.71</v>
      </c>
      <c r="D115" s="157">
        <v>15.87</v>
      </c>
      <c r="P115" s="175" t="s">
        <v>274</v>
      </c>
      <c r="Q115" s="88">
        <v>-0.44</v>
      </c>
      <c r="R115" s="88">
        <v>3.53</v>
      </c>
      <c r="S115" s="176">
        <v>10.08</v>
      </c>
    </row>
    <row r="116" spans="1:19" x14ac:dyDescent="0.2">
      <c r="A116" s="86" t="s">
        <v>395</v>
      </c>
      <c r="B116" s="86">
        <v>-22.29</v>
      </c>
      <c r="C116" s="157">
        <v>-22.71</v>
      </c>
      <c r="D116" s="157">
        <v>15.87</v>
      </c>
      <c r="P116" s="175" t="s">
        <v>278</v>
      </c>
      <c r="Q116" s="88">
        <v>17.3</v>
      </c>
      <c r="R116" s="88">
        <v>8.61</v>
      </c>
      <c r="S116" s="176">
        <v>22.13</v>
      </c>
    </row>
    <row r="117" spans="1:19" x14ac:dyDescent="0.2">
      <c r="P117" s="175" t="s">
        <v>277</v>
      </c>
      <c r="Q117" s="88">
        <v>26.52</v>
      </c>
      <c r="R117" s="88">
        <v>12.52</v>
      </c>
      <c r="S117" s="176">
        <v>13.21</v>
      </c>
    </row>
    <row r="118" spans="1:19" x14ac:dyDescent="0.2">
      <c r="P118" s="177" t="s">
        <v>358</v>
      </c>
      <c r="Q118" s="170">
        <f>(Q116+Q117)/2</f>
        <v>21.91</v>
      </c>
      <c r="R118" s="170">
        <f>(R116+R117)/2</f>
        <v>10.565</v>
      </c>
      <c r="S118" s="171">
        <f>(S116+S117)/2</f>
        <v>17.670000000000002</v>
      </c>
    </row>
    <row r="119" spans="1:19" x14ac:dyDescent="0.2">
      <c r="A119" s="469" t="s">
        <v>396</v>
      </c>
      <c r="B119" s="470"/>
      <c r="C119" s="470"/>
      <c r="D119" s="471"/>
      <c r="E119" s="179"/>
    </row>
    <row r="120" spans="1:19" x14ac:dyDescent="0.2">
      <c r="A120" s="472"/>
      <c r="B120" s="473"/>
      <c r="C120" s="473"/>
      <c r="D120" s="474"/>
      <c r="E120" s="179"/>
      <c r="P120" s="172" t="s">
        <v>397</v>
      </c>
      <c r="Q120" s="173">
        <v>2022</v>
      </c>
      <c r="R120" s="173">
        <v>2021</v>
      </c>
      <c r="S120" s="174">
        <v>2020</v>
      </c>
    </row>
    <row r="121" spans="1:19" x14ac:dyDescent="0.2">
      <c r="A121" s="86" t="s">
        <v>281</v>
      </c>
      <c r="B121" s="180">
        <v>44621</v>
      </c>
      <c r="C121" s="180">
        <v>44256</v>
      </c>
      <c r="D121" s="180">
        <v>43891</v>
      </c>
      <c r="P121" s="175" t="s">
        <v>274</v>
      </c>
      <c r="Q121" s="88">
        <v>-22.31</v>
      </c>
      <c r="R121" s="88">
        <v>-22.69</v>
      </c>
      <c r="S121" s="176">
        <v>15.881</v>
      </c>
    </row>
    <row r="122" spans="1:19" x14ac:dyDescent="0.2">
      <c r="A122" s="86" t="s">
        <v>398</v>
      </c>
      <c r="B122" s="86">
        <v>-460.45</v>
      </c>
      <c r="C122" s="86">
        <v>-469.1</v>
      </c>
      <c r="D122" s="86">
        <v>327.87</v>
      </c>
      <c r="P122" s="175" t="s">
        <v>278</v>
      </c>
      <c r="Q122" s="88">
        <v>27.31</v>
      </c>
      <c r="R122" s="88">
        <v>8.14</v>
      </c>
      <c r="S122" s="176">
        <v>31.19</v>
      </c>
    </row>
    <row r="123" spans="1:19" x14ac:dyDescent="0.2">
      <c r="A123" s="86" t="s">
        <v>399</v>
      </c>
      <c r="B123" s="86">
        <v>1171.3699999999999</v>
      </c>
      <c r="C123" s="86">
        <v>545.12</v>
      </c>
      <c r="D123" s="86">
        <v>910.98</v>
      </c>
      <c r="P123" s="175" t="s">
        <v>277</v>
      </c>
      <c r="Q123" s="88">
        <v>1.63</v>
      </c>
      <c r="R123" s="88">
        <v>0.68</v>
      </c>
      <c r="S123" s="176">
        <v>0.67</v>
      </c>
    </row>
    <row r="124" spans="1:19" x14ac:dyDescent="0.2">
      <c r="A124" s="86" t="s">
        <v>400</v>
      </c>
      <c r="B124" s="86">
        <v>125.21</v>
      </c>
      <c r="C124" s="86">
        <v>57.3</v>
      </c>
      <c r="D124" s="86">
        <v>54.27</v>
      </c>
      <c r="P124" s="177" t="s">
        <v>358</v>
      </c>
      <c r="Q124" s="170">
        <f>(Q122+Q123)/2</f>
        <v>14.469999999999999</v>
      </c>
      <c r="R124" s="170">
        <f>(R122+R123)/2</f>
        <v>4.41</v>
      </c>
      <c r="S124" s="171">
        <f>(S122+S123)/2</f>
        <v>15.930000000000001</v>
      </c>
    </row>
    <row r="125" spans="1:19" x14ac:dyDescent="0.2">
      <c r="A125" s="86" t="s">
        <v>401</v>
      </c>
      <c r="B125" s="86">
        <v>1128.33</v>
      </c>
      <c r="C125" s="86">
        <v>613.03</v>
      </c>
      <c r="D125" s="86">
        <v>914.01</v>
      </c>
    </row>
    <row r="126" spans="1:19" x14ac:dyDescent="0.2">
      <c r="A126" s="86" t="s">
        <v>402</v>
      </c>
      <c r="B126" s="86">
        <v>82.17</v>
      </c>
      <c r="C126" s="86">
        <v>125.21</v>
      </c>
      <c r="D126" s="86">
        <v>57.3</v>
      </c>
      <c r="P126" s="172" t="s">
        <v>330</v>
      </c>
      <c r="Q126" s="173">
        <v>2022</v>
      </c>
      <c r="R126" s="173">
        <v>2021</v>
      </c>
      <c r="S126" s="174">
        <v>2020</v>
      </c>
    </row>
    <row r="127" spans="1:19" x14ac:dyDescent="0.2">
      <c r="A127" s="86" t="s">
        <v>225</v>
      </c>
      <c r="B127" s="86">
        <v>22</v>
      </c>
      <c r="C127" s="86">
        <v>116</v>
      </c>
      <c r="D127" s="86">
        <v>378</v>
      </c>
      <c r="P127" s="175" t="s">
        <v>274</v>
      </c>
      <c r="Q127" s="88">
        <v>-0.02</v>
      </c>
      <c r="R127" s="88">
        <v>0.13</v>
      </c>
      <c r="S127" s="176">
        <v>0.62</v>
      </c>
    </row>
    <row r="128" spans="1:19" x14ac:dyDescent="0.2">
      <c r="A128" s="86" t="s">
        <v>403</v>
      </c>
      <c r="B128" s="86">
        <v>20.653490000000001</v>
      </c>
      <c r="C128" s="86">
        <v>20.653490000000001</v>
      </c>
      <c r="D128" s="86">
        <v>20.653490000000001</v>
      </c>
      <c r="P128" s="175" t="s">
        <v>278</v>
      </c>
      <c r="Q128" s="88">
        <v>4.8000000000000001E-2</v>
      </c>
      <c r="R128" s="88">
        <v>0.01</v>
      </c>
      <c r="S128" s="176">
        <v>1.7000000000000001E-2</v>
      </c>
    </row>
    <row r="129" spans="16:19" x14ac:dyDescent="0.2">
      <c r="P129" s="175" t="s">
        <v>277</v>
      </c>
      <c r="Q129" s="88">
        <v>13.74</v>
      </c>
      <c r="R129" s="88">
        <v>7.18</v>
      </c>
      <c r="S129" s="176">
        <v>4.8</v>
      </c>
    </row>
    <row r="130" spans="16:19" x14ac:dyDescent="0.2">
      <c r="P130" s="177" t="s">
        <v>358</v>
      </c>
      <c r="Q130" s="170">
        <f>(Q128+Q129)/2</f>
        <v>6.8940000000000001</v>
      </c>
      <c r="R130" s="170">
        <f>(R128+R129)/2</f>
        <v>3.5949999999999998</v>
      </c>
      <c r="S130" s="171">
        <f>(S128+S129)/2</f>
        <v>2.4085000000000001</v>
      </c>
    </row>
    <row r="132" spans="16:19" x14ac:dyDescent="0.2">
      <c r="P132" s="172" t="s">
        <v>404</v>
      </c>
      <c r="Q132" s="173">
        <v>2022</v>
      </c>
      <c r="R132" s="173">
        <v>2021</v>
      </c>
      <c r="S132" s="174">
        <v>2020</v>
      </c>
    </row>
    <row r="133" spans="16:19" x14ac:dyDescent="0.2">
      <c r="P133" s="175" t="s">
        <v>274</v>
      </c>
      <c r="Q133" s="88">
        <v>11.29</v>
      </c>
      <c r="R133" s="88">
        <v>5.97</v>
      </c>
      <c r="S133" s="176">
        <v>16.329999999999998</v>
      </c>
    </row>
    <row r="134" spans="16:19" x14ac:dyDescent="0.2">
      <c r="P134" s="175" t="s">
        <v>278</v>
      </c>
      <c r="Q134" s="88">
        <v>2.37</v>
      </c>
      <c r="R134" s="88">
        <v>4</v>
      </c>
      <c r="S134" s="176">
        <v>5.43</v>
      </c>
    </row>
    <row r="135" spans="16:19" x14ac:dyDescent="0.2">
      <c r="P135" s="175" t="s">
        <v>277</v>
      </c>
      <c r="Q135" s="88">
        <v>2.93</v>
      </c>
      <c r="R135" s="88">
        <v>4.4800000000000004</v>
      </c>
      <c r="S135" s="176">
        <v>5.15</v>
      </c>
    </row>
    <row r="136" spans="16:19" x14ac:dyDescent="0.2">
      <c r="P136" s="177" t="s">
        <v>358</v>
      </c>
      <c r="Q136" s="170">
        <f>(Q134+Q135)/2</f>
        <v>2.6500000000000004</v>
      </c>
      <c r="R136" s="170">
        <f>(R134+R135)/2</f>
        <v>4.24</v>
      </c>
      <c r="S136" s="171">
        <f>(S134+S135)/2</f>
        <v>5.29</v>
      </c>
    </row>
    <row r="138" spans="16:19" x14ac:dyDescent="0.2">
      <c r="P138" s="172" t="s">
        <v>405</v>
      </c>
      <c r="Q138" s="173">
        <v>2022</v>
      </c>
      <c r="R138" s="173">
        <v>2021</v>
      </c>
      <c r="S138" s="174">
        <v>2020</v>
      </c>
    </row>
    <row r="139" spans="16:19" x14ac:dyDescent="0.2">
      <c r="P139" s="175" t="s">
        <v>274</v>
      </c>
      <c r="Q139" s="88">
        <v>1.24</v>
      </c>
      <c r="R139" s="88">
        <v>0.72</v>
      </c>
      <c r="S139" s="176">
        <v>1.27</v>
      </c>
    </row>
    <row r="140" spans="16:19" x14ac:dyDescent="0.2">
      <c r="P140" s="175" t="s">
        <v>278</v>
      </c>
      <c r="Q140" s="88">
        <v>2</v>
      </c>
      <c r="R140" s="88">
        <v>1.39</v>
      </c>
      <c r="S140" s="176">
        <v>1.96</v>
      </c>
    </row>
    <row r="141" spans="16:19" x14ac:dyDescent="0.2">
      <c r="P141" s="175" t="s">
        <v>277</v>
      </c>
      <c r="Q141" s="88">
        <v>1.36</v>
      </c>
      <c r="R141" s="88">
        <v>0.96</v>
      </c>
      <c r="S141" s="176">
        <v>0.98</v>
      </c>
    </row>
    <row r="142" spans="16:19" x14ac:dyDescent="0.2">
      <c r="P142" s="177" t="s">
        <v>358</v>
      </c>
      <c r="Q142" s="170">
        <f>(Q140+Q141)/2</f>
        <v>1.6800000000000002</v>
      </c>
      <c r="R142" s="170">
        <f>(R140+R141)/2</f>
        <v>1.1749999999999998</v>
      </c>
      <c r="S142" s="171">
        <f>(S140+S141)/2</f>
        <v>1.47</v>
      </c>
    </row>
    <row r="162" spans="16:20" x14ac:dyDescent="0.2">
      <c r="P162" s="463" t="s">
        <v>406</v>
      </c>
      <c r="Q162" s="463"/>
      <c r="R162" s="463"/>
      <c r="S162" s="463"/>
      <c r="T162" s="463"/>
    </row>
  </sheetData>
  <mergeCells count="10">
    <mergeCell ref="P70:U71"/>
    <mergeCell ref="A79:F80"/>
    <mergeCell ref="A119:D120"/>
    <mergeCell ref="P162:T162"/>
    <mergeCell ref="C3:N4"/>
    <mergeCell ref="R3:Y4"/>
    <mergeCell ref="A22:I23"/>
    <mergeCell ref="V22:Y22"/>
    <mergeCell ref="J30:N31"/>
    <mergeCell ref="L32:N32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B9D8-1C76-7B41-878E-2E4100F712FA}">
  <dimension ref="B2:L72"/>
  <sheetViews>
    <sheetView showGridLines="0" zoomScaleNormal="100" zoomScaleSheetLayoutView="100" workbookViewId="0"/>
  </sheetViews>
  <sheetFormatPr defaultColWidth="11.21875" defaultRowHeight="15" x14ac:dyDescent="0.2"/>
  <cols>
    <col min="1" max="1" width="3.328125" customWidth="1"/>
    <col min="2" max="2" width="8.26171875" customWidth="1"/>
    <col min="3" max="3" width="17.75390625" customWidth="1"/>
    <col min="4" max="4" width="15.78125" customWidth="1"/>
    <col min="5" max="5" width="10.8515625" customWidth="1"/>
    <col min="13" max="13" width="3.328125" customWidth="1"/>
  </cols>
  <sheetData>
    <row r="2" spans="2:12" x14ac:dyDescent="0.2">
      <c r="B2" s="385" t="s">
        <v>488</v>
      </c>
      <c r="C2" s="385"/>
      <c r="D2" s="385"/>
      <c r="E2" s="385"/>
      <c r="F2" s="385"/>
      <c r="G2" s="385"/>
      <c r="H2" s="385"/>
      <c r="I2" s="385"/>
      <c r="J2" s="385"/>
      <c r="K2" s="385"/>
      <c r="L2" s="385"/>
    </row>
    <row r="3" spans="2:12" x14ac:dyDescent="0.2">
      <c r="B3" s="385" t="s">
        <v>137</v>
      </c>
      <c r="C3" s="385"/>
      <c r="D3" s="385"/>
      <c r="E3" s="385"/>
      <c r="F3" s="385"/>
      <c r="G3" s="385"/>
      <c r="H3" s="385"/>
      <c r="I3" s="385"/>
      <c r="J3" s="385"/>
      <c r="K3" s="385"/>
      <c r="L3" s="385"/>
    </row>
    <row r="7" spans="2:12" x14ac:dyDescent="0.2">
      <c r="C7" s="493" t="s">
        <v>0</v>
      </c>
      <c r="D7" s="493"/>
    </row>
    <row r="8" spans="2:12" x14ac:dyDescent="0.2">
      <c r="B8" s="72"/>
      <c r="C8" s="73" t="s">
        <v>122</v>
      </c>
      <c r="D8" s="70" t="s">
        <v>5</v>
      </c>
    </row>
    <row r="9" spans="2:12" x14ac:dyDescent="0.2">
      <c r="B9" s="72"/>
      <c r="C9" s="74">
        <v>44774</v>
      </c>
      <c r="D9" s="71">
        <v>0.36</v>
      </c>
    </row>
    <row r="10" spans="2:12" x14ac:dyDescent="0.2">
      <c r="B10" s="72"/>
      <c r="C10" s="74">
        <v>44481</v>
      </c>
      <c r="D10" s="71">
        <v>0.36</v>
      </c>
    </row>
    <row r="11" spans="2:12" x14ac:dyDescent="0.2">
      <c r="B11" s="72"/>
      <c r="C11" s="74">
        <v>44333</v>
      </c>
      <c r="D11" s="71">
        <v>0.36</v>
      </c>
    </row>
    <row r="12" spans="2:12" x14ac:dyDescent="0.2">
      <c r="B12" s="72"/>
      <c r="C12" s="74">
        <v>43873</v>
      </c>
      <c r="D12" s="71">
        <v>0.18</v>
      </c>
    </row>
    <row r="13" spans="2:12" x14ac:dyDescent="0.2">
      <c r="B13" s="72"/>
      <c r="C13" s="74">
        <v>43762</v>
      </c>
      <c r="D13" s="71">
        <v>0.09</v>
      </c>
    </row>
    <row r="14" spans="2:12" x14ac:dyDescent="0.2">
      <c r="B14" s="72"/>
      <c r="C14" s="74">
        <v>43661</v>
      </c>
      <c r="D14" s="71">
        <v>0.09</v>
      </c>
    </row>
    <row r="15" spans="2:12" x14ac:dyDescent="0.2">
      <c r="B15" s="72"/>
      <c r="C15" s="74">
        <v>43598</v>
      </c>
      <c r="D15" s="71">
        <v>0.06</v>
      </c>
    </row>
    <row r="16" spans="2:12" x14ac:dyDescent="0.2">
      <c r="B16" s="72"/>
      <c r="C16" s="75">
        <v>43472</v>
      </c>
      <c r="D16" s="76">
        <v>0.12</v>
      </c>
    </row>
    <row r="19" spans="3:12" ht="10.15" customHeight="1" x14ac:dyDescent="0.2"/>
    <row r="20" spans="3:12" x14ac:dyDescent="0.2">
      <c r="C20" s="385" t="s">
        <v>138</v>
      </c>
      <c r="D20" s="385"/>
      <c r="E20" s="385"/>
      <c r="F20" s="385"/>
      <c r="G20" s="385"/>
      <c r="H20" s="385"/>
      <c r="I20" s="385"/>
      <c r="J20" s="385"/>
      <c r="K20" s="385"/>
      <c r="L20" s="385"/>
    </row>
    <row r="21" spans="3:12" ht="10.15" customHeight="1" x14ac:dyDescent="0.2"/>
    <row r="25" spans="3:12" ht="28.9" customHeight="1" x14ac:dyDescent="0.2">
      <c r="C25" s="494" t="s">
        <v>123</v>
      </c>
      <c r="D25" s="493"/>
    </row>
    <row r="26" spans="3:12" x14ac:dyDescent="0.2">
      <c r="C26" s="77" t="s">
        <v>129</v>
      </c>
      <c r="D26" s="70" t="s">
        <v>130</v>
      </c>
    </row>
    <row r="27" spans="3:12" x14ac:dyDescent="0.2">
      <c r="C27" s="78" t="s">
        <v>124</v>
      </c>
      <c r="D27" s="79">
        <v>37</v>
      </c>
    </row>
    <row r="28" spans="3:12" x14ac:dyDescent="0.2">
      <c r="C28" s="78" t="s">
        <v>125</v>
      </c>
      <c r="D28" s="79">
        <v>36</v>
      </c>
    </row>
    <row r="29" spans="3:12" x14ac:dyDescent="0.2">
      <c r="C29" s="78" t="s">
        <v>126</v>
      </c>
      <c r="D29" s="79">
        <v>34</v>
      </c>
    </row>
    <row r="30" spans="3:12" x14ac:dyDescent="0.2">
      <c r="C30" s="78" t="s">
        <v>127</v>
      </c>
      <c r="D30" s="79">
        <v>30</v>
      </c>
    </row>
    <row r="31" spans="3:12" x14ac:dyDescent="0.2">
      <c r="C31" s="75" t="s">
        <v>128</v>
      </c>
      <c r="D31" s="80">
        <v>65</v>
      </c>
    </row>
    <row r="35" spans="3:12" ht="10.15" customHeight="1" x14ac:dyDescent="0.2"/>
    <row r="36" spans="3:12" x14ac:dyDescent="0.2">
      <c r="C36" s="492" t="s">
        <v>139</v>
      </c>
      <c r="D36" s="492"/>
      <c r="E36" s="492"/>
      <c r="F36" s="492"/>
      <c r="G36" s="492"/>
      <c r="H36" s="492"/>
      <c r="I36" s="492"/>
      <c r="J36" s="492"/>
      <c r="K36" s="492"/>
      <c r="L36" s="492"/>
    </row>
    <row r="42" spans="3:12" ht="28.9" customHeight="1" x14ac:dyDescent="0.2">
      <c r="C42" s="85" t="s">
        <v>132</v>
      </c>
      <c r="D42" s="84" t="s">
        <v>131</v>
      </c>
    </row>
    <row r="43" spans="3:12" x14ac:dyDescent="0.2">
      <c r="C43" s="78" t="s">
        <v>133</v>
      </c>
      <c r="D43" s="81">
        <v>54445.46</v>
      </c>
    </row>
    <row r="44" spans="3:12" x14ac:dyDescent="0.2">
      <c r="C44" s="78" t="s">
        <v>134</v>
      </c>
      <c r="D44" s="81">
        <v>19644.05</v>
      </c>
    </row>
    <row r="45" spans="3:12" x14ac:dyDescent="0.2">
      <c r="C45" s="78" t="s">
        <v>135</v>
      </c>
      <c r="D45" s="82">
        <v>19415.59</v>
      </c>
    </row>
    <row r="46" spans="3:12" x14ac:dyDescent="0.2">
      <c r="C46" s="75" t="s">
        <v>136</v>
      </c>
      <c r="D46" s="83">
        <v>9756.7000000000007</v>
      </c>
    </row>
    <row r="52" spans="3:12" x14ac:dyDescent="0.2">
      <c r="C52" s="492" t="s">
        <v>140</v>
      </c>
      <c r="D52" s="492"/>
      <c r="E52" s="492"/>
      <c r="F52" s="492"/>
      <c r="G52" s="492"/>
      <c r="H52" s="492"/>
      <c r="I52" s="492"/>
      <c r="J52" s="492"/>
      <c r="K52" s="492"/>
      <c r="L52" s="492"/>
    </row>
    <row r="72" ht="10.15" customHeight="1" x14ac:dyDescent="0.2"/>
  </sheetData>
  <mergeCells count="7">
    <mergeCell ref="C36:L36"/>
    <mergeCell ref="C52:L52"/>
    <mergeCell ref="B2:L2"/>
    <mergeCell ref="B3:L3"/>
    <mergeCell ref="C20:L20"/>
    <mergeCell ref="C7:D7"/>
    <mergeCell ref="C25:D25"/>
  </mergeCells>
  <pageMargins left="0.7" right="0.7" top="0.75" bottom="0.75" header="0.3" footer="0.3"/>
  <pageSetup paperSize="9" scale="85" orientation="landscape" r:id="rId1"/>
  <rowBreaks count="1" manualBreakCount="1">
    <brk id="3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A218-6584-F546-B6D4-02EE76CC55F6}">
  <dimension ref="B1:V50"/>
  <sheetViews>
    <sheetView showGridLines="0" zoomScale="92" zoomScaleNormal="92" zoomScaleSheetLayoutView="100" workbookViewId="0"/>
  </sheetViews>
  <sheetFormatPr defaultColWidth="8.75390625" defaultRowHeight="14.25" x14ac:dyDescent="0.2"/>
  <cols>
    <col min="1" max="1" width="3.203125" style="90" customWidth="1"/>
    <col min="2" max="2" width="35.7578125" style="90" customWidth="1"/>
    <col min="3" max="4" width="15.78125" style="92" customWidth="1"/>
    <col min="5" max="5" width="61.77734375" style="90" customWidth="1"/>
    <col min="6" max="6" width="3.203125" style="90" customWidth="1"/>
    <col min="7" max="7" width="3.328125" style="90" customWidth="1"/>
    <col min="8" max="8" width="31.44140625" style="90" customWidth="1"/>
    <col min="9" max="9" width="38.71875" style="90" customWidth="1"/>
    <col min="10" max="10" width="14.796875" style="91" customWidth="1"/>
    <col min="11" max="11" width="15.1640625" style="91" customWidth="1"/>
    <col min="12" max="13" width="3.328125" style="91" customWidth="1"/>
    <col min="14" max="14" width="25.15234375" style="91" customWidth="1"/>
    <col min="15" max="16" width="13.80859375" style="91" customWidth="1"/>
    <col min="17" max="18" width="13.80859375" style="90" customWidth="1"/>
    <col min="19" max="19" width="3.328125" style="90" customWidth="1"/>
    <col min="20" max="20" width="17.75390625" style="91" customWidth="1"/>
    <col min="21" max="21" width="14.1796875" style="90" customWidth="1"/>
    <col min="22" max="22" width="11.34375" style="91" bestFit="1" customWidth="1"/>
    <col min="23" max="16384" width="8.75390625" style="90"/>
  </cols>
  <sheetData>
    <row r="1" spans="2:22" ht="15" x14ac:dyDescent="0.2">
      <c r="B1" s="495" t="s">
        <v>244</v>
      </c>
      <c r="C1" s="495"/>
      <c r="D1" s="495"/>
      <c r="E1" s="495"/>
    </row>
    <row r="2" spans="2:22" x14ac:dyDescent="0.2">
      <c r="J2" s="125" t="s">
        <v>141</v>
      </c>
      <c r="K2" s="132" t="s">
        <v>142</v>
      </c>
      <c r="O2" s="112" t="s">
        <v>141</v>
      </c>
      <c r="P2" s="132" t="s">
        <v>142</v>
      </c>
    </row>
    <row r="3" spans="2:22" x14ac:dyDescent="0.2">
      <c r="B3" s="99" t="s">
        <v>143</v>
      </c>
      <c r="C3" s="111" t="s">
        <v>141</v>
      </c>
      <c r="D3" s="111" t="s">
        <v>142</v>
      </c>
      <c r="E3" s="99" t="s">
        <v>245</v>
      </c>
      <c r="H3" s="93"/>
      <c r="I3" s="143" t="s">
        <v>144</v>
      </c>
      <c r="J3" s="126" t="s">
        <v>145</v>
      </c>
      <c r="K3" s="133" t="s">
        <v>145</v>
      </c>
      <c r="L3" s="94"/>
      <c r="M3" s="94"/>
      <c r="N3" s="94"/>
      <c r="O3" s="113" t="s">
        <v>145</v>
      </c>
      <c r="P3" s="133" t="s">
        <v>145</v>
      </c>
      <c r="T3" s="95"/>
    </row>
    <row r="4" spans="2:22" x14ac:dyDescent="0.2">
      <c r="B4" s="100" t="s">
        <v>146</v>
      </c>
      <c r="C4" s="104"/>
      <c r="D4" s="104"/>
      <c r="E4" s="107"/>
      <c r="H4" s="138" t="s">
        <v>147</v>
      </c>
      <c r="I4" s="122"/>
      <c r="J4" s="127"/>
      <c r="K4" s="127"/>
      <c r="L4" s="94"/>
      <c r="M4" s="94"/>
      <c r="N4" s="118" t="s">
        <v>148</v>
      </c>
      <c r="O4" s="114"/>
      <c r="P4" s="114"/>
      <c r="Q4" s="96"/>
      <c r="T4" s="95"/>
    </row>
    <row r="5" spans="2:22" x14ac:dyDescent="0.2">
      <c r="B5" s="101" t="s">
        <v>149</v>
      </c>
      <c r="C5" s="105">
        <f>J13/O13</f>
        <v>1.2496687013091321</v>
      </c>
      <c r="D5" s="105">
        <f>K13/P13</f>
        <v>0.98722116049503705</v>
      </c>
      <c r="E5" s="101" t="s">
        <v>150</v>
      </c>
      <c r="H5" s="139" t="s">
        <v>151</v>
      </c>
      <c r="I5" s="120"/>
      <c r="J5" s="128"/>
      <c r="K5" s="134"/>
      <c r="L5" s="94"/>
      <c r="M5" s="94"/>
      <c r="N5" s="119" t="s">
        <v>152</v>
      </c>
      <c r="O5" s="115"/>
      <c r="P5" s="134"/>
      <c r="S5" s="96"/>
      <c r="T5" s="95"/>
      <c r="U5" s="96"/>
    </row>
    <row r="6" spans="2:22" x14ac:dyDescent="0.2">
      <c r="B6" s="101" t="s">
        <v>153</v>
      </c>
      <c r="C6" s="105">
        <f>(J13-J6)/O13</f>
        <v>0.601934583567585</v>
      </c>
      <c r="D6" s="105">
        <f>(K13-K6)/P13</f>
        <v>0.43823742397761128</v>
      </c>
      <c r="E6" s="101" t="s">
        <v>154</v>
      </c>
      <c r="H6" s="140" t="s">
        <v>155</v>
      </c>
      <c r="I6" s="120"/>
      <c r="J6" s="128">
        <v>12903.9</v>
      </c>
      <c r="K6" s="134">
        <v>10082.799999999999</v>
      </c>
      <c r="L6" s="94"/>
      <c r="M6" s="94"/>
      <c r="N6" s="120" t="s">
        <v>156</v>
      </c>
      <c r="O6" s="115">
        <v>12609.6</v>
      </c>
      <c r="P6" s="134">
        <v>12804.2</v>
      </c>
    </row>
    <row r="7" spans="2:22" x14ac:dyDescent="0.2">
      <c r="B7" s="101"/>
      <c r="C7" s="105"/>
      <c r="D7" s="105"/>
      <c r="E7" s="101"/>
      <c r="H7" s="140" t="s">
        <v>157</v>
      </c>
      <c r="I7" s="120"/>
      <c r="J7" s="128">
        <v>5285.3</v>
      </c>
      <c r="K7" s="134">
        <v>4545.1000000000004</v>
      </c>
      <c r="L7" s="94"/>
      <c r="M7" s="94"/>
      <c r="N7" s="120" t="s">
        <v>261</v>
      </c>
      <c r="O7" s="115">
        <v>19.600000000000001</v>
      </c>
      <c r="P7" s="134">
        <v>12.2</v>
      </c>
    </row>
    <row r="8" spans="2:22" x14ac:dyDescent="0.2">
      <c r="B8" s="102" t="s">
        <v>158</v>
      </c>
      <c r="C8" s="104"/>
      <c r="D8" s="104"/>
      <c r="E8" s="107"/>
      <c r="H8" s="140" t="s">
        <v>159</v>
      </c>
      <c r="I8" s="120"/>
      <c r="J8" s="128">
        <v>2519.8000000000002</v>
      </c>
      <c r="K8" s="134">
        <v>984.1</v>
      </c>
      <c r="L8" s="94"/>
      <c r="M8" s="94"/>
      <c r="N8" s="120" t="s">
        <v>262</v>
      </c>
      <c r="O8" s="115">
        <v>4545.8999999999996</v>
      </c>
      <c r="P8" s="134">
        <v>2957.1</v>
      </c>
    </row>
    <row r="9" spans="2:22" x14ac:dyDescent="0.2">
      <c r="B9" s="101" t="s">
        <v>160</v>
      </c>
      <c r="C9" s="105">
        <f>O16/O22</f>
        <v>0.69354261034446429</v>
      </c>
      <c r="D9" s="105">
        <f>P16/P22</f>
        <v>0.73488414165322402</v>
      </c>
      <c r="E9" s="101" t="s">
        <v>161</v>
      </c>
      <c r="H9" s="140" t="s">
        <v>162</v>
      </c>
      <c r="I9" s="120"/>
      <c r="J9" s="128">
        <v>214.1</v>
      </c>
      <c r="K9" s="134">
        <v>139.1</v>
      </c>
      <c r="L9" s="94"/>
      <c r="M9" s="94"/>
      <c r="N9" s="120" t="s">
        <v>163</v>
      </c>
      <c r="O9" s="115">
        <v>1506.8</v>
      </c>
      <c r="P9" s="134">
        <v>1752.6</v>
      </c>
    </row>
    <row r="10" spans="2:22" x14ac:dyDescent="0.2">
      <c r="B10" s="101" t="s">
        <v>164</v>
      </c>
      <c r="C10" s="105">
        <f>O22/J16</f>
        <v>0.59047636819401816</v>
      </c>
      <c r="D10" s="105">
        <f>P22/K16</f>
        <v>0.57637431006437079</v>
      </c>
      <c r="E10" s="101" t="s">
        <v>165</v>
      </c>
      <c r="H10" s="140" t="s">
        <v>166</v>
      </c>
      <c r="I10" s="120"/>
      <c r="J10" s="128">
        <v>1106</v>
      </c>
      <c r="K10" s="134">
        <v>991.8</v>
      </c>
      <c r="L10" s="94"/>
      <c r="M10" s="94"/>
      <c r="N10" s="120" t="s">
        <v>167</v>
      </c>
      <c r="O10" s="115">
        <v>196.6</v>
      </c>
      <c r="P10" s="134">
        <v>222.2</v>
      </c>
    </row>
    <row r="11" spans="2:22" x14ac:dyDescent="0.2">
      <c r="B11" s="101"/>
      <c r="C11" s="105"/>
      <c r="D11" s="105"/>
      <c r="E11" s="101"/>
      <c r="H11" s="140" t="s">
        <v>168</v>
      </c>
      <c r="I11" s="120"/>
      <c r="J11" s="128">
        <v>2866.3</v>
      </c>
      <c r="K11" s="134">
        <v>1388.7</v>
      </c>
      <c r="L11" s="94"/>
      <c r="M11" s="94"/>
      <c r="N11" s="120" t="s">
        <v>169</v>
      </c>
      <c r="O11" s="115">
        <v>783.5</v>
      </c>
      <c r="P11" s="134">
        <v>618</v>
      </c>
    </row>
    <row r="12" spans="2:22" x14ac:dyDescent="0.2">
      <c r="B12" s="102" t="s">
        <v>170</v>
      </c>
      <c r="C12" s="104"/>
      <c r="D12" s="104"/>
      <c r="E12" s="107"/>
      <c r="H12" s="140"/>
      <c r="I12" s="120"/>
      <c r="J12" s="128"/>
      <c r="K12" s="134"/>
      <c r="L12" s="94"/>
      <c r="M12" s="94"/>
      <c r="N12" s="120" t="s">
        <v>171</v>
      </c>
      <c r="O12" s="115">
        <v>259.60000000000002</v>
      </c>
      <c r="P12" s="134">
        <v>0</v>
      </c>
    </row>
    <row r="13" spans="2:22" x14ac:dyDescent="0.2">
      <c r="B13" s="101" t="s">
        <v>172</v>
      </c>
      <c r="C13" s="105">
        <f>J42/J27 *100</f>
        <v>51.466825709642841</v>
      </c>
      <c r="D13" s="105">
        <f>K42/K27 *100</f>
        <v>55.856600761579692</v>
      </c>
      <c r="E13" s="101" t="s">
        <v>173</v>
      </c>
      <c r="H13" s="139" t="s">
        <v>174</v>
      </c>
      <c r="I13" s="120"/>
      <c r="J13" s="129">
        <f>SUM(J6:J11)</f>
        <v>24895.399999999998</v>
      </c>
      <c r="K13" s="135">
        <f>SUM(K6:K11)</f>
        <v>18131.600000000002</v>
      </c>
      <c r="L13" s="97"/>
      <c r="M13" s="97"/>
      <c r="N13" s="119" t="s">
        <v>175</v>
      </c>
      <c r="O13" s="116">
        <f>SUM(O6:O12)</f>
        <v>19921.599999999995</v>
      </c>
      <c r="P13" s="135">
        <f>SUM(P6:P12)</f>
        <v>18366.300000000003</v>
      </c>
      <c r="S13" s="96"/>
      <c r="T13" s="98"/>
      <c r="U13" s="96"/>
      <c r="V13" s="98"/>
    </row>
    <row r="14" spans="2:22" x14ac:dyDescent="0.2">
      <c r="B14" s="101" t="s">
        <v>176</v>
      </c>
      <c r="C14" s="105">
        <f>J50/J27*100</f>
        <v>11.740224043149045</v>
      </c>
      <c r="D14" s="105">
        <f>K50/K27*100</f>
        <v>7.6232936668055808</v>
      </c>
      <c r="E14" s="101" t="s">
        <v>177</v>
      </c>
      <c r="H14" s="139" t="s">
        <v>178</v>
      </c>
      <c r="I14" s="120"/>
      <c r="J14" s="129">
        <v>39412</v>
      </c>
      <c r="K14" s="135">
        <v>39410</v>
      </c>
      <c r="L14" s="97"/>
      <c r="M14" s="97"/>
      <c r="N14" s="119" t="s">
        <v>263</v>
      </c>
      <c r="O14" s="116">
        <v>6413.6</v>
      </c>
      <c r="P14" s="135">
        <v>6006.5</v>
      </c>
      <c r="S14" s="96"/>
      <c r="T14" s="98"/>
      <c r="U14" s="96"/>
      <c r="V14" s="98"/>
    </row>
    <row r="15" spans="2:22" x14ac:dyDescent="0.2">
      <c r="B15" s="101" t="s">
        <v>179</v>
      </c>
      <c r="C15" s="105">
        <f>J50/O22*100</f>
        <v>21.461866638575781</v>
      </c>
      <c r="D15" s="105">
        <f>K50/P22*100</f>
        <v>10.424688305618798</v>
      </c>
      <c r="E15" s="101" t="s">
        <v>180</v>
      </c>
      <c r="H15" s="140"/>
      <c r="I15" s="120"/>
      <c r="J15" s="128"/>
      <c r="K15" s="134"/>
      <c r="L15" s="94"/>
      <c r="M15" s="94"/>
      <c r="N15" s="120" t="s">
        <v>181</v>
      </c>
      <c r="O15" s="115">
        <v>3096.6</v>
      </c>
      <c r="P15" s="134">
        <v>2550.9</v>
      </c>
    </row>
    <row r="16" spans="2:22" x14ac:dyDescent="0.2">
      <c r="B16" s="101" t="s">
        <v>182</v>
      </c>
      <c r="C16" s="105">
        <f>J50/J16*100</f>
        <v>12.672725067410587</v>
      </c>
      <c r="D16" s="105">
        <f>K50/K16*100</f>
        <v>6.0085225297871485</v>
      </c>
      <c r="E16" s="101" t="s">
        <v>183</v>
      </c>
      <c r="H16" s="139" t="s">
        <v>184</v>
      </c>
      <c r="I16" s="120" t="s">
        <v>185</v>
      </c>
      <c r="J16" s="129">
        <f>SUM(J13,J14)</f>
        <v>64307.399999999994</v>
      </c>
      <c r="K16" s="135">
        <f>SUM(K13,K14)</f>
        <v>57541.600000000006</v>
      </c>
      <c r="L16" s="97"/>
      <c r="M16" s="97"/>
      <c r="N16" s="119" t="s">
        <v>186</v>
      </c>
      <c r="O16" s="116">
        <f>SUM(O13,O14)</f>
        <v>26335.199999999997</v>
      </c>
      <c r="P16" s="135">
        <f>SUM(P13:P14)</f>
        <v>24372.800000000003</v>
      </c>
      <c r="S16" s="96"/>
      <c r="T16" s="98"/>
      <c r="U16" s="96"/>
      <c r="V16" s="98"/>
    </row>
    <row r="17" spans="2:20" x14ac:dyDescent="0.2">
      <c r="B17" s="101" t="s">
        <v>187</v>
      </c>
      <c r="C17" s="105">
        <f>J44/J18*100</f>
        <v>28.594465681298225</v>
      </c>
      <c r="D17" s="105">
        <f>K44/K18*100</f>
        <v>13.350097838304176</v>
      </c>
      <c r="E17" s="101" t="s">
        <v>188</v>
      </c>
      <c r="H17" s="139" t="s">
        <v>189</v>
      </c>
      <c r="I17" s="120"/>
      <c r="J17" s="128">
        <v>36202</v>
      </c>
      <c r="K17" s="134">
        <v>36979</v>
      </c>
      <c r="L17" s="94"/>
      <c r="M17" s="94"/>
      <c r="N17" s="121"/>
      <c r="O17" s="115"/>
      <c r="P17" s="134"/>
    </row>
    <row r="18" spans="2:20" x14ac:dyDescent="0.2">
      <c r="B18" s="102" t="s">
        <v>190</v>
      </c>
      <c r="C18" s="106"/>
      <c r="D18" s="106"/>
      <c r="E18" s="109"/>
      <c r="H18" s="139" t="s">
        <v>191</v>
      </c>
      <c r="I18" s="120" t="s">
        <v>264</v>
      </c>
      <c r="J18" s="128">
        <f>J17+J13-O13</f>
        <v>41175.800000000003</v>
      </c>
      <c r="K18" s="134">
        <f>K17+K13-P13</f>
        <v>36744.300000000003</v>
      </c>
      <c r="L18" s="94"/>
      <c r="M18" s="94"/>
      <c r="N18" s="121"/>
      <c r="O18" s="115"/>
      <c r="P18" s="134"/>
    </row>
    <row r="19" spans="2:20" x14ac:dyDescent="0.2">
      <c r="B19" s="101" t="s">
        <v>192</v>
      </c>
      <c r="C19" s="105">
        <f>J50/O23</f>
        <v>1.5991954474097323</v>
      </c>
      <c r="D19" s="105">
        <f>K50/P23</f>
        <v>0.67845368916797522</v>
      </c>
      <c r="E19" s="101" t="s">
        <v>193</v>
      </c>
      <c r="H19" s="141" t="s">
        <v>194</v>
      </c>
      <c r="I19" s="122"/>
      <c r="J19" s="130"/>
      <c r="K19" s="130"/>
      <c r="L19" s="94"/>
      <c r="M19" s="94"/>
      <c r="N19" s="122" t="s">
        <v>195</v>
      </c>
      <c r="O19" s="114"/>
      <c r="P19" s="114"/>
    </row>
    <row r="20" spans="2:20" x14ac:dyDescent="0.2">
      <c r="B20" s="101" t="s">
        <v>196</v>
      </c>
      <c r="C20" s="105">
        <f>39.4/C19</f>
        <v>24.637388796858716</v>
      </c>
      <c r="D20" s="105">
        <f>14.2/D19</f>
        <v>20.929947359287315</v>
      </c>
      <c r="E20" s="101" t="s">
        <v>197</v>
      </c>
      <c r="H20" s="140" t="s">
        <v>174</v>
      </c>
      <c r="I20" s="120"/>
      <c r="J20" s="128">
        <f>J13</f>
        <v>24895.399999999998</v>
      </c>
      <c r="K20" s="134">
        <f>K13</f>
        <v>18131.600000000002</v>
      </c>
      <c r="L20" s="94"/>
      <c r="M20" s="94"/>
      <c r="N20" s="120" t="s">
        <v>260</v>
      </c>
      <c r="O20" s="115">
        <v>5096</v>
      </c>
      <c r="P20" s="134">
        <v>5096</v>
      </c>
    </row>
    <row r="21" spans="2:20" x14ac:dyDescent="0.2">
      <c r="B21" s="101"/>
      <c r="C21" s="105"/>
      <c r="D21" s="105"/>
      <c r="E21" s="101" t="s">
        <v>198</v>
      </c>
      <c r="H21" s="140" t="s">
        <v>199</v>
      </c>
      <c r="I21" s="120"/>
      <c r="J21" s="128">
        <f>J6</f>
        <v>12903.9</v>
      </c>
      <c r="K21" s="134">
        <f>K6</f>
        <v>10082.799999999999</v>
      </c>
      <c r="L21" s="94"/>
      <c r="M21" s="94"/>
      <c r="N21" s="120" t="s">
        <v>259</v>
      </c>
      <c r="O21" s="115">
        <v>32876</v>
      </c>
      <c r="P21" s="134">
        <v>28069.5</v>
      </c>
    </row>
    <row r="22" spans="2:20" x14ac:dyDescent="0.2">
      <c r="B22" s="101"/>
      <c r="C22" s="105"/>
      <c r="D22" s="105"/>
      <c r="E22" s="101" t="s">
        <v>201</v>
      </c>
      <c r="H22" s="140" t="s">
        <v>202</v>
      </c>
      <c r="I22" s="120"/>
      <c r="J22" s="128"/>
      <c r="K22" s="134"/>
      <c r="L22" s="94"/>
      <c r="M22" s="94"/>
      <c r="N22" s="120" t="s">
        <v>203</v>
      </c>
      <c r="O22" s="115">
        <f>SUM(O20,O21)</f>
        <v>37972</v>
      </c>
      <c r="P22" s="134">
        <f>SUM(P20,P21)</f>
        <v>33165.5</v>
      </c>
    </row>
    <row r="23" spans="2:20" x14ac:dyDescent="0.2">
      <c r="B23" s="101"/>
      <c r="C23" s="101"/>
      <c r="D23" s="101"/>
      <c r="E23" s="101"/>
      <c r="H23" s="139" t="s">
        <v>206</v>
      </c>
      <c r="I23" s="120" t="s">
        <v>207</v>
      </c>
      <c r="J23" s="129">
        <f>J20-J21</f>
        <v>11991.499999999998</v>
      </c>
      <c r="K23" s="135">
        <f>K20-K21</f>
        <v>8048.8000000000029</v>
      </c>
      <c r="L23" s="97"/>
      <c r="M23" s="97"/>
      <c r="N23" s="120" t="s">
        <v>258</v>
      </c>
      <c r="O23" s="145">
        <f>O20</f>
        <v>5096</v>
      </c>
      <c r="P23" s="146">
        <v>5096</v>
      </c>
    </row>
    <row r="24" spans="2:20" x14ac:dyDescent="0.2">
      <c r="B24" s="102" t="s">
        <v>200</v>
      </c>
      <c r="C24" s="107"/>
      <c r="D24" s="107"/>
      <c r="E24" s="107"/>
      <c r="H24" s="140"/>
      <c r="I24" s="120"/>
      <c r="J24" s="128"/>
      <c r="K24" s="134"/>
      <c r="L24" s="94"/>
      <c r="M24" s="94"/>
      <c r="N24" s="121"/>
      <c r="O24" s="115"/>
      <c r="P24" s="134"/>
    </row>
    <row r="25" spans="2:20" x14ac:dyDescent="0.2">
      <c r="B25" s="101" t="s">
        <v>204</v>
      </c>
      <c r="C25" s="105">
        <f>J41/O31</f>
        <v>4.3439925729169353</v>
      </c>
      <c r="D25" s="105">
        <f>K41/P31</f>
        <v>6.4778360188960082</v>
      </c>
      <c r="E25" s="101" t="s">
        <v>205</v>
      </c>
      <c r="H25" s="140" t="s">
        <v>210</v>
      </c>
      <c r="I25" s="120"/>
      <c r="J25" s="128">
        <v>69191.8</v>
      </c>
      <c r="K25" s="134">
        <v>45192.9</v>
      </c>
      <c r="L25" s="94"/>
      <c r="M25" s="94"/>
      <c r="N25" s="121"/>
      <c r="O25" s="115"/>
      <c r="P25" s="134"/>
    </row>
    <row r="26" spans="2:20" x14ac:dyDescent="0.2">
      <c r="B26" s="101" t="s">
        <v>208</v>
      </c>
      <c r="C26" s="105">
        <f>J27/(J17-J34)</f>
        <v>2.1114311699451571</v>
      </c>
      <c r="D26" s="105">
        <f>K27/(K17-K34)</f>
        <v>1.3492164072540338</v>
      </c>
      <c r="E26" s="101" t="s">
        <v>209</v>
      </c>
      <c r="H26" s="140" t="s">
        <v>211</v>
      </c>
      <c r="I26" s="120"/>
      <c r="J26" s="128">
        <v>223.4</v>
      </c>
      <c r="K26" s="134">
        <v>160.19999999999999</v>
      </c>
      <c r="L26" s="94"/>
      <c r="M26" s="94"/>
      <c r="N26" s="121"/>
      <c r="O26" s="115"/>
      <c r="P26" s="134"/>
      <c r="T26" s="98"/>
    </row>
    <row r="27" spans="2:20" x14ac:dyDescent="0.2">
      <c r="B27" s="101"/>
      <c r="C27" s="105"/>
      <c r="D27" s="105"/>
      <c r="E27" s="101"/>
      <c r="H27" s="139" t="s">
        <v>214</v>
      </c>
      <c r="I27" s="120"/>
      <c r="J27" s="129">
        <f>J25+J26</f>
        <v>69415.199999999997</v>
      </c>
      <c r="K27" s="135">
        <f>K25+K26</f>
        <v>45353.1</v>
      </c>
      <c r="L27" s="97"/>
      <c r="M27" s="97"/>
      <c r="N27" s="123"/>
      <c r="O27" s="115"/>
      <c r="P27" s="134"/>
      <c r="T27" s="98"/>
    </row>
    <row r="28" spans="2:20" x14ac:dyDescent="0.2">
      <c r="B28" s="101" t="s">
        <v>212</v>
      </c>
      <c r="C28" s="105">
        <f>J16/O22</f>
        <v>1.693547877383335</v>
      </c>
      <c r="D28" s="105">
        <f>K16/P22</f>
        <v>1.7349836426406962</v>
      </c>
      <c r="E28" s="101" t="s">
        <v>213</v>
      </c>
      <c r="H28" s="139"/>
      <c r="I28" s="120"/>
      <c r="J28" s="129"/>
      <c r="K28" s="135"/>
      <c r="L28" s="94"/>
      <c r="M28" s="94"/>
      <c r="N28" s="119" t="s">
        <v>257</v>
      </c>
      <c r="O28" s="115">
        <v>6713.2</v>
      </c>
      <c r="P28" s="134">
        <v>5508</v>
      </c>
    </row>
    <row r="29" spans="2:20" x14ac:dyDescent="0.2">
      <c r="B29" s="103" t="s">
        <v>215</v>
      </c>
      <c r="C29" s="108">
        <f>(J50/J27)  *C28 * (J27/J16)</f>
        <v>0.2146186663857578</v>
      </c>
      <c r="D29" s="108">
        <f>(K50/K27)  *D28 * (K27/K16)</f>
        <v>0.10424688305618796</v>
      </c>
      <c r="E29" s="110" t="s">
        <v>216</v>
      </c>
      <c r="H29" s="140" t="s">
        <v>217</v>
      </c>
      <c r="I29" s="120" t="s">
        <v>254</v>
      </c>
      <c r="J29" s="128">
        <v>33689.4</v>
      </c>
      <c r="K29" s="134">
        <v>20020.400000000001</v>
      </c>
      <c r="L29" s="94"/>
      <c r="M29" s="94"/>
      <c r="N29" s="120" t="s">
        <v>256</v>
      </c>
      <c r="O29" s="115">
        <v>8797.6</v>
      </c>
      <c r="P29" s="134">
        <v>673.2</v>
      </c>
      <c r="T29" s="98"/>
    </row>
    <row r="30" spans="2:20" x14ac:dyDescent="0.2">
      <c r="C30" s="90"/>
      <c r="D30" s="90"/>
      <c r="H30" s="140" t="s">
        <v>218</v>
      </c>
      <c r="I30" s="120"/>
      <c r="J30" s="128">
        <v>118.3</v>
      </c>
      <c r="K30" s="134">
        <v>280.3</v>
      </c>
      <c r="L30" s="94"/>
      <c r="M30" s="94"/>
      <c r="N30" s="119" t="s">
        <v>255</v>
      </c>
      <c r="O30" s="115">
        <v>35773.800000000003</v>
      </c>
      <c r="P30" s="134">
        <v>21225.599999999999</v>
      </c>
    </row>
    <row r="31" spans="2:20" x14ac:dyDescent="0.2">
      <c r="C31" s="90"/>
      <c r="D31" s="90"/>
      <c r="H31" s="140" t="s">
        <v>253</v>
      </c>
      <c r="I31" s="120"/>
      <c r="J31" s="128">
        <v>-769.6</v>
      </c>
      <c r="K31" s="134">
        <v>-47.9</v>
      </c>
      <c r="L31" s="94"/>
      <c r="M31" s="94"/>
      <c r="N31" s="124" t="s">
        <v>219</v>
      </c>
      <c r="O31" s="117">
        <f>SUM(O28:O29)/2</f>
        <v>7755.4</v>
      </c>
      <c r="P31" s="137">
        <f>SUM(P28:P29)/2</f>
        <v>3090.6</v>
      </c>
    </row>
    <row r="32" spans="2:20" x14ac:dyDescent="0.2">
      <c r="H32" s="140" t="s">
        <v>252</v>
      </c>
      <c r="I32" s="120"/>
      <c r="J32" s="128">
        <v>6648.4</v>
      </c>
      <c r="K32" s="134">
        <v>5775.4</v>
      </c>
      <c r="L32" s="94"/>
      <c r="M32" s="94"/>
      <c r="N32" s="94"/>
      <c r="O32" s="94"/>
      <c r="P32" s="94"/>
    </row>
    <row r="33" spans="8:18" x14ac:dyDescent="0.2">
      <c r="H33" s="140" t="s">
        <v>251</v>
      </c>
      <c r="I33" s="120"/>
      <c r="J33" s="128">
        <v>857.2</v>
      </c>
      <c r="K33" s="134">
        <v>720</v>
      </c>
      <c r="L33" s="94"/>
      <c r="M33" s="94"/>
      <c r="N33" s="94"/>
      <c r="O33" s="94"/>
      <c r="P33" s="94"/>
    </row>
    <row r="34" spans="8:18" x14ac:dyDescent="0.2">
      <c r="H34" s="140" t="s">
        <v>250</v>
      </c>
      <c r="I34" s="120"/>
      <c r="J34" s="128">
        <v>3326.1</v>
      </c>
      <c r="K34" s="134">
        <v>3364.6</v>
      </c>
      <c r="L34" s="94"/>
      <c r="M34" s="94"/>
      <c r="N34" s="147" t="s">
        <v>230</v>
      </c>
      <c r="O34" s="149" t="s">
        <v>231</v>
      </c>
      <c r="P34" s="149" t="s">
        <v>232</v>
      </c>
      <c r="Q34" s="149" t="s">
        <v>233</v>
      </c>
      <c r="R34" s="150" t="s">
        <v>234</v>
      </c>
    </row>
    <row r="35" spans="8:18" x14ac:dyDescent="0.2">
      <c r="H35" s="140" t="s">
        <v>220</v>
      </c>
      <c r="I35" s="120"/>
      <c r="J35" s="128">
        <v>-225.3</v>
      </c>
      <c r="K35" s="134">
        <v>-53.6</v>
      </c>
      <c r="L35" s="94"/>
      <c r="M35" s="94"/>
      <c r="N35" s="148" t="s">
        <v>235</v>
      </c>
      <c r="O35" s="105">
        <v>2.74</v>
      </c>
      <c r="P35" s="105">
        <v>1.67</v>
      </c>
      <c r="Q35" s="105">
        <v>1.25</v>
      </c>
      <c r="R35" s="105">
        <f t="shared" ref="R35:R46" si="0">AVERAGE(O35:Q35)</f>
        <v>1.8866666666666667</v>
      </c>
    </row>
    <row r="36" spans="8:18" x14ac:dyDescent="0.2">
      <c r="H36" s="140" t="s">
        <v>249</v>
      </c>
      <c r="I36" s="120"/>
      <c r="J36" s="128">
        <v>14853.9</v>
      </c>
      <c r="K36" s="134">
        <v>11108.6</v>
      </c>
      <c r="L36" s="97"/>
      <c r="M36" s="97"/>
      <c r="N36" s="148" t="s">
        <v>236</v>
      </c>
      <c r="O36" s="105">
        <v>1.49</v>
      </c>
      <c r="P36" s="105">
        <v>0.63</v>
      </c>
      <c r="Q36" s="105">
        <v>0.6</v>
      </c>
      <c r="R36" s="105">
        <f t="shared" si="0"/>
        <v>0.90666666666666673</v>
      </c>
    </row>
    <row r="37" spans="8:18" x14ac:dyDescent="0.2">
      <c r="H37" s="139" t="s">
        <v>221</v>
      </c>
      <c r="I37" s="120"/>
      <c r="J37" s="129">
        <f>SUM(J29:J36)</f>
        <v>58498.400000000001</v>
      </c>
      <c r="K37" s="135">
        <v>41167.699999999997</v>
      </c>
      <c r="L37" s="94"/>
      <c r="M37" s="94"/>
      <c r="N37" s="148" t="s">
        <v>237</v>
      </c>
      <c r="O37" s="105">
        <v>0.16</v>
      </c>
      <c r="P37" s="105">
        <v>0</v>
      </c>
      <c r="Q37" s="105">
        <v>0.69</v>
      </c>
      <c r="R37" s="105">
        <f t="shared" si="0"/>
        <v>0.28333333333333333</v>
      </c>
    </row>
    <row r="38" spans="8:18" x14ac:dyDescent="0.2">
      <c r="H38" s="139"/>
      <c r="I38" s="120"/>
      <c r="J38" s="129"/>
      <c r="K38" s="135"/>
      <c r="L38" s="94"/>
      <c r="M38" s="94"/>
      <c r="N38" s="148" t="s">
        <v>238</v>
      </c>
      <c r="O38" s="105">
        <v>17.93</v>
      </c>
      <c r="P38" s="105">
        <v>13.8</v>
      </c>
      <c r="Q38" s="105">
        <v>11.74</v>
      </c>
      <c r="R38" s="105">
        <f t="shared" si="0"/>
        <v>14.49</v>
      </c>
    </row>
    <row r="39" spans="8:18" x14ac:dyDescent="0.2">
      <c r="H39" s="139"/>
      <c r="I39" s="120"/>
      <c r="J39" s="129"/>
      <c r="K39" s="135"/>
      <c r="L39" s="94"/>
      <c r="M39" s="94"/>
      <c r="N39" s="148" t="s">
        <v>239</v>
      </c>
      <c r="O39" s="105">
        <v>37.1</v>
      </c>
      <c r="P39" s="105">
        <v>63.92</v>
      </c>
      <c r="Q39" s="105">
        <v>28.59</v>
      </c>
      <c r="R39" s="105">
        <f t="shared" si="0"/>
        <v>43.20333333333334</v>
      </c>
    </row>
    <row r="40" spans="8:18" x14ac:dyDescent="0.2">
      <c r="H40" s="139"/>
      <c r="I40" s="120"/>
      <c r="J40" s="129"/>
      <c r="K40" s="135"/>
      <c r="L40" s="94"/>
      <c r="M40" s="94"/>
      <c r="N40" s="148" t="s">
        <v>240</v>
      </c>
      <c r="O40" s="105">
        <v>21.75</v>
      </c>
      <c r="P40" s="105">
        <v>25.46</v>
      </c>
      <c r="Q40" s="105">
        <v>12.67</v>
      </c>
      <c r="R40" s="105">
        <f t="shared" si="0"/>
        <v>19.96</v>
      </c>
    </row>
    <row r="41" spans="8:18" x14ac:dyDescent="0.2">
      <c r="H41" s="140" t="s">
        <v>222</v>
      </c>
      <c r="I41" s="120"/>
      <c r="J41" s="128">
        <f>J29</f>
        <v>33689.4</v>
      </c>
      <c r="K41" s="134">
        <f>K29</f>
        <v>20020.400000000001</v>
      </c>
      <c r="L41" s="94"/>
      <c r="M41" s="94"/>
      <c r="N41" s="148" t="s">
        <v>241</v>
      </c>
      <c r="O41" s="105">
        <v>27.76</v>
      </c>
      <c r="P41" s="105">
        <v>49.48</v>
      </c>
      <c r="Q41" s="105">
        <v>21.46</v>
      </c>
      <c r="R41" s="105">
        <f t="shared" si="0"/>
        <v>32.9</v>
      </c>
    </row>
    <row r="42" spans="8:18" x14ac:dyDescent="0.2">
      <c r="H42" s="140" t="s">
        <v>223</v>
      </c>
      <c r="I42" s="120" t="s">
        <v>224</v>
      </c>
      <c r="J42" s="128">
        <f>J27-J41</f>
        <v>35725.799999999996</v>
      </c>
      <c r="K42" s="134">
        <f>K27-K41</f>
        <v>25332.699999999997</v>
      </c>
      <c r="L42" s="94"/>
      <c r="M42" s="94"/>
      <c r="N42" s="148" t="s">
        <v>119</v>
      </c>
      <c r="O42" s="105">
        <v>21.24</v>
      </c>
      <c r="P42" s="105">
        <v>481.03</v>
      </c>
      <c r="Q42" s="105">
        <v>1.6</v>
      </c>
      <c r="R42" s="105">
        <f t="shared" si="0"/>
        <v>167.95666666666668</v>
      </c>
    </row>
    <row r="43" spans="8:18" x14ac:dyDescent="0.2">
      <c r="H43" s="140" t="s">
        <v>225</v>
      </c>
      <c r="I43" s="120" t="s">
        <v>265</v>
      </c>
      <c r="J43" s="128">
        <f>J27-J37+J34+J33</f>
        <v>15100.099999999997</v>
      </c>
      <c r="K43" s="134">
        <f>K27-K37+K34+K33</f>
        <v>8270.0000000000018</v>
      </c>
      <c r="L43" s="94"/>
      <c r="M43" s="94"/>
      <c r="N43" s="148" t="s">
        <v>242</v>
      </c>
      <c r="O43" s="105">
        <v>1.39</v>
      </c>
      <c r="P43" s="105">
        <v>2.0499999999999998</v>
      </c>
      <c r="Q43" s="105">
        <v>2.11</v>
      </c>
      <c r="R43" s="105">
        <f t="shared" si="0"/>
        <v>1.8499999999999996</v>
      </c>
    </row>
    <row r="44" spans="8:18" x14ac:dyDescent="0.2">
      <c r="H44" s="140" t="s">
        <v>226</v>
      </c>
      <c r="I44" s="120" t="s">
        <v>267</v>
      </c>
      <c r="J44" s="128">
        <f>J43-J34</f>
        <v>11773.999999999996</v>
      </c>
      <c r="K44" s="134">
        <f>K43-K34</f>
        <v>4905.4000000000015</v>
      </c>
      <c r="L44" s="97"/>
      <c r="M44" s="97"/>
      <c r="N44" s="148" t="s">
        <v>243</v>
      </c>
      <c r="O44" s="105">
        <v>2.95</v>
      </c>
      <c r="P44" s="105">
        <v>1.32</v>
      </c>
      <c r="Q44" s="105">
        <v>4.34</v>
      </c>
      <c r="R44" s="105">
        <f t="shared" si="0"/>
        <v>2.8699999999999997</v>
      </c>
    </row>
    <row r="45" spans="8:18" x14ac:dyDescent="0.2">
      <c r="H45" s="140" t="s">
        <v>227</v>
      </c>
      <c r="I45" s="120" t="s">
        <v>267</v>
      </c>
      <c r="J45" s="128">
        <f>J33</f>
        <v>857.2</v>
      </c>
      <c r="K45" s="134">
        <f>K33</f>
        <v>720</v>
      </c>
      <c r="L45" s="94"/>
      <c r="M45" s="94"/>
      <c r="N45" s="148" t="s">
        <v>235</v>
      </c>
      <c r="O45" s="105">
        <v>2.74</v>
      </c>
      <c r="P45" s="105">
        <v>1.67</v>
      </c>
      <c r="Q45" s="105">
        <v>1.25</v>
      </c>
      <c r="R45" s="105">
        <f t="shared" si="0"/>
        <v>1.8866666666666667</v>
      </c>
    </row>
    <row r="46" spans="8:18" x14ac:dyDescent="0.2">
      <c r="H46" s="140" t="s">
        <v>248</v>
      </c>
      <c r="I46" s="120" t="s">
        <v>266</v>
      </c>
      <c r="J46" s="128">
        <f>J44-J45</f>
        <v>10916.799999999996</v>
      </c>
      <c r="K46" s="134">
        <f>K44-K45</f>
        <v>4185.4000000000015</v>
      </c>
      <c r="L46" s="97"/>
      <c r="M46" s="97"/>
      <c r="N46" s="103" t="s">
        <v>236</v>
      </c>
      <c r="O46" s="151">
        <v>1.49</v>
      </c>
      <c r="P46" s="151">
        <v>0.63</v>
      </c>
      <c r="Q46" s="151">
        <v>0.6</v>
      </c>
      <c r="R46" s="151">
        <f t="shared" si="0"/>
        <v>0.90666666666666673</v>
      </c>
    </row>
    <row r="47" spans="8:18" x14ac:dyDescent="0.2">
      <c r="H47" s="140" t="s">
        <v>247</v>
      </c>
      <c r="I47" s="120"/>
      <c r="J47" s="128">
        <v>0</v>
      </c>
      <c r="K47" s="134">
        <v>266.10000000000002</v>
      </c>
    </row>
    <row r="48" spans="8:18" x14ac:dyDescent="0.2">
      <c r="H48" s="139" t="s">
        <v>246</v>
      </c>
      <c r="I48" s="120"/>
      <c r="J48" s="129">
        <f>J46</f>
        <v>10916.799999999996</v>
      </c>
      <c r="K48" s="135">
        <f>K46+K47</f>
        <v>4451.5000000000018</v>
      </c>
    </row>
    <row r="49" spans="3:21" s="91" customFormat="1" x14ac:dyDescent="0.2">
      <c r="C49" s="92"/>
      <c r="D49" s="92"/>
      <c r="E49" s="90"/>
      <c r="F49" s="90"/>
      <c r="G49" s="90"/>
      <c r="H49" s="140" t="s">
        <v>228</v>
      </c>
      <c r="I49" s="120"/>
      <c r="J49" s="128">
        <v>2767.3</v>
      </c>
      <c r="K49" s="134">
        <v>994.1</v>
      </c>
      <c r="Q49" s="90"/>
      <c r="R49" s="90"/>
      <c r="S49" s="90"/>
      <c r="U49" s="90"/>
    </row>
    <row r="50" spans="3:21" s="91" customFormat="1" x14ac:dyDescent="0.2">
      <c r="C50" s="92"/>
      <c r="D50" s="92"/>
      <c r="E50" s="90"/>
      <c r="F50" s="90"/>
      <c r="G50" s="90"/>
      <c r="H50" s="142" t="s">
        <v>229</v>
      </c>
      <c r="I50" s="144" t="s">
        <v>268</v>
      </c>
      <c r="J50" s="131">
        <f>J48-J49</f>
        <v>8149.4999999999955</v>
      </c>
      <c r="K50" s="136">
        <f>K48-K49</f>
        <v>3457.4000000000019</v>
      </c>
      <c r="Q50" s="90"/>
      <c r="R50" s="90"/>
      <c r="S50" s="90"/>
      <c r="U50" s="90"/>
    </row>
  </sheetData>
  <mergeCells count="1">
    <mergeCell ref="B1:E1"/>
  </mergeCells>
  <pageMargins left="0.7" right="0.7" top="0.75" bottom="0.75" header="0.3" footer="0.3"/>
  <pageSetup paperSize="9" scale="85" orientation="landscape" r:id="rId1"/>
  <colBreaks count="2" manualBreakCount="2">
    <brk id="6" max="1048575" man="1"/>
    <brk id="1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318B-8088-E543-AEF6-95A171879D53}">
  <dimension ref="A2:Q78"/>
  <sheetViews>
    <sheetView showGridLines="0" zoomScale="92" zoomScaleNormal="92" zoomScaleSheetLayoutView="100" workbookViewId="0"/>
  </sheetViews>
  <sheetFormatPr defaultColWidth="8.75390625" defaultRowHeight="14.25" x14ac:dyDescent="0.2"/>
  <cols>
    <col min="1" max="1" width="3.328125" style="90" customWidth="1"/>
    <col min="2" max="2" width="4.80859375" style="90" customWidth="1"/>
    <col min="3" max="3" width="33.16796875" style="90" customWidth="1"/>
    <col min="4" max="4" width="38.71875" style="90" customWidth="1"/>
    <col min="5" max="6" width="18.7421875" style="91" customWidth="1"/>
    <col min="7" max="8" width="3.328125" style="91" customWidth="1"/>
    <col min="9" max="9" width="25.15234375" style="91" customWidth="1"/>
    <col min="10" max="11" width="13.80859375" style="91" customWidth="1"/>
    <col min="12" max="13" width="13.80859375" style="90" customWidth="1"/>
    <col min="14" max="14" width="3.328125" style="90" customWidth="1"/>
    <col min="15" max="15" width="17.75390625" style="91" customWidth="1"/>
    <col min="16" max="16" width="14.1796875" style="90" customWidth="1"/>
    <col min="17" max="17" width="11.34375" style="91" bestFit="1" customWidth="1"/>
    <col min="18" max="16384" width="8.75390625" style="90"/>
  </cols>
  <sheetData>
    <row r="2" spans="3:17" x14ac:dyDescent="0.2">
      <c r="E2" s="125" t="s">
        <v>141</v>
      </c>
      <c r="F2" s="132" t="s">
        <v>142</v>
      </c>
      <c r="I2" s="90"/>
      <c r="J2" s="90"/>
      <c r="K2" s="90"/>
    </row>
    <row r="3" spans="3:17" x14ac:dyDescent="0.2">
      <c r="C3" s="93"/>
      <c r="D3" s="143" t="s">
        <v>144</v>
      </c>
      <c r="E3" s="126" t="s">
        <v>145</v>
      </c>
      <c r="F3" s="133" t="s">
        <v>145</v>
      </c>
      <c r="G3" s="94"/>
      <c r="H3" s="94"/>
      <c r="I3" s="90"/>
      <c r="J3" s="90"/>
      <c r="K3" s="90"/>
      <c r="O3" s="95"/>
    </row>
    <row r="4" spans="3:17" x14ac:dyDescent="0.2">
      <c r="C4" s="138" t="s">
        <v>147</v>
      </c>
      <c r="D4" s="122"/>
      <c r="E4" s="127"/>
      <c r="F4" s="127"/>
      <c r="G4" s="94"/>
      <c r="H4" s="94"/>
      <c r="I4" s="90"/>
      <c r="J4" s="90"/>
      <c r="K4" s="90"/>
      <c r="L4" s="96"/>
      <c r="O4" s="95"/>
    </row>
    <row r="5" spans="3:17" x14ac:dyDescent="0.2">
      <c r="C5" s="139" t="s">
        <v>151</v>
      </c>
      <c r="D5" s="120"/>
      <c r="E5" s="128"/>
      <c r="F5" s="134"/>
      <c r="G5" s="94"/>
      <c r="H5" s="94"/>
      <c r="I5" s="90"/>
      <c r="J5" s="90"/>
      <c r="K5" s="90"/>
      <c r="N5" s="96"/>
      <c r="O5" s="95"/>
      <c r="P5" s="96"/>
    </row>
    <row r="6" spans="3:17" x14ac:dyDescent="0.2">
      <c r="C6" s="140" t="s">
        <v>155</v>
      </c>
      <c r="D6" s="120"/>
      <c r="E6" s="128">
        <v>12903.9</v>
      </c>
      <c r="F6" s="134">
        <v>10082.799999999999</v>
      </c>
      <c r="G6" s="94"/>
      <c r="H6" s="94"/>
      <c r="I6" s="90"/>
      <c r="J6" s="90"/>
      <c r="K6" s="90"/>
    </row>
    <row r="7" spans="3:17" x14ac:dyDescent="0.2">
      <c r="C7" s="140" t="s">
        <v>157</v>
      </c>
      <c r="D7" s="120"/>
      <c r="E7" s="128">
        <v>5285.3</v>
      </c>
      <c r="F7" s="134">
        <v>4545.1000000000004</v>
      </c>
      <c r="G7" s="94"/>
      <c r="H7" s="94"/>
      <c r="I7" s="90"/>
      <c r="J7" s="90"/>
      <c r="K7" s="90"/>
    </row>
    <row r="8" spans="3:17" x14ac:dyDescent="0.2">
      <c r="C8" s="140" t="s">
        <v>159</v>
      </c>
      <c r="D8" s="120"/>
      <c r="E8" s="128">
        <v>2519.8000000000002</v>
      </c>
      <c r="F8" s="134">
        <v>984.1</v>
      </c>
      <c r="G8" s="94"/>
      <c r="H8" s="94"/>
      <c r="I8" s="90"/>
      <c r="J8" s="90"/>
      <c r="K8" s="90"/>
    </row>
    <row r="9" spans="3:17" x14ac:dyDescent="0.2">
      <c r="C9" s="140" t="s">
        <v>162</v>
      </c>
      <c r="D9" s="120"/>
      <c r="E9" s="128">
        <v>214.1</v>
      </c>
      <c r="F9" s="134">
        <v>139.1</v>
      </c>
      <c r="G9" s="94"/>
      <c r="H9" s="94"/>
      <c r="I9" s="90"/>
      <c r="J9" s="90"/>
      <c r="K9" s="90"/>
    </row>
    <row r="10" spans="3:17" x14ac:dyDescent="0.2">
      <c r="C10" s="140" t="s">
        <v>166</v>
      </c>
      <c r="D10" s="120"/>
      <c r="E10" s="128">
        <v>1106</v>
      </c>
      <c r="F10" s="134">
        <v>991.8</v>
      </c>
      <c r="G10" s="94"/>
      <c r="H10" s="94"/>
      <c r="I10" s="90"/>
      <c r="J10" s="90"/>
      <c r="K10" s="90"/>
    </row>
    <row r="11" spans="3:17" x14ac:dyDescent="0.2">
      <c r="C11" s="140" t="s">
        <v>168</v>
      </c>
      <c r="D11" s="120"/>
      <c r="E11" s="128">
        <v>2866.3</v>
      </c>
      <c r="F11" s="134">
        <v>1388.7</v>
      </c>
      <c r="G11" s="94"/>
      <c r="H11" s="94"/>
      <c r="I11" s="90"/>
      <c r="J11" s="90"/>
      <c r="K11" s="90"/>
    </row>
    <row r="12" spans="3:17" x14ac:dyDescent="0.2">
      <c r="C12" s="140"/>
      <c r="D12" s="120"/>
      <c r="E12" s="128"/>
      <c r="F12" s="134"/>
      <c r="G12" s="94"/>
      <c r="H12" s="94"/>
      <c r="I12" s="90"/>
      <c r="J12" s="90"/>
      <c r="K12" s="90"/>
    </row>
    <row r="13" spans="3:17" x14ac:dyDescent="0.2">
      <c r="C13" s="139" t="s">
        <v>174</v>
      </c>
      <c r="D13" s="120"/>
      <c r="E13" s="129">
        <f>SUM(E6:E11)</f>
        <v>24895.399999999998</v>
      </c>
      <c r="F13" s="135">
        <f>SUM(F6:F11)</f>
        <v>18131.600000000002</v>
      </c>
      <c r="G13" s="97"/>
      <c r="H13" s="97"/>
      <c r="I13" s="90"/>
      <c r="J13" s="90"/>
      <c r="K13" s="90"/>
      <c r="N13" s="96"/>
      <c r="O13" s="98"/>
      <c r="P13" s="96"/>
      <c r="Q13" s="98"/>
    </row>
    <row r="14" spans="3:17" x14ac:dyDescent="0.2">
      <c r="C14" s="139" t="s">
        <v>178</v>
      </c>
      <c r="D14" s="120"/>
      <c r="E14" s="129">
        <v>39412</v>
      </c>
      <c r="F14" s="135">
        <v>39410</v>
      </c>
      <c r="G14" s="97"/>
      <c r="H14" s="97"/>
      <c r="I14" s="90"/>
      <c r="J14" s="90"/>
      <c r="K14" s="90"/>
      <c r="N14" s="96"/>
      <c r="O14" s="98"/>
      <c r="P14" s="96"/>
      <c r="Q14" s="98"/>
    </row>
    <row r="15" spans="3:17" x14ac:dyDescent="0.2">
      <c r="C15" s="140"/>
      <c r="D15" s="120"/>
      <c r="E15" s="128"/>
      <c r="F15" s="134"/>
      <c r="G15" s="94"/>
      <c r="H15" s="94"/>
      <c r="I15" s="90"/>
      <c r="J15" s="90"/>
      <c r="K15" s="90"/>
    </row>
    <row r="16" spans="3:17" x14ac:dyDescent="0.2">
      <c r="C16" s="139" t="s">
        <v>184</v>
      </c>
      <c r="D16" s="120" t="s">
        <v>185</v>
      </c>
      <c r="E16" s="129">
        <f>SUM(E13,E14)</f>
        <v>64307.399999999994</v>
      </c>
      <c r="F16" s="135">
        <f>SUM(F13,F14)</f>
        <v>57541.600000000006</v>
      </c>
      <c r="G16" s="97"/>
      <c r="H16" s="97"/>
      <c r="I16" s="90"/>
      <c r="J16" s="90"/>
      <c r="K16" s="90"/>
      <c r="N16" s="96"/>
      <c r="O16" s="98"/>
      <c r="P16" s="96"/>
      <c r="Q16" s="98"/>
    </row>
    <row r="17" spans="3:15" x14ac:dyDescent="0.2">
      <c r="C17" s="139" t="s">
        <v>189</v>
      </c>
      <c r="D17" s="120"/>
      <c r="E17" s="128">
        <v>36202</v>
      </c>
      <c r="F17" s="134">
        <v>36979</v>
      </c>
      <c r="G17" s="94"/>
      <c r="H17" s="94"/>
      <c r="I17" s="90"/>
      <c r="J17" s="90"/>
      <c r="K17" s="90"/>
    </row>
    <row r="18" spans="3:15" x14ac:dyDescent="0.2">
      <c r="C18" s="139" t="s">
        <v>191</v>
      </c>
      <c r="D18" s="120" t="s">
        <v>264</v>
      </c>
      <c r="E18" s="128">
        <f>E17+E13-E63</f>
        <v>41175.800000000003</v>
      </c>
      <c r="F18" s="134">
        <f>F17+F13-F63</f>
        <v>36744.300000000003</v>
      </c>
      <c r="G18" s="94"/>
      <c r="H18" s="94"/>
      <c r="I18" s="90"/>
      <c r="J18" s="90"/>
      <c r="K18" s="90"/>
    </row>
    <row r="19" spans="3:15" x14ac:dyDescent="0.2">
      <c r="C19" s="141" t="s">
        <v>194</v>
      </c>
      <c r="D19" s="122"/>
      <c r="E19" s="130"/>
      <c r="F19" s="130"/>
      <c r="G19" s="94"/>
      <c r="H19" s="94"/>
      <c r="I19" s="90"/>
      <c r="J19" s="90"/>
      <c r="K19" s="90"/>
    </row>
    <row r="20" spans="3:15" x14ac:dyDescent="0.2">
      <c r="C20" s="140" t="s">
        <v>174</v>
      </c>
      <c r="D20" s="120"/>
      <c r="E20" s="128">
        <f>E13</f>
        <v>24895.399999999998</v>
      </c>
      <c r="F20" s="134">
        <f>F13</f>
        <v>18131.600000000002</v>
      </c>
      <c r="G20" s="94"/>
      <c r="H20" s="94"/>
      <c r="I20" s="90"/>
      <c r="J20" s="90"/>
      <c r="K20" s="90"/>
    </row>
    <row r="21" spans="3:15" x14ac:dyDescent="0.2">
      <c r="C21" s="140" t="s">
        <v>199</v>
      </c>
      <c r="D21" s="120"/>
      <c r="E21" s="128">
        <f>E6</f>
        <v>12903.9</v>
      </c>
      <c r="F21" s="134">
        <f>F6</f>
        <v>10082.799999999999</v>
      </c>
      <c r="G21" s="94"/>
      <c r="H21" s="94"/>
      <c r="I21" s="90"/>
      <c r="J21" s="90"/>
      <c r="K21" s="90"/>
    </row>
    <row r="22" spans="3:15" x14ac:dyDescent="0.2">
      <c r="C22" s="140" t="s">
        <v>202</v>
      </c>
      <c r="D22" s="120"/>
      <c r="E22" s="128"/>
      <c r="F22" s="134"/>
      <c r="G22" s="94"/>
      <c r="H22" s="94"/>
      <c r="I22" s="90"/>
      <c r="J22" s="90"/>
      <c r="K22" s="90"/>
    </row>
    <row r="23" spans="3:15" x14ac:dyDescent="0.2">
      <c r="C23" s="139" t="s">
        <v>206</v>
      </c>
      <c r="D23" s="120" t="s">
        <v>207</v>
      </c>
      <c r="E23" s="129">
        <f>E20-E21</f>
        <v>11991.499999999998</v>
      </c>
      <c r="F23" s="135">
        <f>F20-F21</f>
        <v>8048.8000000000029</v>
      </c>
      <c r="G23" s="97"/>
      <c r="H23" s="97"/>
      <c r="I23" s="90"/>
      <c r="J23" s="90"/>
      <c r="K23" s="90"/>
    </row>
    <row r="24" spans="3:15" x14ac:dyDescent="0.2">
      <c r="C24" s="140"/>
      <c r="D24" s="120"/>
      <c r="E24" s="128"/>
      <c r="F24" s="134"/>
      <c r="G24" s="94"/>
      <c r="H24" s="94"/>
      <c r="I24" s="90"/>
      <c r="J24" s="90"/>
      <c r="K24" s="90"/>
    </row>
    <row r="25" spans="3:15" x14ac:dyDescent="0.2">
      <c r="C25" s="140" t="s">
        <v>210</v>
      </c>
      <c r="D25" s="120"/>
      <c r="E25" s="128">
        <v>69191.8</v>
      </c>
      <c r="F25" s="134">
        <v>45192.9</v>
      </c>
      <c r="G25" s="94"/>
      <c r="H25" s="94"/>
      <c r="I25" s="90"/>
      <c r="J25" s="90"/>
      <c r="K25" s="90"/>
    </row>
    <row r="26" spans="3:15" x14ac:dyDescent="0.2">
      <c r="C26" s="140" t="s">
        <v>211</v>
      </c>
      <c r="D26" s="120"/>
      <c r="E26" s="128">
        <v>223.4</v>
      </c>
      <c r="F26" s="134">
        <v>160.19999999999999</v>
      </c>
      <c r="G26" s="94"/>
      <c r="H26" s="94"/>
      <c r="I26" s="90"/>
      <c r="J26" s="90"/>
      <c r="K26" s="90"/>
      <c r="O26" s="98"/>
    </row>
    <row r="27" spans="3:15" x14ac:dyDescent="0.2">
      <c r="C27" s="139" t="s">
        <v>214</v>
      </c>
      <c r="D27" s="120"/>
      <c r="E27" s="129">
        <f>E25+E26</f>
        <v>69415.199999999997</v>
      </c>
      <c r="F27" s="135">
        <f>F25+F26</f>
        <v>45353.1</v>
      </c>
      <c r="G27" s="97"/>
      <c r="H27" s="97"/>
      <c r="I27" s="90"/>
      <c r="J27" s="90"/>
      <c r="K27" s="90"/>
      <c r="O27" s="98"/>
    </row>
    <row r="28" spans="3:15" x14ac:dyDescent="0.2">
      <c r="C28" s="139"/>
      <c r="D28" s="120"/>
      <c r="E28" s="129"/>
      <c r="F28" s="135"/>
      <c r="G28" s="94"/>
      <c r="H28" s="94"/>
      <c r="I28" s="90"/>
      <c r="J28" s="90"/>
      <c r="K28" s="90"/>
    </row>
    <row r="29" spans="3:15" x14ac:dyDescent="0.2">
      <c r="C29" s="140" t="s">
        <v>217</v>
      </c>
      <c r="D29" s="120" t="s">
        <v>254</v>
      </c>
      <c r="E29" s="128">
        <v>33689.4</v>
      </c>
      <c r="F29" s="134">
        <v>20020.400000000001</v>
      </c>
      <c r="G29" s="94"/>
      <c r="H29" s="94"/>
      <c r="I29" s="90"/>
      <c r="J29" s="90"/>
      <c r="K29" s="90"/>
      <c r="O29" s="98"/>
    </row>
    <row r="30" spans="3:15" x14ac:dyDescent="0.2">
      <c r="C30" s="140" t="s">
        <v>218</v>
      </c>
      <c r="D30" s="120"/>
      <c r="E30" s="128">
        <v>118.3</v>
      </c>
      <c r="F30" s="134">
        <v>280.3</v>
      </c>
      <c r="G30" s="94"/>
      <c r="H30" s="94"/>
      <c r="I30" s="90"/>
      <c r="J30" s="90"/>
      <c r="K30" s="90"/>
    </row>
    <row r="31" spans="3:15" x14ac:dyDescent="0.2">
      <c r="C31" s="140" t="s">
        <v>253</v>
      </c>
      <c r="D31" s="120"/>
      <c r="E31" s="128">
        <v>-769.6</v>
      </c>
      <c r="F31" s="134">
        <v>-47.9</v>
      </c>
      <c r="G31" s="94"/>
      <c r="H31" s="94"/>
      <c r="I31" s="90"/>
      <c r="J31" s="90"/>
      <c r="K31" s="90"/>
    </row>
    <row r="32" spans="3:15" x14ac:dyDescent="0.2">
      <c r="C32" s="140" t="s">
        <v>252</v>
      </c>
      <c r="D32" s="120"/>
      <c r="E32" s="128">
        <v>6648.4</v>
      </c>
      <c r="F32" s="134">
        <v>5775.4</v>
      </c>
      <c r="G32" s="94"/>
      <c r="H32" s="94"/>
      <c r="I32" s="94"/>
      <c r="J32" s="94"/>
      <c r="K32" s="94"/>
    </row>
    <row r="33" spans="3:11" x14ac:dyDescent="0.2">
      <c r="C33" s="140" t="s">
        <v>251</v>
      </c>
      <c r="D33" s="120"/>
      <c r="E33" s="128">
        <v>857.2</v>
      </c>
      <c r="F33" s="134">
        <v>720</v>
      </c>
      <c r="G33" s="94"/>
      <c r="H33" s="94"/>
      <c r="I33" s="94"/>
      <c r="J33" s="94"/>
      <c r="K33" s="94"/>
    </row>
    <row r="34" spans="3:11" x14ac:dyDescent="0.2">
      <c r="C34" s="140" t="s">
        <v>250</v>
      </c>
      <c r="D34" s="120"/>
      <c r="E34" s="128">
        <v>3326.1</v>
      </c>
      <c r="F34" s="134">
        <v>3364.6</v>
      </c>
      <c r="G34" s="94"/>
      <c r="H34" s="94"/>
      <c r="I34" s="90"/>
      <c r="J34" s="90"/>
      <c r="K34" s="90"/>
    </row>
    <row r="35" spans="3:11" x14ac:dyDescent="0.2">
      <c r="C35" s="140" t="s">
        <v>220</v>
      </c>
      <c r="D35" s="120"/>
      <c r="E35" s="128">
        <v>-225.3</v>
      </c>
      <c r="F35" s="134">
        <v>-53.6</v>
      </c>
      <c r="G35" s="94"/>
      <c r="H35" s="94"/>
      <c r="I35" s="90"/>
      <c r="J35" s="90"/>
      <c r="K35" s="90"/>
    </row>
    <row r="36" spans="3:11" x14ac:dyDescent="0.2">
      <c r="C36" s="140" t="s">
        <v>249</v>
      </c>
      <c r="D36" s="120"/>
      <c r="E36" s="128">
        <v>14853.9</v>
      </c>
      <c r="F36" s="134">
        <v>11108.6</v>
      </c>
      <c r="G36" s="97"/>
      <c r="H36" s="97"/>
      <c r="I36" s="90"/>
      <c r="J36" s="90"/>
      <c r="K36" s="90"/>
    </row>
    <row r="37" spans="3:11" x14ac:dyDescent="0.2">
      <c r="C37" s="139" t="s">
        <v>221</v>
      </c>
      <c r="D37" s="120"/>
      <c r="E37" s="129">
        <f>SUM(E29:E36)</f>
        <v>58498.400000000001</v>
      </c>
      <c r="F37" s="135">
        <v>41167.699999999997</v>
      </c>
      <c r="G37" s="94"/>
      <c r="H37" s="94"/>
      <c r="I37" s="90"/>
      <c r="J37" s="90"/>
      <c r="K37" s="90"/>
    </row>
    <row r="38" spans="3:11" x14ac:dyDescent="0.2">
      <c r="C38" s="139"/>
      <c r="D38" s="120"/>
      <c r="E38" s="129"/>
      <c r="F38" s="135"/>
      <c r="G38" s="94"/>
      <c r="H38" s="94"/>
      <c r="I38" s="90"/>
      <c r="J38" s="90"/>
      <c r="K38" s="90"/>
    </row>
    <row r="39" spans="3:11" x14ac:dyDescent="0.2">
      <c r="C39" s="139"/>
      <c r="D39" s="120"/>
      <c r="E39" s="129"/>
      <c r="F39" s="135"/>
      <c r="G39" s="94"/>
      <c r="H39" s="94"/>
      <c r="I39" s="90"/>
      <c r="J39" s="90"/>
      <c r="K39" s="90"/>
    </row>
    <row r="40" spans="3:11" x14ac:dyDescent="0.2">
      <c r="C40" s="139"/>
      <c r="D40" s="120"/>
      <c r="E40" s="129"/>
      <c r="F40" s="135"/>
      <c r="G40" s="94"/>
      <c r="H40" s="94"/>
      <c r="I40" s="90"/>
      <c r="J40" s="90"/>
      <c r="K40" s="90"/>
    </row>
    <row r="41" spans="3:11" x14ac:dyDescent="0.2">
      <c r="C41" s="140" t="s">
        <v>222</v>
      </c>
      <c r="D41" s="120"/>
      <c r="E41" s="128">
        <f>E29</f>
        <v>33689.4</v>
      </c>
      <c r="F41" s="134">
        <f>F29</f>
        <v>20020.400000000001</v>
      </c>
      <c r="G41" s="94"/>
      <c r="H41" s="94"/>
      <c r="I41" s="90"/>
      <c r="J41" s="90"/>
      <c r="K41" s="90"/>
    </row>
    <row r="42" spans="3:11" x14ac:dyDescent="0.2">
      <c r="C42" s="140" t="s">
        <v>223</v>
      </c>
      <c r="D42" s="120" t="s">
        <v>224</v>
      </c>
      <c r="E42" s="128">
        <f>E27-E41</f>
        <v>35725.799999999996</v>
      </c>
      <c r="F42" s="134">
        <f>F27-F41</f>
        <v>25332.699999999997</v>
      </c>
      <c r="G42" s="94"/>
      <c r="H42" s="94"/>
      <c r="I42" s="90"/>
      <c r="J42" s="90"/>
      <c r="K42" s="90"/>
    </row>
    <row r="43" spans="3:11" x14ac:dyDescent="0.2">
      <c r="C43" s="140" t="s">
        <v>225</v>
      </c>
      <c r="D43" s="120" t="s">
        <v>265</v>
      </c>
      <c r="E43" s="128">
        <f>E27-E37+E34+E33</f>
        <v>15100.099999999997</v>
      </c>
      <c r="F43" s="134">
        <f>F27-F37+F34+F33</f>
        <v>8270.0000000000018</v>
      </c>
      <c r="G43" s="94"/>
      <c r="H43" s="94"/>
      <c r="I43" s="90"/>
      <c r="J43" s="90"/>
      <c r="K43" s="90"/>
    </row>
    <row r="44" spans="3:11" x14ac:dyDescent="0.2">
      <c r="C44" s="140" t="s">
        <v>226</v>
      </c>
      <c r="D44" s="120" t="s">
        <v>267</v>
      </c>
      <c r="E44" s="128">
        <f>E43-E34</f>
        <v>11773.999999999996</v>
      </c>
      <c r="F44" s="134">
        <f>F43-F34</f>
        <v>4905.4000000000015</v>
      </c>
      <c r="G44" s="97"/>
      <c r="H44" s="97"/>
      <c r="I44" s="90"/>
      <c r="J44" s="90"/>
      <c r="K44" s="90"/>
    </row>
    <row r="45" spans="3:11" x14ac:dyDescent="0.2">
      <c r="C45" s="140" t="s">
        <v>227</v>
      </c>
      <c r="D45" s="120" t="s">
        <v>267</v>
      </c>
      <c r="E45" s="128">
        <f>E33</f>
        <v>857.2</v>
      </c>
      <c r="F45" s="134">
        <f>F33</f>
        <v>720</v>
      </c>
      <c r="G45" s="94"/>
      <c r="H45" s="94"/>
      <c r="I45" s="90"/>
      <c r="J45" s="90"/>
      <c r="K45" s="90"/>
    </row>
    <row r="46" spans="3:11" x14ac:dyDescent="0.2">
      <c r="C46" s="140" t="s">
        <v>248</v>
      </c>
      <c r="D46" s="120" t="s">
        <v>266</v>
      </c>
      <c r="E46" s="128">
        <f>E44-E45</f>
        <v>10916.799999999996</v>
      </c>
      <c r="F46" s="134">
        <f>F44-F45</f>
        <v>4185.4000000000015</v>
      </c>
      <c r="G46" s="97"/>
      <c r="H46" s="97"/>
      <c r="I46" s="90"/>
      <c r="J46" s="90"/>
      <c r="K46" s="90"/>
    </row>
    <row r="47" spans="3:11" x14ac:dyDescent="0.2">
      <c r="C47" s="140" t="s">
        <v>247</v>
      </c>
      <c r="D47" s="120"/>
      <c r="E47" s="128">
        <v>0</v>
      </c>
      <c r="F47" s="134">
        <v>266.10000000000002</v>
      </c>
    </row>
    <row r="48" spans="3:11" x14ac:dyDescent="0.2">
      <c r="C48" s="139" t="s">
        <v>246</v>
      </c>
      <c r="D48" s="120"/>
      <c r="E48" s="129">
        <f>E46</f>
        <v>10916.799999999996</v>
      </c>
      <c r="F48" s="135">
        <f>F46+F47</f>
        <v>4451.5000000000018</v>
      </c>
    </row>
    <row r="49" spans="1:16" s="91" customFormat="1" x14ac:dyDescent="0.2">
      <c r="A49" s="90"/>
      <c r="B49" s="90"/>
      <c r="C49" s="140" t="s">
        <v>228</v>
      </c>
      <c r="D49" s="120"/>
      <c r="E49" s="128">
        <v>2767.3</v>
      </c>
      <c r="F49" s="134">
        <v>994.1</v>
      </c>
      <c r="L49" s="90"/>
      <c r="M49" s="90"/>
      <c r="N49" s="90"/>
      <c r="P49" s="90"/>
    </row>
    <row r="50" spans="1:16" s="91" customFormat="1" x14ac:dyDescent="0.2">
      <c r="A50" s="90"/>
      <c r="B50" s="90"/>
      <c r="C50" s="142" t="s">
        <v>229</v>
      </c>
      <c r="D50" s="144" t="s">
        <v>268</v>
      </c>
      <c r="E50" s="131">
        <f>E48-E49</f>
        <v>8149.4999999999955</v>
      </c>
      <c r="F50" s="136">
        <f>F48-F49</f>
        <v>3457.4000000000019</v>
      </c>
      <c r="L50" s="90"/>
      <c r="M50" s="90"/>
      <c r="N50" s="90"/>
      <c r="P50" s="90"/>
    </row>
    <row r="52" spans="1:16" x14ac:dyDescent="0.2">
      <c r="C52" s="91"/>
      <c r="E52" s="112" t="s">
        <v>141</v>
      </c>
      <c r="F52" s="132" t="s">
        <v>142</v>
      </c>
    </row>
    <row r="53" spans="1:16" x14ac:dyDescent="0.2">
      <c r="C53" s="94"/>
      <c r="E53" s="113" t="s">
        <v>145</v>
      </c>
      <c r="F53" s="133" t="s">
        <v>145</v>
      </c>
    </row>
    <row r="54" spans="1:16" x14ac:dyDescent="0.2">
      <c r="C54" s="504" t="s">
        <v>148</v>
      </c>
      <c r="D54" s="505"/>
      <c r="E54" s="114"/>
      <c r="F54" s="114"/>
    </row>
    <row r="55" spans="1:16" x14ac:dyDescent="0.2">
      <c r="C55" s="496" t="s">
        <v>152</v>
      </c>
      <c r="D55" s="497"/>
      <c r="E55" s="115"/>
      <c r="F55" s="134"/>
    </row>
    <row r="56" spans="1:16" x14ac:dyDescent="0.2">
      <c r="C56" s="498" t="s">
        <v>156</v>
      </c>
      <c r="D56" s="499"/>
      <c r="E56" s="115">
        <v>12609.6</v>
      </c>
      <c r="F56" s="134">
        <v>12804.2</v>
      </c>
    </row>
    <row r="57" spans="1:16" x14ac:dyDescent="0.2">
      <c r="C57" s="498" t="s">
        <v>261</v>
      </c>
      <c r="D57" s="499"/>
      <c r="E57" s="115">
        <v>19.600000000000001</v>
      </c>
      <c r="F57" s="134">
        <v>12.2</v>
      </c>
    </row>
    <row r="58" spans="1:16" x14ac:dyDescent="0.2">
      <c r="C58" s="498" t="s">
        <v>262</v>
      </c>
      <c r="D58" s="499"/>
      <c r="E58" s="115">
        <v>4545.8999999999996</v>
      </c>
      <c r="F58" s="134">
        <v>2957.1</v>
      </c>
    </row>
    <row r="59" spans="1:16" x14ac:dyDescent="0.2">
      <c r="C59" s="498" t="s">
        <v>163</v>
      </c>
      <c r="D59" s="499"/>
      <c r="E59" s="115">
        <v>1506.8</v>
      </c>
      <c r="F59" s="134">
        <v>1752.6</v>
      </c>
    </row>
    <row r="60" spans="1:16" x14ac:dyDescent="0.2">
      <c r="C60" s="498" t="s">
        <v>167</v>
      </c>
      <c r="D60" s="499"/>
      <c r="E60" s="115">
        <v>196.6</v>
      </c>
      <c r="F60" s="134">
        <v>222.2</v>
      </c>
    </row>
    <row r="61" spans="1:16" x14ac:dyDescent="0.2">
      <c r="C61" s="498" t="s">
        <v>169</v>
      </c>
      <c r="D61" s="499"/>
      <c r="E61" s="115">
        <v>783.5</v>
      </c>
      <c r="F61" s="134">
        <v>618</v>
      </c>
    </row>
    <row r="62" spans="1:16" x14ac:dyDescent="0.2">
      <c r="C62" s="498" t="s">
        <v>171</v>
      </c>
      <c r="D62" s="499"/>
      <c r="E62" s="115">
        <v>259.60000000000002</v>
      </c>
      <c r="F62" s="134">
        <v>0</v>
      </c>
    </row>
    <row r="63" spans="1:16" x14ac:dyDescent="0.2">
      <c r="C63" s="496" t="s">
        <v>175</v>
      </c>
      <c r="D63" s="497"/>
      <c r="E63" s="116">
        <f>SUM(E56:E62)</f>
        <v>19921.599999999995</v>
      </c>
      <c r="F63" s="135">
        <f>SUM(F56:F62)</f>
        <v>18366.300000000003</v>
      </c>
    </row>
    <row r="64" spans="1:16" x14ac:dyDescent="0.2">
      <c r="C64" s="496" t="s">
        <v>263</v>
      </c>
      <c r="D64" s="497"/>
      <c r="E64" s="116">
        <v>6413.6</v>
      </c>
      <c r="F64" s="135">
        <v>6006.5</v>
      </c>
    </row>
    <row r="65" spans="3:6" x14ac:dyDescent="0.2">
      <c r="C65" s="498" t="s">
        <v>181</v>
      </c>
      <c r="D65" s="499"/>
      <c r="E65" s="115">
        <v>3096.6</v>
      </c>
      <c r="F65" s="134">
        <v>2550.9</v>
      </c>
    </row>
    <row r="66" spans="3:6" x14ac:dyDescent="0.2">
      <c r="C66" s="496" t="s">
        <v>186</v>
      </c>
      <c r="D66" s="497"/>
      <c r="E66" s="116">
        <f>SUM(E63,E64)</f>
        <v>26335.199999999997</v>
      </c>
      <c r="F66" s="135">
        <f>SUM(F63:F64)</f>
        <v>24372.800000000003</v>
      </c>
    </row>
    <row r="67" spans="3:6" x14ac:dyDescent="0.2">
      <c r="C67" s="502"/>
      <c r="D67" s="503"/>
      <c r="E67" s="115"/>
      <c r="F67" s="134"/>
    </row>
    <row r="68" spans="3:6" x14ac:dyDescent="0.2">
      <c r="C68" s="502"/>
      <c r="D68" s="503"/>
      <c r="E68" s="115"/>
      <c r="F68" s="134"/>
    </row>
    <row r="69" spans="3:6" x14ac:dyDescent="0.2">
      <c r="C69" s="504" t="s">
        <v>195</v>
      </c>
      <c r="D69" s="505"/>
      <c r="E69" s="114"/>
      <c r="F69" s="114"/>
    </row>
    <row r="70" spans="3:6" x14ac:dyDescent="0.2">
      <c r="C70" s="498" t="s">
        <v>260</v>
      </c>
      <c r="D70" s="499"/>
      <c r="E70" s="115">
        <v>5096</v>
      </c>
      <c r="F70" s="134">
        <v>5096</v>
      </c>
    </row>
    <row r="71" spans="3:6" x14ac:dyDescent="0.2">
      <c r="C71" s="498" t="s">
        <v>259</v>
      </c>
      <c r="D71" s="499"/>
      <c r="E71" s="115">
        <v>32876</v>
      </c>
      <c r="F71" s="134">
        <v>28069.5</v>
      </c>
    </row>
    <row r="72" spans="3:6" x14ac:dyDescent="0.2">
      <c r="C72" s="498" t="s">
        <v>203</v>
      </c>
      <c r="D72" s="499"/>
      <c r="E72" s="115">
        <f>SUM(E70,E71)</f>
        <v>37972</v>
      </c>
      <c r="F72" s="134">
        <f>SUM(F70,F71)</f>
        <v>33165.5</v>
      </c>
    </row>
    <row r="73" spans="3:6" x14ac:dyDescent="0.2">
      <c r="C73" s="498" t="s">
        <v>258</v>
      </c>
      <c r="D73" s="499"/>
      <c r="E73" s="145">
        <f>E70</f>
        <v>5096</v>
      </c>
      <c r="F73" s="146">
        <v>5096</v>
      </c>
    </row>
    <row r="74" spans="3:6" x14ac:dyDescent="0.2">
      <c r="C74" s="502"/>
      <c r="D74" s="503"/>
      <c r="E74" s="115"/>
      <c r="F74" s="134"/>
    </row>
    <row r="75" spans="3:6" x14ac:dyDescent="0.2">
      <c r="C75" s="496" t="s">
        <v>257</v>
      </c>
      <c r="D75" s="497"/>
      <c r="E75" s="115">
        <v>6713.2</v>
      </c>
      <c r="F75" s="134">
        <v>5508</v>
      </c>
    </row>
    <row r="76" spans="3:6" x14ac:dyDescent="0.2">
      <c r="C76" s="498" t="s">
        <v>256</v>
      </c>
      <c r="D76" s="499"/>
      <c r="E76" s="115">
        <v>8797.6</v>
      </c>
      <c r="F76" s="134">
        <v>673.2</v>
      </c>
    </row>
    <row r="77" spans="3:6" x14ac:dyDescent="0.2">
      <c r="C77" s="496" t="s">
        <v>255</v>
      </c>
      <c r="D77" s="497"/>
      <c r="E77" s="115">
        <v>35773.800000000003</v>
      </c>
      <c r="F77" s="134">
        <v>21225.599999999999</v>
      </c>
    </row>
    <row r="78" spans="3:6" x14ac:dyDescent="0.2">
      <c r="C78" s="500" t="s">
        <v>219</v>
      </c>
      <c r="D78" s="501"/>
      <c r="E78" s="117">
        <f>SUM(E75:E76)/2</f>
        <v>7755.4</v>
      </c>
      <c r="F78" s="137">
        <f>SUM(F75:F76)/2</f>
        <v>3090.6</v>
      </c>
    </row>
  </sheetData>
  <mergeCells count="25">
    <mergeCell ref="C54:D54"/>
    <mergeCell ref="C55:D55"/>
    <mergeCell ref="C56:D56"/>
    <mergeCell ref="C57:D57"/>
    <mergeCell ref="C58:D58"/>
    <mergeCell ref="C70:D70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5:D75"/>
    <mergeCell ref="C76:D76"/>
    <mergeCell ref="C77:D77"/>
    <mergeCell ref="C78:D78"/>
    <mergeCell ref="C71:D71"/>
    <mergeCell ref="C72:D72"/>
    <mergeCell ref="C73:D73"/>
    <mergeCell ref="C74:D74"/>
  </mergeCells>
  <pageMargins left="0.7" right="0.7" top="0.75" bottom="0.75" header="0.3" footer="0.3"/>
  <pageSetup paperSize="10" scale="96" orientation="landscape" r:id="rId1"/>
  <rowBreaks count="1" manualBreakCount="1">
    <brk id="39" max="6" man="1"/>
  </rowBreaks>
  <colBreaks count="1" manualBreakCount="1">
    <brk id="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7345-3648-2140-8CB6-D42DA84CFCFE}">
  <dimension ref="B2:K16"/>
  <sheetViews>
    <sheetView showGridLines="0" zoomScale="110" zoomScaleNormal="110" zoomScaleSheetLayoutView="100" workbookViewId="0"/>
  </sheetViews>
  <sheetFormatPr defaultColWidth="8.75390625" defaultRowHeight="15" x14ac:dyDescent="0.2"/>
  <cols>
    <col min="1" max="1" width="6.78125" style="88" customWidth="1"/>
    <col min="2" max="2" width="18.25" style="88" customWidth="1"/>
    <col min="3" max="6" width="12.82421875" style="88" customWidth="1"/>
    <col min="7" max="7" width="11.8359375" style="88" customWidth="1"/>
    <col min="8" max="16384" width="8.75390625" style="88"/>
  </cols>
  <sheetData>
    <row r="2" spans="2:11" x14ac:dyDescent="0.2">
      <c r="B2" s="385" t="s">
        <v>269</v>
      </c>
      <c r="C2" s="385"/>
      <c r="D2" s="385"/>
      <c r="E2" s="385"/>
      <c r="F2" s="385"/>
      <c r="G2" s="56"/>
      <c r="H2" s="56"/>
      <c r="I2" s="56"/>
      <c r="J2" s="56"/>
      <c r="K2" s="56"/>
    </row>
    <row r="4" spans="2:11" x14ac:dyDescent="0.2">
      <c r="B4" s="147" t="s">
        <v>230</v>
      </c>
      <c r="C4" s="149" t="s">
        <v>231</v>
      </c>
      <c r="D4" s="149" t="s">
        <v>232</v>
      </c>
      <c r="E4" s="149" t="s">
        <v>233</v>
      </c>
      <c r="F4" s="150" t="s">
        <v>234</v>
      </c>
    </row>
    <row r="5" spans="2:11" x14ac:dyDescent="0.2">
      <c r="B5" s="148" t="s">
        <v>235</v>
      </c>
      <c r="C5" s="105">
        <v>2.74</v>
      </c>
      <c r="D5" s="105">
        <v>1.67</v>
      </c>
      <c r="E5" s="105">
        <v>1.25</v>
      </c>
      <c r="F5" s="105">
        <f t="shared" ref="F5:F16" si="0">AVERAGE(C5:E5)</f>
        <v>1.8866666666666667</v>
      </c>
    </row>
    <row r="6" spans="2:11" x14ac:dyDescent="0.2">
      <c r="B6" s="148" t="s">
        <v>236</v>
      </c>
      <c r="C6" s="105">
        <v>1.49</v>
      </c>
      <c r="D6" s="105">
        <v>0.63</v>
      </c>
      <c r="E6" s="105">
        <v>0.6</v>
      </c>
      <c r="F6" s="105">
        <f t="shared" si="0"/>
        <v>0.90666666666666673</v>
      </c>
    </row>
    <row r="7" spans="2:11" x14ac:dyDescent="0.2">
      <c r="B7" s="148" t="s">
        <v>237</v>
      </c>
      <c r="C7" s="105">
        <v>0.16</v>
      </c>
      <c r="D7" s="105">
        <v>0</v>
      </c>
      <c r="E7" s="105">
        <v>0.69</v>
      </c>
      <c r="F7" s="105">
        <f t="shared" si="0"/>
        <v>0.28333333333333333</v>
      </c>
    </row>
    <row r="8" spans="2:11" x14ac:dyDescent="0.2">
      <c r="B8" s="148" t="s">
        <v>238</v>
      </c>
      <c r="C8" s="105">
        <v>17.93</v>
      </c>
      <c r="D8" s="105">
        <v>13.8</v>
      </c>
      <c r="E8" s="105">
        <v>11.74</v>
      </c>
      <c r="F8" s="105">
        <f t="shared" si="0"/>
        <v>14.49</v>
      </c>
    </row>
    <row r="9" spans="2:11" x14ac:dyDescent="0.2">
      <c r="B9" s="148" t="s">
        <v>239</v>
      </c>
      <c r="C9" s="105">
        <v>37.1</v>
      </c>
      <c r="D9" s="105">
        <v>63.92</v>
      </c>
      <c r="E9" s="105">
        <v>28.59</v>
      </c>
      <c r="F9" s="105">
        <f t="shared" si="0"/>
        <v>43.20333333333334</v>
      </c>
    </row>
    <row r="10" spans="2:11" x14ac:dyDescent="0.2">
      <c r="B10" s="148" t="s">
        <v>240</v>
      </c>
      <c r="C10" s="105">
        <v>21.75</v>
      </c>
      <c r="D10" s="105">
        <v>25.46</v>
      </c>
      <c r="E10" s="105">
        <v>12.67</v>
      </c>
      <c r="F10" s="105">
        <f t="shared" si="0"/>
        <v>19.96</v>
      </c>
    </row>
    <row r="11" spans="2:11" x14ac:dyDescent="0.2">
      <c r="B11" s="148" t="s">
        <v>241</v>
      </c>
      <c r="C11" s="105">
        <v>27.76</v>
      </c>
      <c r="D11" s="105">
        <v>49.48</v>
      </c>
      <c r="E11" s="105">
        <v>21.46</v>
      </c>
      <c r="F11" s="105">
        <f t="shared" si="0"/>
        <v>32.9</v>
      </c>
    </row>
    <row r="12" spans="2:11" x14ac:dyDescent="0.2">
      <c r="B12" s="148" t="s">
        <v>119</v>
      </c>
      <c r="C12" s="105">
        <v>21.24</v>
      </c>
      <c r="D12" s="105">
        <v>481.03</v>
      </c>
      <c r="E12" s="105">
        <v>1.6</v>
      </c>
      <c r="F12" s="105">
        <f t="shared" si="0"/>
        <v>167.95666666666668</v>
      </c>
    </row>
    <row r="13" spans="2:11" x14ac:dyDescent="0.2">
      <c r="B13" s="148" t="s">
        <v>242</v>
      </c>
      <c r="C13" s="105">
        <v>1.39</v>
      </c>
      <c r="D13" s="105">
        <v>2.0499999999999998</v>
      </c>
      <c r="E13" s="105">
        <v>2.11</v>
      </c>
      <c r="F13" s="105">
        <f t="shared" si="0"/>
        <v>1.8499999999999996</v>
      </c>
    </row>
    <row r="14" spans="2:11" x14ac:dyDescent="0.2">
      <c r="B14" s="148" t="s">
        <v>243</v>
      </c>
      <c r="C14" s="105">
        <v>2.95</v>
      </c>
      <c r="D14" s="105">
        <v>1.32</v>
      </c>
      <c r="E14" s="105">
        <v>4.34</v>
      </c>
      <c r="F14" s="105">
        <f t="shared" si="0"/>
        <v>2.8699999999999997</v>
      </c>
    </row>
    <row r="15" spans="2:11" x14ac:dyDescent="0.2">
      <c r="B15" s="148" t="s">
        <v>235</v>
      </c>
      <c r="C15" s="105">
        <v>2.74</v>
      </c>
      <c r="D15" s="105">
        <v>1.67</v>
      </c>
      <c r="E15" s="105">
        <v>1.25</v>
      </c>
      <c r="F15" s="105">
        <f t="shared" si="0"/>
        <v>1.8866666666666667</v>
      </c>
    </row>
    <row r="16" spans="2:11" x14ac:dyDescent="0.2">
      <c r="B16" s="103" t="s">
        <v>236</v>
      </c>
      <c r="C16" s="151">
        <v>1.49</v>
      </c>
      <c r="D16" s="151">
        <v>0.63</v>
      </c>
      <c r="E16" s="151">
        <v>0.6</v>
      </c>
      <c r="F16" s="151">
        <f t="shared" si="0"/>
        <v>0.90666666666666673</v>
      </c>
    </row>
  </sheetData>
  <mergeCells count="1">
    <mergeCell ref="B2:F2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23B1-7CD3-2E41-8E30-D88AB4FB466F}">
  <dimension ref="A2:K91"/>
  <sheetViews>
    <sheetView showGridLines="0" zoomScaleNormal="100" zoomScaleSheetLayoutView="100" workbookViewId="0">
      <selection activeCell="AA11" sqref="AA11"/>
    </sheetView>
  </sheetViews>
  <sheetFormatPr defaultColWidth="8.75390625" defaultRowHeight="15" x14ac:dyDescent="0.2"/>
  <cols>
    <col min="1" max="1" width="4.80859375" style="88" customWidth="1"/>
    <col min="2" max="2" width="57.33984375" style="88" customWidth="1"/>
    <col min="3" max="4" width="15.2890625" style="88" customWidth="1"/>
    <col min="5" max="5" width="14.55078125" style="88" bestFit="1" customWidth="1"/>
    <col min="6" max="16384" width="8.75390625" style="88"/>
  </cols>
  <sheetData>
    <row r="2" spans="1:11" x14ac:dyDescent="0.2">
      <c r="A2" s="385" t="s">
        <v>489</v>
      </c>
      <c r="B2" s="385"/>
      <c r="C2" s="385"/>
      <c r="D2" s="385"/>
      <c r="E2" s="56"/>
      <c r="F2" s="56"/>
      <c r="G2" s="56"/>
      <c r="H2" s="56"/>
      <c r="I2" s="56"/>
      <c r="J2" s="56"/>
      <c r="K2" s="56"/>
    </row>
    <row r="4" spans="1:11" x14ac:dyDescent="0.2">
      <c r="A4" s="506" t="s">
        <v>410</v>
      </c>
      <c r="B4" s="506"/>
      <c r="C4" s="506"/>
      <c r="D4" s="506"/>
    </row>
    <row r="5" spans="1:11" ht="27.75" x14ac:dyDescent="0.2">
      <c r="A5" s="267" t="s">
        <v>411</v>
      </c>
      <c r="B5" s="230"/>
      <c r="C5" s="266" t="s">
        <v>490</v>
      </c>
      <c r="D5" s="266" t="s">
        <v>491</v>
      </c>
    </row>
    <row r="6" spans="1:11" x14ac:dyDescent="0.2">
      <c r="A6" s="231" t="s">
        <v>412</v>
      </c>
      <c r="B6" s="232" t="s">
        <v>413</v>
      </c>
      <c r="C6" s="231"/>
      <c r="D6" s="231"/>
    </row>
    <row r="7" spans="1:11" x14ac:dyDescent="0.2">
      <c r="A7" s="233">
        <v>1</v>
      </c>
      <c r="B7" s="234" t="s">
        <v>414</v>
      </c>
      <c r="C7" s="233"/>
      <c r="D7" s="233"/>
    </row>
    <row r="8" spans="1:11" x14ac:dyDescent="0.2">
      <c r="A8" s="235"/>
      <c r="B8" s="235" t="s">
        <v>415</v>
      </c>
      <c r="C8" s="236">
        <v>116626.73</v>
      </c>
      <c r="D8" s="236">
        <v>126366.09</v>
      </c>
    </row>
    <row r="9" spans="1:11" x14ac:dyDescent="0.2">
      <c r="A9" s="235"/>
      <c r="B9" s="235" t="s">
        <v>416</v>
      </c>
      <c r="C9" s="236">
        <v>997.42</v>
      </c>
      <c r="D9" s="236">
        <v>1282.4000000000001</v>
      </c>
    </row>
    <row r="10" spans="1:11" x14ac:dyDescent="0.2">
      <c r="A10" s="235"/>
      <c r="B10" s="235" t="s">
        <v>417</v>
      </c>
      <c r="C10" s="236">
        <v>420.59</v>
      </c>
      <c r="D10" s="236">
        <v>439.83</v>
      </c>
    </row>
    <row r="11" spans="1:11" x14ac:dyDescent="0.2">
      <c r="A11" s="235"/>
      <c r="B11" s="235" t="s">
        <v>418</v>
      </c>
      <c r="C11" s="236">
        <v>3.45</v>
      </c>
      <c r="D11" s="236">
        <v>62.82</v>
      </c>
    </row>
    <row r="12" spans="1:11" x14ac:dyDescent="0.2">
      <c r="A12" s="235"/>
      <c r="B12" s="235" t="s">
        <v>419</v>
      </c>
      <c r="C12" s="236">
        <v>475</v>
      </c>
      <c r="D12" s="236">
        <v>475</v>
      </c>
    </row>
    <row r="13" spans="1:11" x14ac:dyDescent="0.2">
      <c r="A13" s="235"/>
      <c r="B13" s="235" t="s">
        <v>420</v>
      </c>
      <c r="C13" s="236">
        <v>43247.08</v>
      </c>
      <c r="D13" s="236">
        <v>46663.09</v>
      </c>
    </row>
    <row r="14" spans="1:11" ht="16.149999999999999" customHeight="1" x14ac:dyDescent="0.2">
      <c r="A14" s="235"/>
      <c r="B14" s="235" t="s">
        <v>421</v>
      </c>
      <c r="C14" s="236"/>
      <c r="D14" s="236"/>
    </row>
    <row r="15" spans="1:11" x14ac:dyDescent="0.2">
      <c r="A15" s="235"/>
      <c r="B15" s="237" t="s">
        <v>422</v>
      </c>
      <c r="C15" s="236">
        <v>6498.44</v>
      </c>
      <c r="D15" s="236">
        <v>4754.18</v>
      </c>
    </row>
    <row r="16" spans="1:11" x14ac:dyDescent="0.2">
      <c r="A16" s="235"/>
      <c r="B16" s="237" t="s">
        <v>423</v>
      </c>
      <c r="C16" s="236">
        <v>2152.9499999999998</v>
      </c>
      <c r="D16" s="236">
        <v>2901.35</v>
      </c>
    </row>
    <row r="17" spans="1:4" x14ac:dyDescent="0.2">
      <c r="A17" s="235"/>
      <c r="B17" s="237" t="s">
        <v>424</v>
      </c>
      <c r="C17" s="236">
        <v>5056.3599999999997</v>
      </c>
      <c r="D17" s="236">
        <v>6924.72</v>
      </c>
    </row>
    <row r="18" spans="1:4" x14ac:dyDescent="0.2">
      <c r="A18" s="235"/>
      <c r="B18" s="235" t="s">
        <v>425</v>
      </c>
      <c r="C18" s="236">
        <v>37064.18</v>
      </c>
      <c r="D18" s="236">
        <v>30995.22</v>
      </c>
    </row>
    <row r="19" spans="1:4" ht="16.149999999999999" customHeight="1" x14ac:dyDescent="0.2">
      <c r="A19" s="235"/>
      <c r="B19" s="235" t="s">
        <v>426</v>
      </c>
      <c r="C19" s="236">
        <v>3126.02</v>
      </c>
      <c r="D19" s="236">
        <v>3151.84</v>
      </c>
    </row>
    <row r="20" spans="1:4" ht="15.75" thickBot="1" x14ac:dyDescent="0.25">
      <c r="A20" s="238"/>
      <c r="B20" s="238" t="s">
        <v>427</v>
      </c>
      <c r="C20" s="239">
        <v>4652.67</v>
      </c>
      <c r="D20" s="239">
        <v>4573.05</v>
      </c>
    </row>
    <row r="21" spans="1:4" ht="16.5" thickTop="1" thickBot="1" x14ac:dyDescent="0.25">
      <c r="A21" s="240"/>
      <c r="B21" s="241" t="s">
        <v>428</v>
      </c>
      <c r="C21" s="242">
        <f>SUM(C8:C20)</f>
        <v>220320.88999999998</v>
      </c>
      <c r="D21" s="243">
        <f>SUM(D8:D20)</f>
        <v>228589.58999999997</v>
      </c>
    </row>
    <row r="22" spans="1:4" ht="15.75" thickTop="1" x14ac:dyDescent="0.2">
      <c r="A22" s="244"/>
      <c r="B22" s="244"/>
      <c r="C22" s="244"/>
      <c r="D22" s="244"/>
    </row>
    <row r="23" spans="1:4" x14ac:dyDescent="0.2">
      <c r="A23" s="233">
        <v>2</v>
      </c>
      <c r="B23" s="234" t="s">
        <v>429</v>
      </c>
      <c r="C23" s="233"/>
      <c r="D23" s="233"/>
    </row>
    <row r="24" spans="1:4" x14ac:dyDescent="0.2">
      <c r="A24" s="245"/>
      <c r="B24" s="245" t="s">
        <v>430</v>
      </c>
      <c r="C24" s="246">
        <v>154314.81</v>
      </c>
      <c r="D24" s="246">
        <v>129679.59</v>
      </c>
    </row>
    <row r="25" spans="1:4" ht="16.149999999999999" customHeight="1" x14ac:dyDescent="0.2">
      <c r="A25" s="235"/>
      <c r="B25" s="235" t="s">
        <v>431</v>
      </c>
      <c r="C25" s="236"/>
      <c r="D25" s="236"/>
    </row>
    <row r="26" spans="1:4" x14ac:dyDescent="0.2">
      <c r="A26" s="235"/>
      <c r="B26" s="237" t="s">
        <v>422</v>
      </c>
      <c r="C26" s="236">
        <v>59392.68</v>
      </c>
      <c r="D26" s="236">
        <v>7919.91</v>
      </c>
    </row>
    <row r="27" spans="1:4" x14ac:dyDescent="0.2">
      <c r="A27" s="235"/>
      <c r="B27" s="237" t="s">
        <v>432</v>
      </c>
      <c r="C27" s="236">
        <v>72010.490000000005</v>
      </c>
      <c r="D27" s="236">
        <v>91730.28</v>
      </c>
    </row>
    <row r="28" spans="1:4" x14ac:dyDescent="0.2">
      <c r="A28" s="235"/>
      <c r="B28" s="237" t="s">
        <v>433</v>
      </c>
      <c r="C28" s="236">
        <v>7476.6</v>
      </c>
      <c r="D28" s="236">
        <v>19892.939999999999</v>
      </c>
    </row>
    <row r="29" spans="1:4" x14ac:dyDescent="0.2">
      <c r="A29" s="235"/>
      <c r="B29" s="237" t="s">
        <v>434</v>
      </c>
      <c r="C29" s="236">
        <v>15749.96</v>
      </c>
      <c r="D29" s="236">
        <v>30267.599999999999</v>
      </c>
    </row>
    <row r="30" spans="1:4" x14ac:dyDescent="0.2">
      <c r="A30" s="235"/>
      <c r="B30" s="237" t="s">
        <v>435</v>
      </c>
      <c r="C30" s="236">
        <v>5250</v>
      </c>
      <c r="D30" s="236">
        <v>12000</v>
      </c>
    </row>
    <row r="31" spans="1:4" x14ac:dyDescent="0.2">
      <c r="A31" s="235"/>
      <c r="B31" s="237" t="s">
        <v>436</v>
      </c>
      <c r="C31" s="236">
        <v>8724.86</v>
      </c>
      <c r="D31" s="236">
        <v>13082.71</v>
      </c>
    </row>
    <row r="32" spans="1:4" ht="15.75" thickBot="1" x14ac:dyDescent="0.25">
      <c r="A32" s="238"/>
      <c r="B32" s="238" t="s">
        <v>437</v>
      </c>
      <c r="C32" s="239">
        <v>41302.07</v>
      </c>
      <c r="D32" s="239">
        <v>35900.269999999997</v>
      </c>
    </row>
    <row r="33" spans="1:5" ht="16.5" thickTop="1" thickBot="1" x14ac:dyDescent="0.25">
      <c r="A33" s="240"/>
      <c r="B33" s="241" t="s">
        <v>438</v>
      </c>
      <c r="C33" s="242">
        <f>SUM(C24:C32)</f>
        <v>364221.47</v>
      </c>
      <c r="D33" s="243">
        <f>SUM(D24:D32)</f>
        <v>340473.30000000005</v>
      </c>
    </row>
    <row r="34" spans="1:5" ht="16.5" thickTop="1" thickBot="1" x14ac:dyDescent="0.25">
      <c r="A34" s="240"/>
      <c r="B34" s="247" t="s">
        <v>328</v>
      </c>
      <c r="C34" s="248">
        <v>584542.36</v>
      </c>
      <c r="D34" s="249">
        <v>569062.89</v>
      </c>
      <c r="E34" s="250"/>
    </row>
    <row r="35" spans="1:5" ht="15.75" thickTop="1" x14ac:dyDescent="0.2">
      <c r="A35" s="245"/>
      <c r="B35" s="245"/>
      <c r="C35" s="245"/>
      <c r="D35" s="245"/>
    </row>
    <row r="36" spans="1:5" ht="16.149999999999999" customHeight="1" x14ac:dyDescent="0.2">
      <c r="A36" s="251" t="s">
        <v>439</v>
      </c>
      <c r="B36" s="252" t="s">
        <v>332</v>
      </c>
      <c r="C36" s="251"/>
      <c r="D36" s="251"/>
    </row>
    <row r="37" spans="1:5" x14ac:dyDescent="0.2">
      <c r="A37" s="253">
        <v>1</v>
      </c>
      <c r="B37" s="254" t="s">
        <v>440</v>
      </c>
      <c r="C37" s="253"/>
      <c r="D37" s="253"/>
    </row>
    <row r="38" spans="1:5" x14ac:dyDescent="0.2">
      <c r="A38" s="235"/>
      <c r="B38" s="235" t="s">
        <v>441</v>
      </c>
      <c r="C38" s="236">
        <v>6657.37</v>
      </c>
      <c r="D38" s="236">
        <v>6657.37</v>
      </c>
    </row>
    <row r="39" spans="1:5" x14ac:dyDescent="0.2">
      <c r="A39" s="235"/>
      <c r="B39" s="235" t="s">
        <v>442</v>
      </c>
      <c r="C39" s="236">
        <v>174574.97</v>
      </c>
      <c r="D39" s="236">
        <v>191737.49</v>
      </c>
    </row>
    <row r="40" spans="1:5" x14ac:dyDescent="0.2">
      <c r="A40" s="235"/>
      <c r="B40" s="235"/>
      <c r="C40" s="235"/>
      <c r="D40" s="235"/>
    </row>
    <row r="41" spans="1:5" x14ac:dyDescent="0.2">
      <c r="A41" s="253">
        <v>2</v>
      </c>
      <c r="B41" s="254" t="s">
        <v>443</v>
      </c>
      <c r="C41" s="253"/>
      <c r="D41" s="253"/>
    </row>
    <row r="42" spans="1:5" ht="16.149999999999999" customHeight="1" x14ac:dyDescent="0.2">
      <c r="A42" s="235"/>
      <c r="B42" s="235" t="s">
        <v>444</v>
      </c>
      <c r="C42" s="235"/>
      <c r="D42" s="235"/>
    </row>
    <row r="43" spans="1:5" ht="16.149999999999999" customHeight="1" x14ac:dyDescent="0.2">
      <c r="A43" s="235"/>
      <c r="B43" s="235" t="s">
        <v>445</v>
      </c>
      <c r="C43" s="235"/>
      <c r="D43" s="235"/>
    </row>
    <row r="44" spans="1:5" x14ac:dyDescent="0.2">
      <c r="A44" s="235"/>
      <c r="B44" s="237" t="s">
        <v>446</v>
      </c>
      <c r="C44" s="236">
        <v>106361.71</v>
      </c>
      <c r="D44" s="236">
        <v>105672.49</v>
      </c>
    </row>
    <row r="45" spans="1:5" ht="16.149999999999999" customHeight="1" x14ac:dyDescent="0.2">
      <c r="A45" s="235"/>
      <c r="B45" s="237" t="s">
        <v>447</v>
      </c>
      <c r="C45" s="236">
        <v>17709.3</v>
      </c>
      <c r="D45" s="236">
        <v>21935.23</v>
      </c>
    </row>
    <row r="46" spans="1:5" x14ac:dyDescent="0.2">
      <c r="A46" s="235"/>
      <c r="B46" s="237" t="s">
        <v>448</v>
      </c>
      <c r="C46" s="236">
        <v>12670.05</v>
      </c>
      <c r="D46" s="236">
        <v>12789.72</v>
      </c>
    </row>
    <row r="47" spans="1:5" ht="15.75" thickBot="1" x14ac:dyDescent="0.25">
      <c r="A47" s="238"/>
      <c r="B47" s="238" t="s">
        <v>449</v>
      </c>
      <c r="C47" s="239">
        <v>919.72</v>
      </c>
      <c r="D47" s="239">
        <v>1266.3399999999999</v>
      </c>
    </row>
    <row r="48" spans="1:5" ht="16.5" thickTop="1" thickBot="1" x14ac:dyDescent="0.25">
      <c r="A48" s="240"/>
      <c r="B48" s="241" t="s">
        <v>450</v>
      </c>
      <c r="C48" s="242">
        <f>SUM(C44:C47)</f>
        <v>137660.78</v>
      </c>
      <c r="D48" s="243">
        <f>SUM(D44:D47)</f>
        <v>141663.78</v>
      </c>
    </row>
    <row r="49" spans="1:4" ht="15.75" thickTop="1" x14ac:dyDescent="0.2">
      <c r="A49" s="245"/>
      <c r="B49" s="245"/>
      <c r="C49" s="255"/>
      <c r="D49" s="245"/>
    </row>
    <row r="50" spans="1:4" x14ac:dyDescent="0.2">
      <c r="A50" s="253">
        <v>3</v>
      </c>
      <c r="B50" s="254" t="s">
        <v>451</v>
      </c>
      <c r="C50" s="256"/>
      <c r="D50" s="253"/>
    </row>
    <row r="51" spans="1:4" ht="16.149999999999999" customHeight="1" x14ac:dyDescent="0.2">
      <c r="A51" s="235"/>
      <c r="B51" s="235" t="s">
        <v>445</v>
      </c>
      <c r="C51" s="235"/>
      <c r="D51" s="235"/>
    </row>
    <row r="52" spans="1:4" x14ac:dyDescent="0.2">
      <c r="A52" s="235"/>
      <c r="B52" s="237" t="s">
        <v>446</v>
      </c>
      <c r="C52" s="236">
        <v>64964.02</v>
      </c>
      <c r="D52" s="236">
        <v>62208.29</v>
      </c>
    </row>
    <row r="53" spans="1:4" ht="16.149999999999999" customHeight="1" x14ac:dyDescent="0.2">
      <c r="A53" s="235"/>
      <c r="B53" s="237" t="s">
        <v>447</v>
      </c>
      <c r="C53" s="236">
        <v>6395.6</v>
      </c>
      <c r="D53" s="236">
        <v>9842.57</v>
      </c>
    </row>
    <row r="54" spans="1:4" ht="16.149999999999999" customHeight="1" x14ac:dyDescent="0.2">
      <c r="A54" s="235"/>
      <c r="B54" s="237" t="s">
        <v>452</v>
      </c>
      <c r="C54" s="235"/>
      <c r="D54" s="235"/>
    </row>
    <row r="55" spans="1:4" s="260" customFormat="1" x14ac:dyDescent="0.2">
      <c r="A55" s="257"/>
      <c r="B55" s="258" t="s">
        <v>453</v>
      </c>
      <c r="C55" s="259">
        <v>11966.46</v>
      </c>
      <c r="D55" s="259">
        <v>11156.68</v>
      </c>
    </row>
    <row r="56" spans="1:4" ht="31.15" customHeight="1" x14ac:dyDescent="0.2">
      <c r="A56" s="235"/>
      <c r="B56" s="258" t="s">
        <v>454</v>
      </c>
      <c r="C56" s="236">
        <v>125909.36</v>
      </c>
      <c r="D56" s="236">
        <v>80586.509999999995</v>
      </c>
    </row>
    <row r="57" spans="1:4" ht="16.149999999999999" customHeight="1" x14ac:dyDescent="0.2">
      <c r="A57" s="235"/>
      <c r="B57" s="237" t="s">
        <v>455</v>
      </c>
      <c r="C57" s="236">
        <v>33567.040000000001</v>
      </c>
      <c r="D57" s="236">
        <v>31364.63</v>
      </c>
    </row>
    <row r="58" spans="1:4" x14ac:dyDescent="0.2">
      <c r="A58" s="235"/>
      <c r="B58" s="235" t="s">
        <v>456</v>
      </c>
      <c r="C58" s="236">
        <v>17051.689999999999</v>
      </c>
      <c r="D58" s="236">
        <v>29545.02</v>
      </c>
    </row>
    <row r="59" spans="1:4" ht="15.75" thickBot="1" x14ac:dyDescent="0.25">
      <c r="A59" s="238"/>
      <c r="B59" s="238" t="s">
        <v>457</v>
      </c>
      <c r="C59" s="239">
        <v>5795.07</v>
      </c>
      <c r="D59" s="239">
        <v>4300.55</v>
      </c>
    </row>
    <row r="60" spans="1:4" ht="16.5" thickTop="1" thickBot="1" x14ac:dyDescent="0.25">
      <c r="A60" s="240"/>
      <c r="B60" s="241" t="s">
        <v>458</v>
      </c>
      <c r="C60" s="242">
        <f>SUM(C51:C59)</f>
        <v>265649.24</v>
      </c>
      <c r="D60" s="243">
        <f>SUM(D51:D59)</f>
        <v>229004.24999999997</v>
      </c>
    </row>
    <row r="61" spans="1:4" ht="16.5" thickTop="1" thickBot="1" x14ac:dyDescent="0.25">
      <c r="A61" s="240"/>
      <c r="B61" s="247" t="s">
        <v>459</v>
      </c>
      <c r="C61" s="248">
        <f>SUM(C41:C59)</f>
        <v>540970.79999999993</v>
      </c>
      <c r="D61" s="249">
        <f>SUM(D41:D59)</f>
        <v>512331.81</v>
      </c>
    </row>
    <row r="62" spans="1:4" ht="16.5" thickTop="1" thickBot="1" x14ac:dyDescent="0.25">
      <c r="A62" s="240"/>
      <c r="B62" s="247" t="s">
        <v>460</v>
      </c>
      <c r="C62" s="248">
        <v>584542.36</v>
      </c>
      <c r="D62" s="249">
        <v>569062.89</v>
      </c>
    </row>
    <row r="63" spans="1:4" ht="15.75" thickTop="1" x14ac:dyDescent="0.2">
      <c r="A63" s="245"/>
      <c r="B63" s="245" t="s">
        <v>461</v>
      </c>
      <c r="C63" s="246">
        <v>451376</v>
      </c>
      <c r="D63" s="246">
        <v>189148</v>
      </c>
    </row>
    <row r="64" spans="1:4" x14ac:dyDescent="0.2">
      <c r="A64" s="235"/>
      <c r="B64" s="235" t="s">
        <v>462</v>
      </c>
      <c r="C64" s="236">
        <v>2387.9899999999998</v>
      </c>
      <c r="D64" s="236">
        <v>17530.39</v>
      </c>
    </row>
    <row r="65" spans="1:4" x14ac:dyDescent="0.2">
      <c r="A65" s="235"/>
      <c r="B65" s="235" t="s">
        <v>463</v>
      </c>
      <c r="C65" s="236">
        <v>154314.81</v>
      </c>
      <c r="D65" s="236">
        <v>129679.59</v>
      </c>
    </row>
    <row r="66" spans="1:4" ht="16.149999999999999" customHeight="1" x14ac:dyDescent="0.2">
      <c r="B66" s="261"/>
    </row>
    <row r="67" spans="1:4" ht="27.75" x14ac:dyDescent="0.2">
      <c r="A67" s="268" t="s">
        <v>464</v>
      </c>
      <c r="B67" s="262" t="s">
        <v>465</v>
      </c>
      <c r="C67" s="262" t="s">
        <v>466</v>
      </c>
      <c r="D67" s="262" t="s">
        <v>467</v>
      </c>
    </row>
    <row r="68" spans="1:4" x14ac:dyDescent="0.2">
      <c r="A68" s="235">
        <v>1</v>
      </c>
      <c r="B68" s="235" t="s">
        <v>468</v>
      </c>
      <c r="C68" s="263">
        <f>SUM(C38:C39)</f>
        <v>181232.34</v>
      </c>
      <c r="D68" s="263">
        <f>SUM(D38:D39)</f>
        <v>198394.86</v>
      </c>
    </row>
    <row r="69" spans="1:4" x14ac:dyDescent="0.2">
      <c r="A69" s="235">
        <v>2</v>
      </c>
      <c r="B69" s="235" t="s">
        <v>235</v>
      </c>
      <c r="C69" s="235">
        <f>C33/C60</f>
        <v>1.3710615923463587</v>
      </c>
      <c r="D69" s="235">
        <f>D33/D60</f>
        <v>1.4867553768106927</v>
      </c>
    </row>
    <row r="70" spans="1:4" x14ac:dyDescent="0.2">
      <c r="A70" s="235">
        <v>3</v>
      </c>
      <c r="B70" s="235" t="s">
        <v>37</v>
      </c>
      <c r="C70" s="235">
        <f>((C33-C24)/C60)</f>
        <v>0.79016473000261545</v>
      </c>
      <c r="D70" s="235">
        <f>((D33-D24)/D60)</f>
        <v>0.92047946708412653</v>
      </c>
    </row>
    <row r="71" spans="1:4" x14ac:dyDescent="0.2">
      <c r="A71" s="235">
        <v>4</v>
      </c>
      <c r="B71" s="235" t="s">
        <v>42</v>
      </c>
      <c r="C71" s="235">
        <f>((C38+C39)/(C21+C33))</f>
        <v>0.31004141427834248</v>
      </c>
      <c r="D71" s="235">
        <f>((D38+D39)/(D21+D33))</f>
        <v>0.3486343310842146</v>
      </c>
    </row>
    <row r="72" spans="1:4" x14ac:dyDescent="0.2">
      <c r="A72" s="235">
        <v>5</v>
      </c>
      <c r="B72" s="235" t="s">
        <v>469</v>
      </c>
      <c r="C72" s="235">
        <v>0.95</v>
      </c>
      <c r="D72" s="235">
        <v>0.85</v>
      </c>
    </row>
    <row r="73" spans="1:4" x14ac:dyDescent="0.2">
      <c r="A73" s="235">
        <v>6</v>
      </c>
      <c r="B73" s="235" t="s">
        <v>470</v>
      </c>
      <c r="C73" s="236">
        <v>74658</v>
      </c>
      <c r="D73" s="236">
        <v>13871</v>
      </c>
    </row>
    <row r="74" spans="1:4" x14ac:dyDescent="0.2">
      <c r="A74" s="235">
        <v>7</v>
      </c>
      <c r="B74" s="235" t="s">
        <v>471</v>
      </c>
      <c r="C74" s="264">
        <f>C73/C76</f>
        <v>0.16628060958687962</v>
      </c>
      <c r="D74" s="264">
        <f>D73/D76</f>
        <v>8.0825038875672495E-2</v>
      </c>
    </row>
    <row r="75" spans="1:4" x14ac:dyDescent="0.2">
      <c r="A75" s="235">
        <v>8</v>
      </c>
      <c r="B75" s="235" t="s">
        <v>398</v>
      </c>
      <c r="C75" s="236">
        <v>39592</v>
      </c>
      <c r="D75" s="236">
        <v>11849</v>
      </c>
    </row>
    <row r="76" spans="1:4" x14ac:dyDescent="0.2">
      <c r="A76" s="235">
        <v>9</v>
      </c>
      <c r="B76" s="235" t="s">
        <v>472</v>
      </c>
      <c r="C76" s="236">
        <f>C63-C64</f>
        <v>448988.01</v>
      </c>
      <c r="D76" s="236">
        <f>D63-D64</f>
        <v>171617.61</v>
      </c>
    </row>
    <row r="77" spans="1:4" x14ac:dyDescent="0.2">
      <c r="A77" s="235">
        <v>10</v>
      </c>
      <c r="B77" s="235" t="s">
        <v>238</v>
      </c>
      <c r="C77" s="264">
        <f>C75/C76</f>
        <v>8.8180528473355002E-2</v>
      </c>
      <c r="D77" s="264">
        <f>D75/D76</f>
        <v>6.9043031190097567E-2</v>
      </c>
    </row>
    <row r="78" spans="1:4" x14ac:dyDescent="0.2">
      <c r="A78" s="235">
        <v>11</v>
      </c>
      <c r="B78" s="235" t="s">
        <v>473</v>
      </c>
      <c r="C78" s="264">
        <f>(C75)/C34</f>
        <v>6.7731618286825265E-2</v>
      </c>
      <c r="D78" s="264">
        <f>(D75)/D34</f>
        <v>2.0821951682704173E-2</v>
      </c>
    </row>
    <row r="79" spans="1:4" x14ac:dyDescent="0.2">
      <c r="A79" s="235">
        <v>12</v>
      </c>
      <c r="B79" s="235" t="s">
        <v>474</v>
      </c>
      <c r="C79" s="264">
        <f>C75/C68</f>
        <v>0.21845990621762099</v>
      </c>
      <c r="D79" s="264">
        <f>D75/D68</f>
        <v>5.9724329551682949E-2</v>
      </c>
    </row>
    <row r="80" spans="1:4" x14ac:dyDescent="0.2">
      <c r="A80" s="235">
        <v>13</v>
      </c>
      <c r="B80" s="235" t="s">
        <v>475</v>
      </c>
      <c r="C80" s="235">
        <v>6.75</v>
      </c>
      <c r="D80" s="235">
        <v>3.26</v>
      </c>
    </row>
    <row r="81" spans="1:4" x14ac:dyDescent="0.2">
      <c r="A81" s="235">
        <v>14</v>
      </c>
      <c r="B81" s="235" t="s">
        <v>476</v>
      </c>
      <c r="C81" s="235">
        <v>1.8</v>
      </c>
      <c r="D81" s="235">
        <v>0.94</v>
      </c>
    </row>
    <row r="82" spans="1:4" x14ac:dyDescent="0.2">
      <c r="A82" s="235">
        <v>15</v>
      </c>
      <c r="B82" s="235" t="s">
        <v>477</v>
      </c>
      <c r="C82" s="235">
        <v>3.87</v>
      </c>
      <c r="D82" s="235">
        <v>0.49</v>
      </c>
    </row>
    <row r="83" spans="1:4" x14ac:dyDescent="0.2">
      <c r="A83" s="235">
        <v>16</v>
      </c>
      <c r="B83" s="235" t="s">
        <v>478</v>
      </c>
      <c r="C83" s="236">
        <v>272.23</v>
      </c>
      <c r="D83" s="236">
        <v>250.7</v>
      </c>
    </row>
    <row r="84" spans="1:4" x14ac:dyDescent="0.2">
      <c r="A84" s="235">
        <v>17</v>
      </c>
      <c r="B84" s="235" t="s">
        <v>479</v>
      </c>
      <c r="C84" s="235">
        <v>10</v>
      </c>
      <c r="D84" s="235">
        <v>10</v>
      </c>
    </row>
    <row r="85" spans="1:4" x14ac:dyDescent="0.2">
      <c r="A85" s="235">
        <v>18</v>
      </c>
      <c r="B85" s="235" t="s">
        <v>480</v>
      </c>
      <c r="C85" s="235">
        <v>66573731</v>
      </c>
      <c r="D85" s="235">
        <v>66573731</v>
      </c>
    </row>
    <row r="86" spans="1:4" x14ac:dyDescent="0.2">
      <c r="A86" s="235">
        <v>19</v>
      </c>
      <c r="B86" s="235" t="s">
        <v>481</v>
      </c>
      <c r="C86" s="236">
        <v>3</v>
      </c>
      <c r="D86" s="236">
        <v>0</v>
      </c>
    </row>
    <row r="87" spans="1:4" x14ac:dyDescent="0.2">
      <c r="A87" s="235">
        <v>20</v>
      </c>
      <c r="B87" s="235" t="s">
        <v>323</v>
      </c>
      <c r="C87" s="236">
        <v>59.47</v>
      </c>
      <c r="D87" s="236">
        <v>41.54</v>
      </c>
    </row>
    <row r="88" spans="1:4" x14ac:dyDescent="0.2">
      <c r="A88" s="235">
        <v>21</v>
      </c>
      <c r="B88" s="235" t="s">
        <v>482</v>
      </c>
      <c r="C88" s="264">
        <f>C86/C83</f>
        <v>1.1020093303456635E-2</v>
      </c>
      <c r="D88" s="264">
        <f>D86/D83</f>
        <v>0</v>
      </c>
    </row>
    <row r="89" spans="1:4" x14ac:dyDescent="0.2">
      <c r="A89" s="235">
        <v>22</v>
      </c>
      <c r="B89" s="235" t="s">
        <v>483</v>
      </c>
      <c r="C89" s="264">
        <f>C86/C87</f>
        <v>5.0445602824953757E-2</v>
      </c>
      <c r="D89" s="264">
        <f>D86/D87</f>
        <v>0</v>
      </c>
    </row>
    <row r="91" spans="1:4" x14ac:dyDescent="0.2">
      <c r="C91" s="265"/>
    </row>
  </sheetData>
  <mergeCells count="2">
    <mergeCell ref="A4:D4"/>
    <mergeCell ref="A2:D2"/>
  </mergeCells>
  <pageMargins left="0.7" right="0.7" top="0.75" bottom="0.75" header="0.3" footer="0.3"/>
  <pageSetup paperSize="9" scale="8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5F4-0E3E-6849-AD06-24C4F3E8D23C}">
  <dimension ref="A1:J16"/>
  <sheetViews>
    <sheetView showGridLines="0" zoomScaleNormal="100" workbookViewId="0">
      <selection sqref="A1:I1"/>
    </sheetView>
  </sheetViews>
  <sheetFormatPr defaultColWidth="11.21875" defaultRowHeight="15" x14ac:dyDescent="0.2"/>
  <cols>
    <col min="1" max="1" width="22.44140625" customWidth="1"/>
    <col min="2" max="2" width="12.82421875" customWidth="1"/>
    <col min="3" max="3" width="21.33203125" customWidth="1"/>
    <col min="4" max="4" width="15.78125" customWidth="1"/>
    <col min="5" max="6" width="10.8515625" customWidth="1"/>
    <col min="7" max="7" width="2.7109375" customWidth="1"/>
    <col min="8" max="8" width="11.8359375" customWidth="1"/>
    <col min="9" max="9" width="10.8515625" customWidth="1"/>
  </cols>
  <sheetData>
    <row r="1" spans="1:10" x14ac:dyDescent="0.2">
      <c r="A1" s="385" t="s">
        <v>492</v>
      </c>
      <c r="B1" s="385"/>
      <c r="C1" s="385"/>
      <c r="D1" s="385"/>
      <c r="E1" s="385"/>
      <c r="F1" s="385"/>
      <c r="G1" s="385"/>
      <c r="H1" s="385"/>
      <c r="I1" s="385"/>
      <c r="J1" s="56"/>
    </row>
    <row r="2" spans="1:10" x14ac:dyDescent="0.2">
      <c r="A2" s="385" t="s">
        <v>493</v>
      </c>
      <c r="B2" s="385"/>
      <c r="C2" s="385"/>
      <c r="D2" s="385"/>
      <c r="E2" s="385"/>
      <c r="F2" s="385"/>
      <c r="G2" s="385"/>
      <c r="H2" s="385"/>
      <c r="I2" s="385"/>
      <c r="J2" s="56"/>
    </row>
    <row r="4" spans="1:10" x14ac:dyDescent="0.2">
      <c r="C4" s="269" t="s">
        <v>484</v>
      </c>
      <c r="D4" s="513" t="s">
        <v>485</v>
      </c>
      <c r="E4" s="514"/>
      <c r="F4" s="515"/>
    </row>
    <row r="5" spans="1:10" x14ac:dyDescent="0.2">
      <c r="C5" s="270">
        <v>44704</v>
      </c>
      <c r="D5" s="507">
        <v>3</v>
      </c>
      <c r="E5" s="508"/>
      <c r="F5" s="509"/>
    </row>
    <row r="6" spans="1:10" x14ac:dyDescent="0.2">
      <c r="C6" s="270">
        <v>44347</v>
      </c>
      <c r="D6" s="507">
        <v>3</v>
      </c>
      <c r="E6" s="508"/>
      <c r="F6" s="509"/>
    </row>
    <row r="7" spans="1:10" x14ac:dyDescent="0.2">
      <c r="C7" s="270">
        <v>44348</v>
      </c>
      <c r="D7" s="507">
        <v>2</v>
      </c>
      <c r="E7" s="508"/>
      <c r="F7" s="509"/>
    </row>
    <row r="8" spans="1:10" x14ac:dyDescent="0.2">
      <c r="C8" s="270">
        <v>44008</v>
      </c>
      <c r="D8" s="507">
        <v>3</v>
      </c>
      <c r="E8" s="508"/>
      <c r="F8" s="509"/>
    </row>
    <row r="9" spans="1:10" x14ac:dyDescent="0.2">
      <c r="C9" s="270">
        <v>43612</v>
      </c>
      <c r="D9" s="507">
        <v>3</v>
      </c>
      <c r="E9" s="508"/>
      <c r="F9" s="509"/>
    </row>
    <row r="10" spans="1:10" x14ac:dyDescent="0.2">
      <c r="C10" s="270">
        <v>43243</v>
      </c>
      <c r="D10" s="507">
        <v>3</v>
      </c>
      <c r="E10" s="508"/>
      <c r="F10" s="509"/>
    </row>
    <row r="11" spans="1:10" x14ac:dyDescent="0.2">
      <c r="C11" s="270">
        <v>42888</v>
      </c>
      <c r="D11" s="507">
        <v>2.75</v>
      </c>
      <c r="E11" s="508"/>
      <c r="F11" s="509"/>
    </row>
    <row r="12" spans="1:10" x14ac:dyDescent="0.2">
      <c r="C12" s="270">
        <v>42433</v>
      </c>
      <c r="D12" s="507">
        <v>2.75</v>
      </c>
      <c r="E12" s="508"/>
      <c r="F12" s="509"/>
    </row>
    <row r="13" spans="1:10" x14ac:dyDescent="0.2">
      <c r="C13" s="270">
        <v>42145</v>
      </c>
      <c r="D13" s="507">
        <v>2.75</v>
      </c>
      <c r="E13" s="508"/>
      <c r="F13" s="509"/>
    </row>
    <row r="14" spans="1:10" x14ac:dyDescent="0.2">
      <c r="C14" s="270">
        <v>41792</v>
      </c>
      <c r="D14" s="507">
        <v>2.5</v>
      </c>
      <c r="E14" s="508"/>
      <c r="F14" s="509"/>
    </row>
    <row r="15" spans="1:10" x14ac:dyDescent="0.2">
      <c r="C15" s="270">
        <v>41425</v>
      </c>
      <c r="D15" s="507">
        <v>2</v>
      </c>
      <c r="E15" s="508"/>
      <c r="F15" s="509"/>
    </row>
    <row r="16" spans="1:10" x14ac:dyDescent="0.2">
      <c r="C16" s="271">
        <v>41058</v>
      </c>
      <c r="D16" s="510">
        <v>1.5</v>
      </c>
      <c r="E16" s="511"/>
      <c r="F16" s="512"/>
    </row>
  </sheetData>
  <mergeCells count="15">
    <mergeCell ref="D15:F15"/>
    <mergeCell ref="D16:F16"/>
    <mergeCell ref="A2:I2"/>
    <mergeCell ref="A1:I1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</mergeCells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0136-41DC-0D47-B3B5-71E3E93A86ED}">
  <dimension ref="B1:I13"/>
  <sheetViews>
    <sheetView showGridLines="0" zoomScaleNormal="100" workbookViewId="0">
      <selection activeCell="AA11" sqref="AA11"/>
    </sheetView>
  </sheetViews>
  <sheetFormatPr defaultColWidth="10.8515625" defaultRowHeight="14.25" x14ac:dyDescent="0.2"/>
  <cols>
    <col min="1" max="1" width="10.8515625" style="30"/>
    <col min="2" max="2" width="11.46484375" style="30" customWidth="1"/>
    <col min="3" max="3" width="10.8515625" style="30" customWidth="1"/>
    <col min="4" max="4" width="19.234375" style="30" customWidth="1"/>
    <col min="5" max="6" width="10.8515625" style="30"/>
    <col min="7" max="7" width="19.234375" style="30" customWidth="1"/>
    <col min="8" max="16384" width="10.8515625" style="30"/>
  </cols>
  <sheetData>
    <row r="1" spans="2:9" x14ac:dyDescent="0.2">
      <c r="B1" s="297" t="s">
        <v>592</v>
      </c>
      <c r="C1" s="295" t="s">
        <v>593</v>
      </c>
      <c r="E1" s="297" t="s">
        <v>592</v>
      </c>
      <c r="F1" s="295" t="s">
        <v>594</v>
      </c>
      <c r="H1" s="297" t="s">
        <v>592</v>
      </c>
      <c r="I1" s="295" t="s">
        <v>595</v>
      </c>
    </row>
    <row r="2" spans="2:9" x14ac:dyDescent="0.2">
      <c r="B2" s="296">
        <v>44287</v>
      </c>
      <c r="C2" s="298">
        <v>309.89999399999999</v>
      </c>
      <c r="E2" s="296">
        <v>44287</v>
      </c>
      <c r="F2" s="298">
        <v>1748</v>
      </c>
      <c r="H2" s="296">
        <v>44287</v>
      </c>
      <c r="I2" s="298">
        <v>66</v>
      </c>
    </row>
    <row r="3" spans="2:9" x14ac:dyDescent="0.2">
      <c r="B3" s="296">
        <v>44317</v>
      </c>
      <c r="C3" s="298">
        <v>289.5</v>
      </c>
      <c r="E3" s="296">
        <v>44317</v>
      </c>
      <c r="F3" s="298">
        <v>1904.90002</v>
      </c>
      <c r="H3" s="296">
        <v>44317</v>
      </c>
      <c r="I3" s="298">
        <v>65</v>
      </c>
    </row>
    <row r="4" spans="2:9" x14ac:dyDescent="0.2">
      <c r="B4" s="296">
        <v>44348</v>
      </c>
      <c r="C4" s="298">
        <v>458</v>
      </c>
      <c r="E4" s="296">
        <v>44348</v>
      </c>
      <c r="F4" s="298">
        <v>3133.25</v>
      </c>
      <c r="H4" s="296">
        <v>44348</v>
      </c>
      <c r="I4" s="298">
        <v>80.699996999999996</v>
      </c>
    </row>
    <row r="5" spans="2:9" x14ac:dyDescent="0.2">
      <c r="B5" s="296">
        <v>44378</v>
      </c>
      <c r="C5" s="298">
        <v>476.85000600000001</v>
      </c>
      <c r="E5" s="296">
        <v>44378</v>
      </c>
      <c r="F5" s="298">
        <v>3588.4499500000002</v>
      </c>
      <c r="H5" s="296">
        <v>44378</v>
      </c>
      <c r="I5" s="298">
        <v>78.5</v>
      </c>
    </row>
    <row r="6" spans="2:9" x14ac:dyDescent="0.2">
      <c r="B6" s="296">
        <v>44409</v>
      </c>
      <c r="C6" s="298">
        <v>543</v>
      </c>
      <c r="E6" s="296">
        <v>44409</v>
      </c>
      <c r="F6" s="298">
        <v>4162</v>
      </c>
      <c r="H6" s="296">
        <v>44409</v>
      </c>
      <c r="I6" s="298">
        <v>105.099998</v>
      </c>
    </row>
    <row r="7" spans="2:9" x14ac:dyDescent="0.2">
      <c r="B7" s="296">
        <v>44440</v>
      </c>
      <c r="C7" s="298">
        <v>436</v>
      </c>
      <c r="E7" s="296">
        <v>44440</v>
      </c>
      <c r="F7" s="298">
        <v>3993.25</v>
      </c>
      <c r="H7" s="296">
        <v>44440</v>
      </c>
      <c r="I7" s="298">
        <v>90.900002000000001</v>
      </c>
    </row>
    <row r="8" spans="2:9" x14ac:dyDescent="0.2">
      <c r="B8" s="296">
        <v>44470</v>
      </c>
      <c r="C8" s="298">
        <v>448</v>
      </c>
      <c r="E8" s="296">
        <v>44470</v>
      </c>
      <c r="F8" s="298">
        <v>3503</v>
      </c>
      <c r="H8" s="296">
        <v>44470</v>
      </c>
      <c r="I8" s="298">
        <v>93.75</v>
      </c>
    </row>
    <row r="9" spans="2:9" x14ac:dyDescent="0.2">
      <c r="B9" s="296">
        <v>44501</v>
      </c>
      <c r="C9" s="298">
        <v>476</v>
      </c>
      <c r="E9" s="296">
        <v>44501</v>
      </c>
      <c r="F9" s="298">
        <v>3562</v>
      </c>
      <c r="H9" s="296">
        <v>44501</v>
      </c>
      <c r="I9" s="298">
        <v>132.39999399999999</v>
      </c>
    </row>
    <row r="10" spans="2:9" x14ac:dyDescent="0.2">
      <c r="B10" s="296">
        <v>44531</v>
      </c>
      <c r="C10" s="298">
        <v>424.95001200000002</v>
      </c>
      <c r="E10" s="296">
        <v>44531</v>
      </c>
      <c r="F10" s="298">
        <v>3760</v>
      </c>
      <c r="H10" s="296">
        <v>44531</v>
      </c>
      <c r="I10" s="298">
        <v>118</v>
      </c>
    </row>
    <row r="11" spans="2:9" x14ac:dyDescent="0.2">
      <c r="B11" s="296">
        <v>44562</v>
      </c>
      <c r="C11" s="298">
        <v>442</v>
      </c>
      <c r="E11" s="296">
        <v>44562</v>
      </c>
      <c r="F11" s="298">
        <v>3690</v>
      </c>
      <c r="H11" s="296">
        <v>44562</v>
      </c>
      <c r="I11" s="298">
        <v>120.75</v>
      </c>
    </row>
    <row r="12" spans="2:9" x14ac:dyDescent="0.2">
      <c r="B12" s="296">
        <v>44593</v>
      </c>
      <c r="C12" s="298">
        <v>508</v>
      </c>
      <c r="E12" s="296">
        <v>44593</v>
      </c>
      <c r="F12" s="298">
        <v>2739.6999500000002</v>
      </c>
      <c r="H12" s="296">
        <v>44593</v>
      </c>
      <c r="I12" s="298">
        <v>145.800003</v>
      </c>
    </row>
    <row r="13" spans="2:9" x14ac:dyDescent="0.2">
      <c r="B13" s="296">
        <v>44621</v>
      </c>
      <c r="C13" s="298">
        <v>457.25</v>
      </c>
      <c r="E13" s="296">
        <v>44621</v>
      </c>
      <c r="F13" s="298">
        <v>2474.5500499999998</v>
      </c>
      <c r="H13" s="296">
        <v>44621</v>
      </c>
      <c r="I13" s="298">
        <v>117.849998</v>
      </c>
    </row>
  </sheetData>
  <pageMargins left="0.7" right="0.7" top="0.75" bottom="0.75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28DC-564A-FA49-ACF0-022EE545D34E}">
  <dimension ref="B1:C5"/>
  <sheetViews>
    <sheetView showGridLines="0" zoomScale="86" zoomScaleNormal="86" zoomScaleSheetLayoutView="100" workbookViewId="0">
      <selection activeCell="AA11" sqref="AA11"/>
    </sheetView>
  </sheetViews>
  <sheetFormatPr defaultColWidth="10.8515625" defaultRowHeight="14.25" x14ac:dyDescent="0.2"/>
  <cols>
    <col min="1" max="1" width="5.0546875" style="30" customWidth="1"/>
    <col min="2" max="2" width="51.05078125" style="30" bestFit="1" customWidth="1"/>
    <col min="3" max="3" width="22.31640625" style="30" customWidth="1"/>
    <col min="4" max="16384" width="10.8515625" style="30"/>
  </cols>
  <sheetData>
    <row r="1" spans="2:3" ht="19.149999999999999" customHeight="1" x14ac:dyDescent="0.2">
      <c r="B1" s="301" t="s">
        <v>596</v>
      </c>
      <c r="C1" s="303">
        <v>16000000000</v>
      </c>
    </row>
    <row r="2" spans="2:3" ht="19.149999999999999" customHeight="1" x14ac:dyDescent="0.2">
      <c r="B2" s="301" t="s">
        <v>597</v>
      </c>
      <c r="C2" s="304">
        <v>348967539</v>
      </c>
    </row>
    <row r="3" spans="2:3" ht="19.149999999999999" customHeight="1" x14ac:dyDescent="0.2">
      <c r="B3" s="301" t="s">
        <v>598</v>
      </c>
      <c r="C3" s="303">
        <v>6887811963</v>
      </c>
    </row>
    <row r="4" spans="2:3" ht="19.149999999999999" customHeight="1" x14ac:dyDescent="0.2">
      <c r="B4" s="302" t="s">
        <v>599</v>
      </c>
      <c r="C4" s="303">
        <v>357351444</v>
      </c>
    </row>
    <row r="5" spans="2:3" ht="19.149999999999999" customHeight="1" x14ac:dyDescent="0.2">
      <c r="B5" s="300"/>
      <c r="C5" s="299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589-A787-2245-91A3-79E484AFBA55}">
  <dimension ref="A1:C65"/>
  <sheetViews>
    <sheetView showGridLines="0" zoomScaleNormal="100" zoomScaleSheetLayoutView="100" workbookViewId="0">
      <selection activeCell="AA11" sqref="AA11"/>
    </sheetView>
  </sheetViews>
  <sheetFormatPr defaultColWidth="10.8515625" defaultRowHeight="14.25" x14ac:dyDescent="0.2"/>
  <cols>
    <col min="1" max="1" width="48.83203125" style="30" customWidth="1"/>
    <col min="2" max="2" width="16.27734375" style="30" customWidth="1"/>
    <col min="3" max="3" width="15.78125" style="30" customWidth="1"/>
    <col min="4" max="16384" width="10.8515625" style="30"/>
  </cols>
  <sheetData>
    <row r="1" spans="1:3" ht="15" x14ac:dyDescent="0.2">
      <c r="A1" s="385" t="s">
        <v>600</v>
      </c>
      <c r="B1" s="385"/>
      <c r="C1" s="385"/>
    </row>
    <row r="3" spans="1:3" x14ac:dyDescent="0.2">
      <c r="A3" s="306" t="s">
        <v>281</v>
      </c>
      <c r="B3" s="306" t="s">
        <v>601</v>
      </c>
      <c r="C3" s="306" t="s">
        <v>602</v>
      </c>
    </row>
    <row r="4" spans="1:3" x14ac:dyDescent="0.2">
      <c r="A4" s="307" t="s">
        <v>147</v>
      </c>
      <c r="B4" s="307" t="s">
        <v>603</v>
      </c>
      <c r="C4" s="307" t="s">
        <v>603</v>
      </c>
    </row>
    <row r="5" spans="1:3" x14ac:dyDescent="0.2">
      <c r="A5" s="308" t="s">
        <v>604</v>
      </c>
      <c r="B5" s="309"/>
      <c r="C5" s="309"/>
    </row>
    <row r="6" spans="1:3" x14ac:dyDescent="0.2">
      <c r="A6" s="309" t="s">
        <v>605</v>
      </c>
      <c r="B6" s="315">
        <v>18608.150000000001</v>
      </c>
      <c r="C6" s="315">
        <v>16622.86</v>
      </c>
    </row>
    <row r="7" spans="1:3" x14ac:dyDescent="0.2">
      <c r="A7" s="309" t="s">
        <v>606</v>
      </c>
      <c r="B7" s="315">
        <v>1625.31</v>
      </c>
      <c r="C7" s="318">
        <v>1811.5</v>
      </c>
    </row>
    <row r="8" spans="1:3" x14ac:dyDescent="0.2">
      <c r="A8" s="309" t="s">
        <v>607</v>
      </c>
      <c r="B8" s="315">
        <v>2612.65</v>
      </c>
      <c r="C8" s="315">
        <v>1935.26</v>
      </c>
    </row>
    <row r="9" spans="1:3" x14ac:dyDescent="0.2">
      <c r="A9" s="309" t="s">
        <v>608</v>
      </c>
      <c r="B9" s="309">
        <v>497.27</v>
      </c>
      <c r="C9" s="309">
        <v>600.01</v>
      </c>
    </row>
    <row r="10" spans="1:3" x14ac:dyDescent="0.2">
      <c r="A10" s="309" t="s">
        <v>609</v>
      </c>
      <c r="B10" s="309">
        <v>60</v>
      </c>
      <c r="C10" s="309">
        <v>2.74</v>
      </c>
    </row>
    <row r="11" spans="1:3" x14ac:dyDescent="0.2">
      <c r="A11" s="309" t="s">
        <v>610</v>
      </c>
      <c r="B11" s="309">
        <v>577.97</v>
      </c>
      <c r="C11" s="309">
        <v>577.97</v>
      </c>
    </row>
    <row r="12" spans="1:3" x14ac:dyDescent="0.2">
      <c r="A12" s="309" t="s">
        <v>611</v>
      </c>
      <c r="B12" s="309"/>
      <c r="C12" s="309"/>
    </row>
    <row r="13" spans="1:3" x14ac:dyDescent="0.2">
      <c r="A13" s="310" t="s">
        <v>612</v>
      </c>
      <c r="B13" s="309">
        <v>0.18</v>
      </c>
      <c r="C13" s="309">
        <v>0.18</v>
      </c>
    </row>
    <row r="14" spans="1:3" x14ac:dyDescent="0.2">
      <c r="A14" s="310" t="s">
        <v>613</v>
      </c>
      <c r="B14" s="309">
        <v>401.93</v>
      </c>
      <c r="C14" s="309">
        <v>132.85</v>
      </c>
    </row>
    <row r="15" spans="1:3" x14ac:dyDescent="0.2">
      <c r="A15" s="311" t="s">
        <v>614</v>
      </c>
      <c r="B15" s="315">
        <v>1018.46</v>
      </c>
      <c r="C15" s="315">
        <v>1018.46</v>
      </c>
    </row>
    <row r="16" spans="1:3" x14ac:dyDescent="0.2">
      <c r="A16" s="309" t="s">
        <v>615</v>
      </c>
      <c r="B16" s="309">
        <v>735.25</v>
      </c>
      <c r="C16" s="309">
        <v>851.41</v>
      </c>
    </row>
    <row r="17" spans="1:3" x14ac:dyDescent="0.2">
      <c r="A17" s="309"/>
      <c r="B17" s="316">
        <f>SUM(B6:B16)</f>
        <v>26137.170000000006</v>
      </c>
      <c r="C17" s="316">
        <f>SUM(C6:C16)</f>
        <v>23553.239999999998</v>
      </c>
    </row>
    <row r="18" spans="1:3" x14ac:dyDescent="0.2">
      <c r="A18" s="309"/>
      <c r="B18" s="309"/>
      <c r="C18" s="309"/>
    </row>
    <row r="19" spans="1:3" x14ac:dyDescent="0.2">
      <c r="A19" s="308" t="s">
        <v>72</v>
      </c>
      <c r="B19" s="309"/>
      <c r="C19" s="309"/>
    </row>
    <row r="20" spans="1:3" x14ac:dyDescent="0.2">
      <c r="A20" s="309" t="s">
        <v>616</v>
      </c>
      <c r="B20" s="315">
        <v>57955.71</v>
      </c>
      <c r="C20" s="315">
        <v>38720.5</v>
      </c>
    </row>
    <row r="21" spans="1:3" x14ac:dyDescent="0.2">
      <c r="A21" s="309" t="s">
        <v>617</v>
      </c>
      <c r="B21" s="309"/>
      <c r="C21" s="309"/>
    </row>
    <row r="22" spans="1:3" x14ac:dyDescent="0.2">
      <c r="A22" s="310" t="s">
        <v>618</v>
      </c>
      <c r="B22" s="315">
        <v>54169.58</v>
      </c>
      <c r="C22" s="315">
        <v>36140.629999999997</v>
      </c>
    </row>
    <row r="23" spans="1:3" x14ac:dyDescent="0.2">
      <c r="A23" s="310" t="s">
        <v>619</v>
      </c>
      <c r="B23" s="309">
        <v>401.95</v>
      </c>
      <c r="C23" s="309">
        <v>285.58999999999997</v>
      </c>
    </row>
    <row r="24" spans="1:3" x14ac:dyDescent="0.2">
      <c r="A24" s="310" t="s">
        <v>620</v>
      </c>
      <c r="B24" s="315">
        <v>11798.06</v>
      </c>
      <c r="C24" s="315">
        <v>11519.43</v>
      </c>
    </row>
    <row r="25" spans="1:3" x14ac:dyDescent="0.2">
      <c r="A25" s="310" t="s">
        <v>621</v>
      </c>
      <c r="B25" s="309">
        <v>200</v>
      </c>
      <c r="C25" s="309">
        <v>313.25</v>
      </c>
    </row>
    <row r="26" spans="1:3" x14ac:dyDescent="0.2">
      <c r="A26" s="310" t="s">
        <v>622</v>
      </c>
      <c r="B26" s="309">
        <v>198.41</v>
      </c>
      <c r="C26" s="309">
        <v>292.02</v>
      </c>
    </row>
    <row r="27" spans="1:3" x14ac:dyDescent="0.2">
      <c r="A27" s="309" t="s">
        <v>623</v>
      </c>
      <c r="B27" s="315">
        <v>5992.21</v>
      </c>
      <c r="C27" s="315">
        <v>4188.88</v>
      </c>
    </row>
    <row r="28" spans="1:3" x14ac:dyDescent="0.2">
      <c r="A28" s="309"/>
      <c r="B28" s="316">
        <f>SUM(B20:B27)</f>
        <v>130715.92000000001</v>
      </c>
      <c r="C28" s="316">
        <f>SUM(C20:C27)</f>
        <v>91460.3</v>
      </c>
    </row>
    <row r="29" spans="1:3" x14ac:dyDescent="0.2">
      <c r="A29" s="312" t="s">
        <v>589</v>
      </c>
      <c r="B29" s="316">
        <f>SUM(B28,B17)</f>
        <v>156853.09000000003</v>
      </c>
      <c r="C29" s="316">
        <f>SUM(C28,C17)</f>
        <v>115013.54000000001</v>
      </c>
    </row>
    <row r="30" spans="1:3" x14ac:dyDescent="0.2">
      <c r="A30" s="309"/>
      <c r="B30" s="309"/>
      <c r="C30" s="309"/>
    </row>
    <row r="31" spans="1:3" x14ac:dyDescent="0.2">
      <c r="A31" s="309" t="s">
        <v>624</v>
      </c>
      <c r="B31" s="309"/>
      <c r="C31" s="309"/>
    </row>
    <row r="32" spans="1:3" x14ac:dyDescent="0.2">
      <c r="A32" s="309" t="s">
        <v>440</v>
      </c>
      <c r="B32" s="309"/>
      <c r="C32" s="309"/>
    </row>
    <row r="33" spans="1:3" x14ac:dyDescent="0.2">
      <c r="A33" s="309" t="s">
        <v>625</v>
      </c>
      <c r="B33" s="309">
        <v>796.29</v>
      </c>
      <c r="C33" s="309">
        <v>796.29</v>
      </c>
    </row>
    <row r="34" spans="1:3" x14ac:dyDescent="0.2">
      <c r="A34" s="309" t="s">
        <v>626</v>
      </c>
      <c r="B34" s="315">
        <v>86966.41</v>
      </c>
      <c r="C34" s="315">
        <v>71847.839999999997</v>
      </c>
    </row>
    <row r="35" spans="1:3" x14ac:dyDescent="0.2">
      <c r="A35" s="309"/>
      <c r="B35" s="315">
        <v>87762.7</v>
      </c>
      <c r="C35" s="315">
        <v>72644.13</v>
      </c>
    </row>
    <row r="36" spans="1:3" x14ac:dyDescent="0.2">
      <c r="A36" s="309"/>
      <c r="B36" s="309"/>
      <c r="C36" s="309"/>
    </row>
    <row r="37" spans="1:3" x14ac:dyDescent="0.2">
      <c r="A37" s="309" t="s">
        <v>627</v>
      </c>
      <c r="B37" s="309"/>
      <c r="C37" s="309"/>
    </row>
    <row r="38" spans="1:3" x14ac:dyDescent="0.2">
      <c r="A38" s="309" t="s">
        <v>628</v>
      </c>
      <c r="B38" s="309"/>
      <c r="C38" s="309"/>
    </row>
    <row r="39" spans="1:3" x14ac:dyDescent="0.2">
      <c r="A39" s="310" t="s">
        <v>629</v>
      </c>
      <c r="B39" s="315">
        <v>1593.36</v>
      </c>
      <c r="C39" s="315">
        <v>1354.09</v>
      </c>
    </row>
    <row r="40" spans="1:3" x14ac:dyDescent="0.2">
      <c r="A40" s="310" t="s">
        <v>630</v>
      </c>
      <c r="B40" s="315">
        <v>1354.87</v>
      </c>
      <c r="C40" s="315">
        <v>1469.95</v>
      </c>
    </row>
    <row r="41" spans="1:3" x14ac:dyDescent="0.2">
      <c r="A41" s="309" t="s">
        <v>631</v>
      </c>
      <c r="B41" s="309">
        <v>55.07</v>
      </c>
      <c r="C41" s="309">
        <v>44.68</v>
      </c>
    </row>
    <row r="42" spans="1:3" x14ac:dyDescent="0.2">
      <c r="A42" s="309" t="s">
        <v>632</v>
      </c>
      <c r="B42" s="315">
        <v>1135.1400000000001</v>
      </c>
      <c r="C42" s="309">
        <v>142.06</v>
      </c>
    </row>
    <row r="43" spans="1:3" x14ac:dyDescent="0.2">
      <c r="A43" s="309" t="s">
        <v>633</v>
      </c>
      <c r="B43" s="309">
        <v>147.51</v>
      </c>
      <c r="C43" s="309">
        <v>171.99</v>
      </c>
    </row>
    <row r="44" spans="1:3" x14ac:dyDescent="0.2">
      <c r="A44" s="309"/>
      <c r="B44" s="309"/>
      <c r="C44" s="309"/>
    </row>
    <row r="45" spans="1:3" x14ac:dyDescent="0.2">
      <c r="A45" s="309" t="s">
        <v>634</v>
      </c>
      <c r="B45" s="309"/>
      <c r="C45" s="309"/>
    </row>
    <row r="46" spans="1:3" x14ac:dyDescent="0.2">
      <c r="A46" s="309" t="s">
        <v>635</v>
      </c>
      <c r="B46" s="309"/>
      <c r="C46" s="309"/>
    </row>
    <row r="47" spans="1:3" x14ac:dyDescent="0.2">
      <c r="A47" s="310" t="s">
        <v>629</v>
      </c>
      <c r="B47" s="315">
        <v>33904.639999999999</v>
      </c>
      <c r="C47" s="315">
        <v>13190.03</v>
      </c>
    </row>
    <row r="48" spans="1:3" x14ac:dyDescent="0.2">
      <c r="A48" s="310" t="s">
        <v>636</v>
      </c>
      <c r="B48" s="309">
        <v>134.56</v>
      </c>
      <c r="C48" s="309">
        <v>130.47</v>
      </c>
    </row>
    <row r="49" spans="1:3" x14ac:dyDescent="0.2">
      <c r="A49" s="310" t="s">
        <v>637</v>
      </c>
      <c r="B49" s="309"/>
      <c r="C49" s="309"/>
    </row>
    <row r="50" spans="1:3" ht="25.5" x14ac:dyDescent="0.2">
      <c r="A50" s="313" t="s">
        <v>638</v>
      </c>
      <c r="B50" s="309">
        <v>932.72</v>
      </c>
      <c r="C50" s="315">
        <v>1164.71</v>
      </c>
    </row>
    <row r="51" spans="1:3" ht="25.5" x14ac:dyDescent="0.2">
      <c r="A51" s="313" t="s">
        <v>639</v>
      </c>
      <c r="B51" s="315">
        <v>20697.91</v>
      </c>
      <c r="C51" s="315">
        <v>14998.49</v>
      </c>
    </row>
    <row r="52" spans="1:3" x14ac:dyDescent="0.2">
      <c r="A52" s="310" t="s">
        <v>640</v>
      </c>
      <c r="B52" s="315">
        <v>7149.25</v>
      </c>
      <c r="C52" s="315">
        <v>7129.77</v>
      </c>
    </row>
    <row r="53" spans="1:3" x14ac:dyDescent="0.2">
      <c r="A53" s="309" t="s">
        <v>641</v>
      </c>
      <c r="B53" s="309">
        <v>285.58</v>
      </c>
      <c r="C53" s="309">
        <v>334.83</v>
      </c>
    </row>
    <row r="54" spans="1:3" x14ac:dyDescent="0.2">
      <c r="A54" s="309" t="s">
        <v>642</v>
      </c>
      <c r="B54" s="315">
        <v>1020.9</v>
      </c>
      <c r="C54" s="315">
        <v>1945.91</v>
      </c>
    </row>
    <row r="55" spans="1:3" x14ac:dyDescent="0.2">
      <c r="A55" s="309" t="s">
        <v>643</v>
      </c>
      <c r="B55" s="309">
        <v>678.88</v>
      </c>
      <c r="C55" s="309">
        <v>576.54999999999995</v>
      </c>
    </row>
    <row r="56" spans="1:3" x14ac:dyDescent="0.2">
      <c r="A56" s="309"/>
      <c r="B56" s="315">
        <v>64804.44</v>
      </c>
      <c r="C56" s="315">
        <v>39470.76</v>
      </c>
    </row>
    <row r="57" spans="1:3" x14ac:dyDescent="0.2">
      <c r="A57" s="308" t="s">
        <v>644</v>
      </c>
      <c r="B57" s="315">
        <v>156853.09</v>
      </c>
      <c r="C57" s="315">
        <v>115013.54</v>
      </c>
    </row>
    <row r="58" spans="1:3" x14ac:dyDescent="0.2">
      <c r="A58" s="309"/>
      <c r="B58" s="309"/>
      <c r="C58" s="309"/>
    </row>
    <row r="59" spans="1:3" x14ac:dyDescent="0.2">
      <c r="A59" s="309" t="s">
        <v>645</v>
      </c>
      <c r="B59" s="309"/>
      <c r="C59" s="309"/>
    </row>
    <row r="60" spans="1:3" x14ac:dyDescent="0.2">
      <c r="A60" s="309" t="s">
        <v>646</v>
      </c>
      <c r="B60" s="315">
        <f>B47+B48+B39+B40</f>
        <v>36987.43</v>
      </c>
      <c r="C60" s="315">
        <f>C47+C48+C39+C40</f>
        <v>16144.54</v>
      </c>
    </row>
    <row r="61" spans="1:3" x14ac:dyDescent="0.2">
      <c r="A61" s="309" t="s">
        <v>647</v>
      </c>
      <c r="B61" s="315">
        <v>87762.7</v>
      </c>
      <c r="C61" s="315">
        <v>87762.7</v>
      </c>
    </row>
    <row r="62" spans="1:3" x14ac:dyDescent="0.2">
      <c r="A62" s="309" t="s">
        <v>648</v>
      </c>
      <c r="B62" s="315">
        <f>B29-B56-B9-B10+B39+B47+B40+B48</f>
        <v>128478.81000000001</v>
      </c>
      <c r="C62" s="315">
        <f>C29-C56-C9-C10+C39+C47+C40+C48</f>
        <v>91084.569999999992</v>
      </c>
    </row>
    <row r="63" spans="1:3" x14ac:dyDescent="0.2">
      <c r="A63" s="309" t="s">
        <v>99</v>
      </c>
      <c r="B63" s="315">
        <f>B20</f>
        <v>57955.71</v>
      </c>
      <c r="C63" s="315">
        <f>C20</f>
        <v>38720.5</v>
      </c>
    </row>
    <row r="64" spans="1:3" x14ac:dyDescent="0.2">
      <c r="A64" s="309" t="s">
        <v>649</v>
      </c>
      <c r="B64" s="315">
        <f>B22</f>
        <v>54169.58</v>
      </c>
      <c r="C64" s="315">
        <f>C22</f>
        <v>36140.629999999997</v>
      </c>
    </row>
    <row r="65" spans="1:3" x14ac:dyDescent="0.2">
      <c r="A65" s="314" t="s">
        <v>650</v>
      </c>
      <c r="B65" s="317">
        <f>B47+B49</f>
        <v>33904.639999999999</v>
      </c>
      <c r="C65" s="317">
        <f>C47+C49</f>
        <v>13190.03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703E-12A1-514D-B48A-F08274073057}">
  <dimension ref="B2:K24"/>
  <sheetViews>
    <sheetView showGridLines="0" zoomScaleNormal="100" zoomScaleSheetLayoutView="130" workbookViewId="0">
      <selection activeCell="AA11" sqref="AA11"/>
    </sheetView>
  </sheetViews>
  <sheetFormatPr defaultColWidth="10.8515625" defaultRowHeight="14.25" x14ac:dyDescent="0.2"/>
  <cols>
    <col min="1" max="1" width="3.44921875" style="30" customWidth="1"/>
    <col min="2" max="2" width="20.22265625" style="30" customWidth="1"/>
    <col min="3" max="3" width="37.98046875" style="30" customWidth="1"/>
    <col min="4" max="11" width="10.8515625" style="30"/>
    <col min="12" max="12" width="3.328125" style="30" customWidth="1"/>
    <col min="13" max="16384" width="10.8515625" style="30"/>
  </cols>
  <sheetData>
    <row r="2" spans="2:11" ht="15" x14ac:dyDescent="0.2">
      <c r="B2" s="420" t="s">
        <v>59</v>
      </c>
      <c r="C2" s="420"/>
      <c r="D2" s="420"/>
      <c r="E2" s="420"/>
      <c r="F2" s="420"/>
      <c r="G2" s="420"/>
      <c r="H2" s="420"/>
      <c r="I2" s="420"/>
      <c r="J2" s="420"/>
      <c r="K2" s="420"/>
    </row>
    <row r="4" spans="2:11" ht="16.149999999999999" customHeight="1" x14ac:dyDescent="0.2">
      <c r="B4" s="418" t="s">
        <v>117</v>
      </c>
      <c r="C4" s="418" t="s">
        <v>32</v>
      </c>
      <c r="D4" s="417" t="s">
        <v>30</v>
      </c>
      <c r="E4" s="417"/>
      <c r="F4" s="417"/>
      <c r="G4" s="417"/>
      <c r="H4" s="417" t="s">
        <v>31</v>
      </c>
      <c r="I4" s="417"/>
      <c r="J4" s="417"/>
      <c r="K4" s="417"/>
    </row>
    <row r="5" spans="2:11" x14ac:dyDescent="0.2">
      <c r="B5" s="419"/>
      <c r="C5" s="419"/>
      <c r="D5" s="15" t="s">
        <v>28</v>
      </c>
      <c r="E5" s="15" t="s">
        <v>29</v>
      </c>
      <c r="F5" s="15" t="s">
        <v>27</v>
      </c>
      <c r="G5" s="15" t="s">
        <v>33</v>
      </c>
      <c r="H5" s="15" t="s">
        <v>28</v>
      </c>
      <c r="I5" s="15" t="s">
        <v>29</v>
      </c>
      <c r="J5" s="15" t="s">
        <v>27</v>
      </c>
      <c r="K5" s="15" t="s">
        <v>33</v>
      </c>
    </row>
    <row r="6" spans="2:11" x14ac:dyDescent="0.2">
      <c r="B6" s="32" t="s">
        <v>34</v>
      </c>
      <c r="C6" s="38"/>
      <c r="D6" s="38"/>
      <c r="E6" s="38"/>
      <c r="F6" s="38"/>
      <c r="G6" s="38"/>
      <c r="H6" s="38"/>
      <c r="I6" s="38"/>
      <c r="J6" s="38"/>
      <c r="K6" s="38"/>
    </row>
    <row r="7" spans="2:11" x14ac:dyDescent="0.2">
      <c r="B7" s="6" t="s">
        <v>35</v>
      </c>
      <c r="C7" s="6" t="s">
        <v>36</v>
      </c>
      <c r="D7" s="58">
        <f>97003.19/46042.43</f>
        <v>2.106821685997025</v>
      </c>
      <c r="E7" s="58">
        <v>1.37</v>
      </c>
      <c r="F7" s="58">
        <v>1.03</v>
      </c>
      <c r="G7" s="58">
        <f>AVERAGE(D7:F7)</f>
        <v>1.5022738953323416</v>
      </c>
      <c r="H7" s="58">
        <v>2.27</v>
      </c>
      <c r="I7" s="58">
        <v>1.49</v>
      </c>
      <c r="J7" s="58">
        <v>1.08</v>
      </c>
      <c r="K7" s="58">
        <f>AVERAGE(H7:J7)</f>
        <v>1.6133333333333333</v>
      </c>
    </row>
    <row r="8" spans="2:11" x14ac:dyDescent="0.2">
      <c r="B8" s="6" t="s">
        <v>37</v>
      </c>
      <c r="C8" s="6" t="s">
        <v>38</v>
      </c>
      <c r="D8" s="58">
        <f>'SSML - Balance Sheet Elements'!C23/'SSML - Balance Sheet Elements'!C25</f>
        <v>1.224136953675121</v>
      </c>
      <c r="E8" s="58">
        <f>'SSML - Balance Sheet Elements'!E23/'SSML - Balance Sheet Elements'!E25</f>
        <v>0.78255262465648312</v>
      </c>
      <c r="F8" s="58">
        <f>'SSML - Balance Sheet Elements'!G23/'SSML - Balance Sheet Elements'!G25</f>
        <v>0.39864689881567927</v>
      </c>
      <c r="G8" s="58">
        <f>AVERAGE(D8:F8)</f>
        <v>0.8017788257157612</v>
      </c>
      <c r="H8" s="58">
        <f>'SSML - Balance Sheet Elements'!D23/'SSML - Balance Sheet Elements'!D25</f>
        <v>1.3964319852966316</v>
      </c>
      <c r="I8" s="58">
        <f>'SSML - Balance Sheet Elements'!F23/'SSML - Balance Sheet Elements'!F25</f>
        <v>0.91614924177171386</v>
      </c>
      <c r="J8" s="58">
        <f>'SSML - Balance Sheet Elements'!H23/'SSML - Balance Sheet Elements'!H25</f>
        <v>0.44789771958570718</v>
      </c>
      <c r="K8" s="58">
        <f>AVERAGE(H8:J8)</f>
        <v>0.92015964888468416</v>
      </c>
    </row>
    <row r="9" spans="2:11" x14ac:dyDescent="0.2">
      <c r="B9" s="33"/>
      <c r="C9" s="33"/>
      <c r="D9" s="59"/>
      <c r="E9" s="59"/>
      <c r="F9" s="59"/>
      <c r="G9" s="59"/>
      <c r="H9" s="59"/>
      <c r="I9" s="59"/>
      <c r="J9" s="59"/>
      <c r="K9" s="59"/>
    </row>
    <row r="10" spans="2:11" x14ac:dyDescent="0.2">
      <c r="B10" s="34" t="s">
        <v>39</v>
      </c>
      <c r="C10" s="33"/>
      <c r="D10" s="59"/>
      <c r="E10" s="59"/>
      <c r="F10" s="59"/>
      <c r="G10" s="59"/>
      <c r="H10" s="59"/>
      <c r="I10" s="59"/>
      <c r="J10" s="59"/>
      <c r="K10" s="59"/>
    </row>
    <row r="11" spans="2:11" x14ac:dyDescent="0.2">
      <c r="B11" s="6" t="s">
        <v>40</v>
      </c>
      <c r="C11" s="6" t="s">
        <v>41</v>
      </c>
      <c r="D11" s="58">
        <f>'SSML - Balance Sheet Elements'!C36/'SSML - Balance Sheet Elements'!C38</f>
        <v>0.29416464711502399</v>
      </c>
      <c r="E11" s="58">
        <v>0.95</v>
      </c>
      <c r="F11" s="58">
        <v>0.17</v>
      </c>
      <c r="G11" s="58">
        <f>AVERAGE(D11:F11)</f>
        <v>0.47138821570500794</v>
      </c>
      <c r="H11" s="58">
        <f>'SSML - Balance Sheet Elements'!D36/'SSML - Balance Sheet Elements'!D38</f>
        <v>0.246242007057345</v>
      </c>
      <c r="I11" s="58">
        <v>0.85</v>
      </c>
      <c r="J11" s="58">
        <v>0.22</v>
      </c>
      <c r="K11" s="58">
        <f>AVERAGE(H11:J11)</f>
        <v>0.43874733568578167</v>
      </c>
    </row>
    <row r="12" spans="2:11" x14ac:dyDescent="0.2">
      <c r="B12" s="6" t="s">
        <v>42</v>
      </c>
      <c r="C12" s="6" t="s">
        <v>43</v>
      </c>
      <c r="D12" s="58">
        <f>'SSML - Balance Sheet Elements'!C38/'SSML - Balance Sheet Elements'!C41</f>
        <v>0.61848061684450251</v>
      </c>
      <c r="E12" s="58">
        <f>'SSML - Balance Sheet Elements'!E38/'SSML - Balance Sheet Elements'!E41</f>
        <v>0.31004141427834248</v>
      </c>
      <c r="F12" s="58">
        <f>'SSML - Balance Sheet Elements'!G38/'SSML - Balance Sheet Elements'!G41</f>
        <v>0.24843036185287981</v>
      </c>
      <c r="G12" s="58">
        <f>AVERAGE(D12:F12)</f>
        <v>0.39231746432524162</v>
      </c>
      <c r="H12" s="58">
        <f>'SSML - Balance Sheet Elements'!D38/'SSML - Balance Sheet Elements'!D41</f>
        <v>0.63602863586007841</v>
      </c>
      <c r="I12" s="58">
        <f>'SSML - Balance Sheet Elements'!F38/'SSML - Balance Sheet Elements'!F41</f>
        <v>0.3486343310842146</v>
      </c>
      <c r="J12" s="58">
        <f>'SSML - Balance Sheet Elements'!H38/'SSML - Balance Sheet Elements'!H41</f>
        <v>0.27847878043517948</v>
      </c>
      <c r="K12" s="58">
        <f>AVERAGE(H12:J12)</f>
        <v>0.42104724912649089</v>
      </c>
    </row>
    <row r="13" spans="2:11" x14ac:dyDescent="0.2">
      <c r="B13" s="33"/>
      <c r="C13" s="33"/>
      <c r="D13" s="59"/>
      <c r="E13" s="59"/>
      <c r="F13" s="59"/>
      <c r="G13" s="59"/>
      <c r="H13" s="59"/>
      <c r="I13" s="59"/>
      <c r="J13" s="59"/>
      <c r="K13" s="59"/>
    </row>
    <row r="14" spans="2:11" x14ac:dyDescent="0.2">
      <c r="B14" s="34" t="s">
        <v>44</v>
      </c>
      <c r="C14" s="33"/>
      <c r="D14" s="59"/>
      <c r="E14" s="59"/>
      <c r="F14" s="59"/>
      <c r="G14" s="59"/>
      <c r="H14" s="59"/>
      <c r="I14" s="59"/>
      <c r="J14" s="59"/>
      <c r="K14" s="59"/>
    </row>
    <row r="15" spans="2:11" x14ac:dyDescent="0.2">
      <c r="B15" s="6" t="s">
        <v>45</v>
      </c>
      <c r="C15" s="6" t="s">
        <v>46</v>
      </c>
      <c r="D15" s="58">
        <f>'SSML - Balance Sheet Elements'!C47/'SSML - Balance Sheet Elements'!C52</f>
        <v>2.7313925884137742</v>
      </c>
      <c r="E15" s="58">
        <f>'SSML - Balance Sheet Elements'!E47/'SSML - Balance Sheet Elements'!E52</f>
        <v>1.8015709464693668</v>
      </c>
      <c r="F15" s="58">
        <v>3.5</v>
      </c>
      <c r="G15" s="58">
        <f t="shared" ref="G15:G16" si="0">AVERAGE(D15:F15)</f>
        <v>2.6776545116277135</v>
      </c>
      <c r="H15" s="58">
        <f>'SSML - Balance Sheet Elements'!D47/'SSML - Balance Sheet Elements'!D52</f>
        <v>1.8562420788877401</v>
      </c>
      <c r="I15" s="58">
        <v>0.94</v>
      </c>
      <c r="J15" s="58">
        <v>2.5299999999999998</v>
      </c>
      <c r="K15" s="58">
        <f t="shared" ref="K15:K16" si="1">AVERAGE(H15:J15)</f>
        <v>1.7754140262959133</v>
      </c>
    </row>
    <row r="16" spans="2:11" x14ac:dyDescent="0.2">
      <c r="B16" s="6" t="s">
        <v>47</v>
      </c>
      <c r="C16" s="6" t="s">
        <v>48</v>
      </c>
      <c r="D16" s="58">
        <f>'SSML - Balance Sheet Elements'!C54/'SSML - Balance Sheet Elements'!C64</f>
        <v>3.8492453276630676</v>
      </c>
      <c r="E16" s="58">
        <f>'SSML - Balance Sheet Elements'!E54/'SSML - Balance Sheet Elements'!E64</f>
        <v>3.6644843397074718</v>
      </c>
      <c r="F16" s="58">
        <f>'SSML - Balance Sheet Elements'!G54/'SSML - Balance Sheet Elements'!G64</f>
        <v>1.6161193737409609</v>
      </c>
      <c r="G16" s="58">
        <f t="shared" si="0"/>
        <v>3.0432830137038334</v>
      </c>
      <c r="H16" s="58">
        <f>'SSML - Balance Sheet Elements'!D54/'SSML - Balance Sheet Elements'!D64</f>
        <v>2.2231573608322019</v>
      </c>
      <c r="I16" s="58">
        <f>'SSML - Balance Sheet Elements'!F54/'SSML - Balance Sheet Elements'!F64</f>
        <v>1.7876202550480975</v>
      </c>
      <c r="J16" s="58">
        <f>'SSML - Balance Sheet Elements'!H54/'SSML - Balance Sheet Elements'!H64</f>
        <v>1.1406556330643323</v>
      </c>
      <c r="K16" s="58">
        <f t="shared" si="1"/>
        <v>1.7171444163148772</v>
      </c>
    </row>
    <row r="17" spans="2:11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2:11" x14ac:dyDescent="0.2">
      <c r="B18" s="34" t="s">
        <v>49</v>
      </c>
      <c r="C18" s="33"/>
      <c r="D18" s="33"/>
      <c r="E18" s="33"/>
      <c r="F18" s="33"/>
      <c r="G18" s="33"/>
      <c r="H18" s="33"/>
      <c r="I18" s="33"/>
      <c r="J18" s="33"/>
      <c r="K18" s="33"/>
    </row>
    <row r="19" spans="2:11" ht="25.5" x14ac:dyDescent="0.2">
      <c r="B19" s="57" t="s">
        <v>50</v>
      </c>
      <c r="C19" s="35" t="s">
        <v>51</v>
      </c>
      <c r="D19" s="60">
        <f>'SSML - Balance Sheet Elements'!C66/'SSML - Balance Sheet Elements'!C54</f>
        <v>0.10968463775697722</v>
      </c>
      <c r="E19" s="60">
        <f>'SSML - Balance Sheet Elements'!E66/'SSML - Balance Sheet Elements'!E54</f>
        <v>-8.7714542028939455E-2</v>
      </c>
      <c r="F19" s="60">
        <v>-1.03E-2</v>
      </c>
      <c r="G19" s="60">
        <f t="shared" ref="G19:G20" si="2">AVERAGE(D19:F19)</f>
        <v>3.8900319093459214E-3</v>
      </c>
      <c r="H19" s="60">
        <f>'SSML - Balance Sheet Elements'!D66/'SSML - Balance Sheet Elements'!D54</f>
        <v>4.7331450179793032E-3</v>
      </c>
      <c r="I19" s="60">
        <f>'SSML - Balance Sheet Elements'!F66/'SSML - Balance Sheet Elements'!F54</f>
        <v>-0.11613472738621972</v>
      </c>
      <c r="J19" s="60">
        <v>-0.12540000000000001</v>
      </c>
      <c r="K19" s="60">
        <f t="shared" ref="K19:K20" si="3">AVERAGE(H19:J19)</f>
        <v>-7.8933860789413474E-2</v>
      </c>
    </row>
    <row r="20" spans="2:11" x14ac:dyDescent="0.2">
      <c r="B20" s="6" t="s">
        <v>52</v>
      </c>
      <c r="C20" s="6" t="s">
        <v>53</v>
      </c>
      <c r="D20" s="53">
        <f>'SSML - Balance Sheet Elements'!C66/'SSML - Balance Sheet Elements'!C38</f>
        <v>0.22673351146996865</v>
      </c>
      <c r="E20" s="53">
        <f>'SSML - Balance Sheet Elements'!E66/'SSML - Balance Sheet Elements'!E38</f>
        <v>-0.21846123048458127</v>
      </c>
      <c r="F20" s="53">
        <v>-2.8899999999999999E-2</v>
      </c>
      <c r="G20" s="53">
        <f t="shared" si="2"/>
        <v>-6.8759063382042079E-3</v>
      </c>
      <c r="H20" s="53">
        <f>'SSML - Balance Sheet Elements'!D66/'SSML - Balance Sheet Elements'!D38</f>
        <v>6.8999638333356369E-3</v>
      </c>
      <c r="I20" s="53">
        <f>'SSML - Balance Sheet Elements'!F66/'SSML - Balance Sheet Elements'!F38</f>
        <v>-0.13938259287564206</v>
      </c>
      <c r="J20" s="53">
        <v>-0.34460000000000002</v>
      </c>
      <c r="K20" s="53">
        <f t="shared" si="3"/>
        <v>-0.15902754301410216</v>
      </c>
    </row>
    <row r="21" spans="2:11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2:11" x14ac:dyDescent="0.2">
      <c r="B22" s="34" t="s">
        <v>54</v>
      </c>
      <c r="C22" s="33"/>
      <c r="D22" s="33"/>
      <c r="E22" s="33"/>
      <c r="F22" s="33"/>
      <c r="G22" s="33"/>
      <c r="H22" s="33"/>
      <c r="I22" s="33"/>
      <c r="J22" s="33"/>
      <c r="K22" s="33"/>
    </row>
    <row r="23" spans="2:11" ht="25.5" x14ac:dyDescent="0.2">
      <c r="B23" s="57" t="s">
        <v>55</v>
      </c>
      <c r="C23" s="35" t="s">
        <v>56</v>
      </c>
      <c r="D23" s="61">
        <f>('SSML - Balance Sheet Elements'!C66*100000)/'SSML - Balance Sheet Elements'!C68</f>
        <v>45.34156971782425</v>
      </c>
      <c r="E23" s="61">
        <v>-59.47</v>
      </c>
      <c r="F23" s="61">
        <v>-0.87</v>
      </c>
      <c r="G23" s="61">
        <v>-5</v>
      </c>
      <c r="H23" s="61">
        <f>('SSML - Balance Sheet Elements'!D66*100000)/'SSML - Balance Sheet Elements'!D68</f>
        <v>1.1393195829834299</v>
      </c>
      <c r="I23" s="61">
        <v>-41.54</v>
      </c>
      <c r="J23" s="61">
        <v>-7.95</v>
      </c>
      <c r="K23" s="61">
        <v>-16.12</v>
      </c>
    </row>
    <row r="24" spans="2:11" x14ac:dyDescent="0.2">
      <c r="B24" s="18" t="s">
        <v>57</v>
      </c>
      <c r="C24" s="18" t="s">
        <v>58</v>
      </c>
      <c r="D24" s="54">
        <f>D23/'SSML - Balance Sheet Elements'!C70</f>
        <v>0.10800755054269712</v>
      </c>
      <c r="E24" s="54">
        <f>E23/'SSML - Balance Sheet Elements'!E70</f>
        <v>-6.9575899385785317E-2</v>
      </c>
      <c r="F24" s="54">
        <f>F23/'SSML - Balance Sheet Elements'!G70</f>
        <v>-2.8807947019867551E-3</v>
      </c>
      <c r="G24" s="54">
        <f t="shared" ref="G24" si="4">AVERAGE(D24:F24)</f>
        <v>1.1850285484975015E-2</v>
      </c>
      <c r="H24" s="54">
        <f>H23/'SSML - Balance Sheet Elements'!D70</f>
        <v>6.1187947528648229E-3</v>
      </c>
      <c r="I24" s="54">
        <f>I23/'SSML - Balance Sheet Elements'!F70</f>
        <v>-0.11484655792092895</v>
      </c>
      <c r="J24" s="54">
        <f>J23/'SSML - Balance Sheet Elements'!H70</f>
        <v>-3.9503105590062114E-2</v>
      </c>
      <c r="K24" s="54">
        <f t="shared" ref="K24" si="5">AVERAGE(H24:J24)</f>
        <v>-4.9410289586042079E-2</v>
      </c>
    </row>
  </sheetData>
  <mergeCells count="5">
    <mergeCell ref="D4:G4"/>
    <mergeCell ref="H4:K4"/>
    <mergeCell ref="B4:B5"/>
    <mergeCell ref="C4:C5"/>
    <mergeCell ref="B2:K2"/>
  </mergeCells>
  <pageMargins left="0.7" right="0.7" top="0.75" bottom="0.75" header="0.3" footer="0.3"/>
  <pageSetup paperSize="9" scale="8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589F-A416-6941-B4C8-59783CD41521}">
  <dimension ref="A1:D104"/>
  <sheetViews>
    <sheetView showGridLines="0" zoomScale="93" zoomScaleNormal="93" zoomScaleSheetLayoutView="100" workbookViewId="0">
      <selection activeCell="AA11" sqref="AA11"/>
    </sheetView>
  </sheetViews>
  <sheetFormatPr defaultColWidth="10.8515625" defaultRowHeight="14.25" x14ac:dyDescent="0.2"/>
  <cols>
    <col min="1" max="1" width="8.13671875" style="30" customWidth="1"/>
    <col min="2" max="2" width="41.30859375" style="30" customWidth="1"/>
    <col min="3" max="4" width="15.53515625" style="30" customWidth="1"/>
    <col min="5" max="16384" width="10.8515625" style="30"/>
  </cols>
  <sheetData>
    <row r="1" spans="1:4" ht="15" x14ac:dyDescent="0.2">
      <c r="A1" s="385" t="s">
        <v>651</v>
      </c>
      <c r="B1" s="385"/>
      <c r="C1" s="385"/>
      <c r="D1" s="385"/>
    </row>
    <row r="3" spans="1:4" ht="25.5" x14ac:dyDescent="0.2">
      <c r="A3" s="336" t="s">
        <v>652</v>
      </c>
      <c r="B3" s="338" t="s">
        <v>281</v>
      </c>
      <c r="C3" s="336" t="s">
        <v>653</v>
      </c>
      <c r="D3" s="336" t="s">
        <v>654</v>
      </c>
    </row>
    <row r="4" spans="1:4" x14ac:dyDescent="0.2">
      <c r="A4" s="337" t="s">
        <v>655</v>
      </c>
      <c r="B4" s="309" t="s">
        <v>210</v>
      </c>
      <c r="C4" s="315">
        <v>142867.48000000001</v>
      </c>
      <c r="D4" s="315">
        <v>128740.17</v>
      </c>
    </row>
    <row r="5" spans="1:4" x14ac:dyDescent="0.2">
      <c r="A5" s="337" t="s">
        <v>656</v>
      </c>
      <c r="B5" s="309" t="s">
        <v>362</v>
      </c>
      <c r="C5" s="315">
        <v>1070.45</v>
      </c>
      <c r="D5" s="309">
        <v>730.02</v>
      </c>
    </row>
    <row r="6" spans="1:4" x14ac:dyDescent="0.2">
      <c r="A6" s="337" t="s">
        <v>657</v>
      </c>
      <c r="B6" s="339" t="s">
        <v>658</v>
      </c>
      <c r="C6" s="315">
        <v>143937.93</v>
      </c>
      <c r="D6" s="315">
        <v>129470.19</v>
      </c>
    </row>
    <row r="7" spans="1:4" x14ac:dyDescent="0.2">
      <c r="A7" s="337" t="s">
        <v>659</v>
      </c>
      <c r="B7" s="309" t="s">
        <v>660</v>
      </c>
      <c r="C7" s="309"/>
      <c r="D7" s="309"/>
    </row>
    <row r="8" spans="1:4" x14ac:dyDescent="0.2">
      <c r="A8" s="309"/>
      <c r="B8" s="309" t="s">
        <v>92</v>
      </c>
      <c r="C8" s="315">
        <v>76877.399999999994</v>
      </c>
      <c r="D8" s="315">
        <v>48201.46</v>
      </c>
    </row>
    <row r="9" spans="1:4" x14ac:dyDescent="0.2">
      <c r="A9" s="309"/>
      <c r="B9" s="309" t="s">
        <v>661</v>
      </c>
      <c r="C9" s="309">
        <v>419.66</v>
      </c>
      <c r="D9" s="309">
        <v>640.45000000000005</v>
      </c>
    </row>
    <row r="10" spans="1:4" x14ac:dyDescent="0.2">
      <c r="A10" s="309"/>
      <c r="B10" s="309" t="s">
        <v>662</v>
      </c>
      <c r="C10" s="315">
        <v>18252.689999999999</v>
      </c>
      <c r="D10" s="315">
        <v>10027.9</v>
      </c>
    </row>
    <row r="11" spans="1:4" x14ac:dyDescent="0.2">
      <c r="A11" s="309"/>
      <c r="B11" s="309" t="s">
        <v>663</v>
      </c>
      <c r="C11" s="315">
        <v>6765.2</v>
      </c>
      <c r="D11" s="315">
        <v>5233.05</v>
      </c>
    </row>
    <row r="12" spans="1:4" x14ac:dyDescent="0.2">
      <c r="A12" s="309"/>
      <c r="B12" s="309" t="s">
        <v>664</v>
      </c>
      <c r="C12" s="315">
        <v>1870.46</v>
      </c>
      <c r="D12" s="315">
        <v>1342.91</v>
      </c>
    </row>
    <row r="13" spans="1:4" x14ac:dyDescent="0.2">
      <c r="A13" s="309"/>
      <c r="B13" s="309" t="s">
        <v>665</v>
      </c>
      <c r="C13" s="315">
        <v>1383.69</v>
      </c>
      <c r="D13" s="315">
        <v>1373.14</v>
      </c>
    </row>
    <row r="14" spans="1:4" x14ac:dyDescent="0.2">
      <c r="A14" s="309"/>
      <c r="B14" s="309" t="s">
        <v>372</v>
      </c>
      <c r="C14" s="315">
        <v>50348.3</v>
      </c>
      <c r="D14" s="315">
        <v>39047.47</v>
      </c>
    </row>
    <row r="15" spans="1:4" x14ac:dyDescent="0.2">
      <c r="A15" s="309"/>
      <c r="B15" s="339" t="s">
        <v>666</v>
      </c>
      <c r="C15" s="315">
        <v>119412.02</v>
      </c>
      <c r="D15" s="315">
        <v>105866.38</v>
      </c>
    </row>
    <row r="16" spans="1:4" x14ac:dyDescent="0.2">
      <c r="A16" s="337" t="s">
        <v>667</v>
      </c>
      <c r="B16" s="309" t="s">
        <v>668</v>
      </c>
      <c r="C16" s="315">
        <v>24525.91</v>
      </c>
      <c r="D16" s="315">
        <v>23603.81</v>
      </c>
    </row>
    <row r="17" spans="1:4" x14ac:dyDescent="0.2">
      <c r="A17" s="337" t="s">
        <v>669</v>
      </c>
      <c r="B17" s="309" t="s">
        <v>375</v>
      </c>
      <c r="C17" s="309"/>
      <c r="D17" s="309"/>
    </row>
    <row r="18" spans="1:4" x14ac:dyDescent="0.2">
      <c r="A18" s="337" t="s">
        <v>670</v>
      </c>
      <c r="B18" s="309" t="s">
        <v>671</v>
      </c>
      <c r="C18" s="315">
        <v>24525.91</v>
      </c>
      <c r="D18" s="315">
        <v>23603.81</v>
      </c>
    </row>
    <row r="19" spans="1:4" x14ac:dyDescent="0.2">
      <c r="A19" s="337" t="s">
        <v>672</v>
      </c>
      <c r="B19" s="309" t="s">
        <v>673</v>
      </c>
      <c r="C19" s="309"/>
      <c r="D19" s="309"/>
    </row>
    <row r="20" spans="1:4" x14ac:dyDescent="0.2">
      <c r="A20" s="309"/>
      <c r="B20" s="309" t="s">
        <v>674</v>
      </c>
      <c r="C20" s="315">
        <v>4448</v>
      </c>
      <c r="D20" s="315">
        <v>6127</v>
      </c>
    </row>
    <row r="21" spans="1:4" x14ac:dyDescent="0.2">
      <c r="A21" s="309"/>
      <c r="B21" s="309" t="s">
        <v>675</v>
      </c>
      <c r="C21" s="309">
        <v>268.95999999999998</v>
      </c>
      <c r="D21" s="309"/>
    </row>
    <row r="22" spans="1:4" x14ac:dyDescent="0.2">
      <c r="A22" s="309"/>
      <c r="B22" s="309" t="s">
        <v>676</v>
      </c>
      <c r="C22" s="315">
        <v>1270.8699999999999</v>
      </c>
      <c r="D22" s="309">
        <v>84.77</v>
      </c>
    </row>
    <row r="23" spans="1:4" x14ac:dyDescent="0.2">
      <c r="A23" s="337" t="s">
        <v>677</v>
      </c>
      <c r="B23" s="339" t="s">
        <v>678</v>
      </c>
      <c r="C23" s="315">
        <v>19076</v>
      </c>
      <c r="D23" s="315">
        <v>17392.04</v>
      </c>
    </row>
    <row r="24" spans="1:4" ht="19.149999999999999" customHeight="1" x14ac:dyDescent="0.2">
      <c r="A24" s="337" t="s">
        <v>679</v>
      </c>
      <c r="B24" s="309" t="s">
        <v>680</v>
      </c>
      <c r="C24" s="309"/>
      <c r="D24" s="309"/>
    </row>
    <row r="25" spans="1:4" ht="25.5" x14ac:dyDescent="0.2">
      <c r="A25" s="309"/>
      <c r="B25" s="340" t="s">
        <v>681</v>
      </c>
      <c r="C25" s="344">
        <v>25.15</v>
      </c>
      <c r="D25" s="344">
        <v>20.95</v>
      </c>
    </row>
    <row r="26" spans="1:4" ht="25.5" x14ac:dyDescent="0.2">
      <c r="A26" s="309"/>
      <c r="B26" s="341" t="s">
        <v>682</v>
      </c>
      <c r="C26" s="345">
        <v>-6.33</v>
      </c>
      <c r="D26" s="309">
        <v>3.66</v>
      </c>
    </row>
    <row r="27" spans="1:4" x14ac:dyDescent="0.2">
      <c r="A27" s="309"/>
      <c r="B27" s="309" t="s">
        <v>683</v>
      </c>
      <c r="C27" s="309"/>
      <c r="D27" s="309"/>
    </row>
    <row r="28" spans="1:4" ht="25.5" x14ac:dyDescent="0.2">
      <c r="A28" s="309"/>
      <c r="B28" s="341" t="s">
        <v>684</v>
      </c>
      <c r="C28" s="309"/>
      <c r="D28" s="309"/>
    </row>
    <row r="29" spans="1:4" x14ac:dyDescent="0.2">
      <c r="A29" s="337" t="s">
        <v>685</v>
      </c>
      <c r="B29" s="309" t="s">
        <v>686</v>
      </c>
      <c r="C29" s="309">
        <v>18.82</v>
      </c>
      <c r="D29" s="309">
        <v>17.29</v>
      </c>
    </row>
    <row r="30" spans="1:4" x14ac:dyDescent="0.2">
      <c r="A30" s="337" t="s">
        <v>687</v>
      </c>
      <c r="B30" s="339" t="s">
        <v>688</v>
      </c>
      <c r="C30" s="315">
        <v>19094.82</v>
      </c>
      <c r="D30" s="315">
        <v>17409.330000000002</v>
      </c>
    </row>
    <row r="31" spans="1:4" x14ac:dyDescent="0.2">
      <c r="A31" s="337" t="s">
        <v>689</v>
      </c>
      <c r="B31" s="309" t="s">
        <v>690</v>
      </c>
      <c r="C31" s="309"/>
      <c r="D31" s="309"/>
    </row>
    <row r="32" spans="1:4" x14ac:dyDescent="0.2">
      <c r="A32" s="309"/>
      <c r="B32" s="309" t="s">
        <v>691</v>
      </c>
      <c r="C32" s="309">
        <v>23.99</v>
      </c>
      <c r="D32" s="309">
        <v>21.87</v>
      </c>
    </row>
    <row r="33" spans="1:4" x14ac:dyDescent="0.2">
      <c r="A33" s="309"/>
      <c r="B33" s="309" t="s">
        <v>692</v>
      </c>
      <c r="C33" s="309">
        <v>23.99</v>
      </c>
      <c r="D33" s="309">
        <v>21.87</v>
      </c>
    </row>
    <row r="34" spans="1:4" x14ac:dyDescent="0.2">
      <c r="A34" s="309"/>
      <c r="B34" s="342" t="s">
        <v>693</v>
      </c>
      <c r="C34" s="309"/>
      <c r="D34" s="309"/>
    </row>
    <row r="35" spans="1:4" x14ac:dyDescent="0.2">
      <c r="A35" s="309"/>
      <c r="B35" s="342" t="s">
        <v>694</v>
      </c>
      <c r="C35" s="309"/>
      <c r="D35" s="309"/>
    </row>
    <row r="36" spans="1:4" x14ac:dyDescent="0.2">
      <c r="A36" s="309"/>
      <c r="B36" s="342" t="s">
        <v>695</v>
      </c>
      <c r="C36" s="309"/>
      <c r="D36" s="309"/>
    </row>
    <row r="37" spans="1:4" x14ac:dyDescent="0.2">
      <c r="A37" s="309"/>
      <c r="B37" s="309"/>
      <c r="C37" s="309"/>
      <c r="D37" s="309"/>
    </row>
    <row r="38" spans="1:4" x14ac:dyDescent="0.2">
      <c r="A38" s="309"/>
      <c r="B38" s="309"/>
      <c r="C38" s="309"/>
      <c r="D38" s="309"/>
    </row>
    <row r="39" spans="1:4" x14ac:dyDescent="0.2">
      <c r="A39" s="309"/>
      <c r="B39" s="342" t="s">
        <v>645</v>
      </c>
      <c r="C39" s="309"/>
      <c r="D39" s="309"/>
    </row>
    <row r="40" spans="1:4" x14ac:dyDescent="0.2">
      <c r="A40" s="309"/>
      <c r="B40" s="342" t="s">
        <v>470</v>
      </c>
      <c r="C40" s="315">
        <f>C4-C41</f>
        <v>47317.73000000001</v>
      </c>
      <c r="D40" s="315">
        <f>D4-D41</f>
        <v>69870.36</v>
      </c>
    </row>
    <row r="41" spans="1:4" x14ac:dyDescent="0.2">
      <c r="A41" s="309"/>
      <c r="B41" s="342" t="s">
        <v>95</v>
      </c>
      <c r="C41" s="315">
        <f>C8+C9+C10</f>
        <v>95549.75</v>
      </c>
      <c r="D41" s="315">
        <f>D8+D9+D10</f>
        <v>58869.81</v>
      </c>
    </row>
    <row r="42" spans="1:4" x14ac:dyDescent="0.2">
      <c r="A42" s="309"/>
      <c r="B42" s="342" t="s">
        <v>696</v>
      </c>
      <c r="C42" s="315">
        <f>C41+C13</f>
        <v>96933.440000000002</v>
      </c>
      <c r="D42" s="315">
        <f>D41+D13</f>
        <v>60242.95</v>
      </c>
    </row>
    <row r="43" spans="1:4" x14ac:dyDescent="0.2">
      <c r="A43" s="314"/>
      <c r="B43" s="343" t="s">
        <v>697</v>
      </c>
      <c r="C43" s="314">
        <f>(C42/C4)*100</f>
        <v>67.848498482649788</v>
      </c>
      <c r="D43" s="314">
        <f>(D42/D4)*100</f>
        <v>46.794213492183516</v>
      </c>
    </row>
    <row r="55" spans="1:4" x14ac:dyDescent="0.2">
      <c r="A55" s="334"/>
      <c r="B55" s="334"/>
      <c r="C55" s="334"/>
      <c r="D55" s="334"/>
    </row>
    <row r="56" spans="1:4" x14ac:dyDescent="0.2">
      <c r="A56" s="319"/>
      <c r="B56" s="320"/>
      <c r="C56" s="321"/>
      <c r="D56" s="334"/>
    </row>
    <row r="57" spans="1:4" x14ac:dyDescent="0.2">
      <c r="A57" s="319"/>
      <c r="B57" s="320"/>
      <c r="C57" s="321"/>
      <c r="D57" s="334"/>
    </row>
    <row r="58" spans="1:4" x14ac:dyDescent="0.2">
      <c r="A58" s="319"/>
      <c r="B58" s="320"/>
      <c r="C58" s="322"/>
      <c r="D58" s="334"/>
    </row>
    <row r="59" spans="1:4" x14ac:dyDescent="0.2">
      <c r="A59" s="319"/>
      <c r="B59" s="323"/>
      <c r="C59" s="323"/>
      <c r="D59" s="334"/>
    </row>
    <row r="60" spans="1:4" x14ac:dyDescent="0.2">
      <c r="A60" s="324"/>
      <c r="B60" s="325"/>
      <c r="C60" s="325"/>
      <c r="D60" s="334"/>
    </row>
    <row r="61" spans="1:4" x14ac:dyDescent="0.2">
      <c r="A61" s="326"/>
      <c r="B61" s="320"/>
      <c r="C61" s="320"/>
      <c r="D61" s="334"/>
    </row>
    <row r="62" spans="1:4" x14ac:dyDescent="0.2">
      <c r="A62" s="324"/>
      <c r="B62" s="322"/>
      <c r="C62" s="322"/>
      <c r="D62" s="334"/>
    </row>
    <row r="63" spans="1:4" x14ac:dyDescent="0.2">
      <c r="A63" s="324"/>
      <c r="B63" s="327"/>
      <c r="C63" s="327"/>
      <c r="D63" s="334"/>
    </row>
    <row r="64" spans="1:4" x14ac:dyDescent="0.2">
      <c r="A64" s="324"/>
      <c r="B64" s="322"/>
      <c r="C64" s="322"/>
      <c r="D64" s="334"/>
    </row>
    <row r="65" spans="1:4" x14ac:dyDescent="0.2">
      <c r="A65" s="324"/>
      <c r="B65" s="320"/>
      <c r="C65" s="320"/>
      <c r="D65" s="334"/>
    </row>
    <row r="66" spans="1:4" x14ac:dyDescent="0.2">
      <c r="A66" s="324"/>
      <c r="B66" s="320"/>
      <c r="C66" s="320"/>
      <c r="D66" s="334"/>
    </row>
    <row r="67" spans="1:4" x14ac:dyDescent="0.2">
      <c r="A67" s="319"/>
      <c r="B67" s="320"/>
      <c r="C67" s="320"/>
      <c r="D67" s="334"/>
    </row>
    <row r="68" spans="1:4" x14ac:dyDescent="0.2">
      <c r="A68" s="319"/>
      <c r="B68" s="320"/>
      <c r="C68" s="320"/>
      <c r="D68" s="334"/>
    </row>
    <row r="69" spans="1:4" x14ac:dyDescent="0.2">
      <c r="A69" s="319"/>
      <c r="B69" s="323"/>
      <c r="C69" s="323"/>
      <c r="D69" s="334"/>
    </row>
    <row r="70" spans="1:4" x14ac:dyDescent="0.2">
      <c r="A70" s="319"/>
      <c r="B70" s="323"/>
      <c r="C70" s="323"/>
      <c r="D70" s="334"/>
    </row>
    <row r="71" spans="1:4" x14ac:dyDescent="0.2">
      <c r="A71" s="319"/>
      <c r="B71" s="325"/>
      <c r="C71" s="325"/>
      <c r="D71" s="334"/>
    </row>
    <row r="72" spans="1:4" x14ac:dyDescent="0.2">
      <c r="A72" s="324"/>
      <c r="B72" s="323"/>
      <c r="C72" s="323"/>
      <c r="D72" s="334"/>
    </row>
    <row r="73" spans="1:4" x14ac:dyDescent="0.2">
      <c r="A73" s="324"/>
      <c r="B73" s="322"/>
      <c r="C73" s="322"/>
      <c r="D73" s="334"/>
    </row>
    <row r="74" spans="1:4" x14ac:dyDescent="0.2">
      <c r="A74" s="324"/>
      <c r="B74" s="320"/>
      <c r="C74" s="320"/>
      <c r="D74" s="334"/>
    </row>
    <row r="75" spans="1:4" x14ac:dyDescent="0.2">
      <c r="A75" s="319"/>
      <c r="B75" s="322"/>
      <c r="C75" s="322"/>
      <c r="D75" s="334"/>
    </row>
    <row r="76" spans="1:4" x14ac:dyDescent="0.2">
      <c r="A76" s="319"/>
      <c r="B76" s="320"/>
      <c r="C76" s="322"/>
      <c r="D76" s="334"/>
    </row>
    <row r="77" spans="1:4" x14ac:dyDescent="0.2">
      <c r="A77" s="328"/>
      <c r="B77" s="323"/>
      <c r="C77" s="323"/>
      <c r="D77" s="334"/>
    </row>
    <row r="78" spans="1:4" x14ac:dyDescent="0.2">
      <c r="A78" s="324"/>
      <c r="B78" s="325"/>
      <c r="C78" s="325"/>
      <c r="D78" s="334"/>
    </row>
    <row r="79" spans="1:4" x14ac:dyDescent="0.2">
      <c r="A79" s="329"/>
      <c r="B79" s="330"/>
      <c r="C79" s="330"/>
      <c r="D79" s="334"/>
    </row>
    <row r="80" spans="1:4" x14ac:dyDescent="0.2">
      <c r="A80" s="324"/>
      <c r="B80" s="322"/>
      <c r="C80" s="322"/>
      <c r="D80" s="334"/>
    </row>
    <row r="81" spans="1:4" x14ac:dyDescent="0.2">
      <c r="A81" s="324"/>
      <c r="B81" s="330"/>
      <c r="C81" s="330"/>
      <c r="D81" s="334"/>
    </row>
    <row r="82" spans="1:4" x14ac:dyDescent="0.2">
      <c r="A82" s="329"/>
      <c r="B82" s="322"/>
      <c r="C82" s="322"/>
      <c r="D82" s="334"/>
    </row>
    <row r="83" spans="1:4" x14ac:dyDescent="0.2">
      <c r="A83" s="324"/>
      <c r="B83" s="322"/>
      <c r="C83" s="322"/>
      <c r="D83" s="334"/>
    </row>
    <row r="84" spans="1:4" x14ac:dyDescent="0.2">
      <c r="A84" s="331"/>
      <c r="B84" s="330"/>
      <c r="C84" s="330"/>
      <c r="D84" s="334"/>
    </row>
    <row r="85" spans="1:4" x14ac:dyDescent="0.2">
      <c r="A85" s="319"/>
      <c r="B85" s="322"/>
      <c r="C85" s="322"/>
      <c r="D85" s="334"/>
    </row>
    <row r="86" spans="1:4" x14ac:dyDescent="0.2">
      <c r="A86" s="319"/>
      <c r="B86" s="332"/>
      <c r="C86" s="332"/>
      <c r="D86" s="334"/>
    </row>
    <row r="87" spans="1:4" x14ac:dyDescent="0.2">
      <c r="A87" s="319"/>
      <c r="B87" s="325"/>
      <c r="C87" s="325"/>
      <c r="D87" s="334"/>
    </row>
    <row r="88" spans="1:4" x14ac:dyDescent="0.2">
      <c r="A88" s="324"/>
      <c r="B88" s="323"/>
      <c r="C88" s="323"/>
      <c r="D88" s="334"/>
    </row>
    <row r="89" spans="1:4" x14ac:dyDescent="0.2">
      <c r="A89" s="324"/>
      <c r="B89" s="325"/>
      <c r="C89" s="325"/>
      <c r="D89" s="334"/>
    </row>
    <row r="90" spans="1:4" x14ac:dyDescent="0.2">
      <c r="A90" s="319"/>
      <c r="B90" s="322"/>
      <c r="C90" s="322"/>
      <c r="D90" s="334"/>
    </row>
    <row r="91" spans="1:4" x14ac:dyDescent="0.2">
      <c r="A91" s="333"/>
      <c r="B91" s="322"/>
      <c r="C91" s="322"/>
      <c r="D91" s="334"/>
    </row>
    <row r="92" spans="1:4" x14ac:dyDescent="0.2">
      <c r="A92" s="335"/>
      <c r="B92" s="322"/>
      <c r="C92" s="322"/>
      <c r="D92" s="334"/>
    </row>
    <row r="93" spans="1:4" x14ac:dyDescent="0.2">
      <c r="A93" s="335"/>
      <c r="B93" s="322"/>
      <c r="C93" s="322"/>
      <c r="D93" s="334"/>
    </row>
    <row r="94" spans="1:4" x14ac:dyDescent="0.2">
      <c r="A94" s="334"/>
      <c r="B94" s="334"/>
      <c r="C94" s="334"/>
      <c r="D94" s="334"/>
    </row>
    <row r="95" spans="1:4" x14ac:dyDescent="0.2">
      <c r="A95" s="334"/>
      <c r="B95" s="334"/>
      <c r="C95" s="334"/>
      <c r="D95" s="334"/>
    </row>
    <row r="96" spans="1:4" x14ac:dyDescent="0.2">
      <c r="A96" s="334"/>
      <c r="B96" s="334"/>
      <c r="C96" s="334"/>
      <c r="D96" s="334"/>
    </row>
    <row r="97" spans="1:4" x14ac:dyDescent="0.2">
      <c r="A97" s="334"/>
      <c r="B97" s="334"/>
      <c r="C97" s="334"/>
      <c r="D97" s="334"/>
    </row>
    <row r="98" spans="1:4" x14ac:dyDescent="0.2">
      <c r="A98" s="334"/>
      <c r="B98" s="334"/>
      <c r="C98" s="334"/>
      <c r="D98" s="334"/>
    </row>
    <row r="99" spans="1:4" x14ac:dyDescent="0.2">
      <c r="A99" s="334"/>
      <c r="B99" s="334"/>
      <c r="C99" s="334"/>
      <c r="D99" s="334"/>
    </row>
    <row r="100" spans="1:4" x14ac:dyDescent="0.2">
      <c r="A100" s="334"/>
      <c r="B100" s="334"/>
      <c r="C100" s="334"/>
      <c r="D100" s="334"/>
    </row>
    <row r="101" spans="1:4" x14ac:dyDescent="0.2">
      <c r="A101" s="334"/>
      <c r="B101" s="334"/>
      <c r="C101" s="334"/>
      <c r="D101" s="334"/>
    </row>
    <row r="102" spans="1:4" x14ac:dyDescent="0.2">
      <c r="A102" s="334"/>
      <c r="B102" s="334"/>
      <c r="C102" s="334"/>
      <c r="D102" s="334"/>
    </row>
    <row r="103" spans="1:4" x14ac:dyDescent="0.2">
      <c r="A103" s="334"/>
      <c r="B103" s="334"/>
      <c r="C103" s="334"/>
      <c r="D103" s="334"/>
    </row>
    <row r="104" spans="1:4" x14ac:dyDescent="0.2">
      <c r="A104" s="334"/>
      <c r="B104" s="334"/>
      <c r="C104" s="334"/>
      <c r="D104" s="334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03C6-907B-CA49-BBD2-9C8F5EA4985A}">
  <dimension ref="A1:D26"/>
  <sheetViews>
    <sheetView showGridLines="0" zoomScale="80" zoomScaleNormal="80" zoomScaleSheetLayoutView="100" workbookViewId="0">
      <selection sqref="A1:D1"/>
    </sheetView>
  </sheetViews>
  <sheetFormatPr defaultColWidth="10.8515625" defaultRowHeight="15" x14ac:dyDescent="0.2"/>
  <cols>
    <col min="1" max="1" width="27.25" customWidth="1"/>
    <col min="2" max="2" width="31.3203125" customWidth="1"/>
    <col min="3" max="4" width="11.8359375" customWidth="1"/>
  </cols>
  <sheetData>
    <row r="1" spans="1:4" x14ac:dyDescent="0.2">
      <c r="A1" s="385" t="s">
        <v>698</v>
      </c>
      <c r="B1" s="385"/>
      <c r="C1" s="385"/>
      <c r="D1" s="385"/>
    </row>
    <row r="3" spans="1:4" x14ac:dyDescent="0.2">
      <c r="A3" s="346" t="s">
        <v>699</v>
      </c>
      <c r="B3" s="346" t="s">
        <v>291</v>
      </c>
      <c r="C3" s="353" t="s">
        <v>700</v>
      </c>
      <c r="D3" s="353" t="s">
        <v>701</v>
      </c>
    </row>
    <row r="4" spans="1:4" x14ac:dyDescent="0.2">
      <c r="A4" s="347" t="s">
        <v>702</v>
      </c>
      <c r="B4" s="348"/>
      <c r="C4" s="348"/>
      <c r="D4" s="348"/>
    </row>
    <row r="5" spans="1:4" x14ac:dyDescent="0.2">
      <c r="A5" s="309" t="s">
        <v>35</v>
      </c>
      <c r="B5" s="309" t="s">
        <v>703</v>
      </c>
      <c r="C5" s="349">
        <f>'[1]Standalone Balance Sheet'!B28/'[1]Standalone Balance Sheet'!B56</f>
        <v>2.0170827801304974</v>
      </c>
      <c r="D5" s="349">
        <f>'[1]Standalone Balance Sheet'!C28/'[1]Standalone Balance Sheet'!C56</f>
        <v>2.3171659223181917</v>
      </c>
    </row>
    <row r="6" spans="1:4" x14ac:dyDescent="0.2">
      <c r="A6" s="309" t="s">
        <v>565</v>
      </c>
      <c r="B6" s="309" t="s">
        <v>704</v>
      </c>
      <c r="C6" s="349">
        <f>('[1]Standalone Balance Sheet'!B28-'[1]Standalone Balance Sheet'!B20)/'[1]Standalone Balance Sheet'!B56</f>
        <v>1.1227658166631795</v>
      </c>
      <c r="D6" s="349">
        <f>('[1]Standalone Balance Sheet'!C28-'[1]Standalone Balance Sheet'!C20)/'[1]Standalone Balance Sheet'!C56</f>
        <v>1.3361739170971119</v>
      </c>
    </row>
    <row r="7" spans="1:4" x14ac:dyDescent="0.2">
      <c r="A7" s="309"/>
      <c r="B7" s="309"/>
      <c r="C7" s="349"/>
      <c r="D7" s="349"/>
    </row>
    <row r="8" spans="1:4" x14ac:dyDescent="0.2">
      <c r="A8" s="347" t="s">
        <v>705</v>
      </c>
      <c r="B8" s="347"/>
      <c r="C8" s="350"/>
      <c r="D8" s="350"/>
    </row>
    <row r="9" spans="1:4" x14ac:dyDescent="0.2">
      <c r="A9" s="309" t="s">
        <v>469</v>
      </c>
      <c r="B9" s="309" t="s">
        <v>706</v>
      </c>
      <c r="C9" s="349">
        <f>'[1]Standalone Balance Sheet'!B60/'[1]Standalone Balance Sheet'!B61</f>
        <v>0.42144817787055322</v>
      </c>
      <c r="D9" s="349">
        <f>'[1]Standalone Balance Sheet'!C60/'[1]Standalone Balance Sheet'!C61</f>
        <v>0.18395673788522915</v>
      </c>
    </row>
    <row r="10" spans="1:4" x14ac:dyDescent="0.2">
      <c r="A10" s="309" t="s">
        <v>42</v>
      </c>
      <c r="B10" s="309" t="s">
        <v>707</v>
      </c>
      <c r="C10" s="349">
        <f>'[1]Standalone Balance Sheet'!B61/'[1]Standalone Balance Sheet'!B29</f>
        <v>0.55952165175706758</v>
      </c>
      <c r="D10" s="349">
        <f>'[1]Standalone Balance Sheet'!C61/'[1]Standalone Balance Sheet'!C29</f>
        <v>0.76306407054334635</v>
      </c>
    </row>
    <row r="11" spans="1:4" x14ac:dyDescent="0.2">
      <c r="A11" s="309"/>
      <c r="B11" s="309"/>
      <c r="C11" s="349"/>
      <c r="D11" s="349"/>
    </row>
    <row r="12" spans="1:4" x14ac:dyDescent="0.2">
      <c r="A12" s="347" t="s">
        <v>708</v>
      </c>
      <c r="B12" s="347"/>
      <c r="C12" s="350"/>
      <c r="D12" s="350"/>
    </row>
    <row r="13" spans="1:4" x14ac:dyDescent="0.2">
      <c r="A13" s="309" t="s">
        <v>709</v>
      </c>
      <c r="B13" s="309" t="s">
        <v>710</v>
      </c>
      <c r="C13" s="349">
        <f>('[1]Standalone Profit and Loss'!C42/'[1]Standalone Profit and Loss'!C4)*100</f>
        <v>67.848498482649788</v>
      </c>
      <c r="D13" s="349">
        <f>('[1]Standalone Profit and Loss'!D42/'[1]Standalone Profit and Loss'!D4)*100</f>
        <v>46.794213492183516</v>
      </c>
    </row>
    <row r="14" spans="1:4" x14ac:dyDescent="0.2">
      <c r="A14" s="309" t="s">
        <v>471</v>
      </c>
      <c r="B14" s="309" t="s">
        <v>312</v>
      </c>
      <c r="C14" s="349">
        <f>('[1]Standalone Profit and Loss'!C40/'[1]Standalone Profit and Loss'!C4)*100</f>
        <v>33.120014435755436</v>
      </c>
      <c r="D14" s="349">
        <f>('[1]Standalone Profit and Loss'!D40/'[1]Standalone Profit and Loss'!D4)*100</f>
        <v>54.272384446905733</v>
      </c>
    </row>
    <row r="15" spans="1:4" x14ac:dyDescent="0.2">
      <c r="A15" s="309" t="s">
        <v>238</v>
      </c>
      <c r="B15" s="309" t="s">
        <v>711</v>
      </c>
      <c r="C15" s="349">
        <f>('[1]Standalone Profit and Loss'!C23/'[1]Standalone Profit and Loss'!C4)*100</f>
        <v>13.352233832359889</v>
      </c>
      <c r="D15" s="349">
        <f>('[1]Standalone Profit and Loss'!D23/'[1]Standalone Profit and Loss'!D4)*100</f>
        <v>13.509412019573999</v>
      </c>
    </row>
    <row r="16" spans="1:4" x14ac:dyDescent="0.2">
      <c r="A16" s="309" t="s">
        <v>473</v>
      </c>
      <c r="B16" s="309" t="s">
        <v>315</v>
      </c>
      <c r="C16" s="349">
        <f>('[1]Standalone Profit and Loss'!C23/'[1]Standalone Balance Sheet'!B29)*100</f>
        <v>12.161698567748966</v>
      </c>
      <c r="D16" s="349">
        <f>('[1]Standalone Profit and Loss'!D23/'[1]Standalone Balance Sheet'!C29)*100</f>
        <v>15.121732623828462</v>
      </c>
    </row>
    <row r="17" spans="1:4" x14ac:dyDescent="0.2">
      <c r="A17" s="309" t="s">
        <v>712</v>
      </c>
      <c r="B17" s="311" t="s">
        <v>713</v>
      </c>
      <c r="C17" s="351">
        <f>('[1]Standalone Profit and Loss'!C30/'[1]Standalone Balance Sheet'!B62)*100</f>
        <v>14.862232923857247</v>
      </c>
      <c r="D17" s="351">
        <f>('[1]Standalone Profit and Loss'!D30/'[1]Standalone Balance Sheet'!C62)*100</f>
        <v>19.113369037148669</v>
      </c>
    </row>
    <row r="18" spans="1:4" x14ac:dyDescent="0.2">
      <c r="A18" s="309"/>
      <c r="B18" s="309"/>
      <c r="C18" s="349"/>
      <c r="D18" s="349"/>
    </row>
    <row r="19" spans="1:4" x14ac:dyDescent="0.2">
      <c r="A19" s="347" t="s">
        <v>714</v>
      </c>
      <c r="B19" s="347"/>
      <c r="C19" s="350"/>
      <c r="D19" s="350"/>
    </row>
    <row r="20" spans="1:4" x14ac:dyDescent="0.2">
      <c r="A20" s="309" t="s">
        <v>45</v>
      </c>
      <c r="B20" s="309" t="s">
        <v>715</v>
      </c>
      <c r="C20" s="349">
        <f>'[1]Standalone Profit and Loss'!C4/'[1]Standalone Balance Sheet'!B63</f>
        <v>2.4651148264769773</v>
      </c>
      <c r="D20" s="349">
        <f>'[1]Standalone Profit and Loss'!D4/'[1]Standalone Balance Sheet'!C63</f>
        <v>3.3248581500755412</v>
      </c>
    </row>
    <row r="21" spans="1:4" x14ac:dyDescent="0.2">
      <c r="A21" s="309" t="s">
        <v>716</v>
      </c>
      <c r="B21" s="309" t="s">
        <v>717</v>
      </c>
      <c r="C21" s="349">
        <f>'[1]Standalone Profit and Loss'!C4/'[1]Standalone Balance Sheet'!B64</f>
        <v>2.6374116247532289</v>
      </c>
      <c r="D21" s="349">
        <f>'[1]Standalone Profit and Loss'!D4/'[1]Standalone Balance Sheet'!C64</f>
        <v>3.5622004929078437</v>
      </c>
    </row>
    <row r="22" spans="1:4" x14ac:dyDescent="0.2">
      <c r="A22" s="309"/>
      <c r="B22" s="309"/>
      <c r="C22" s="349"/>
      <c r="D22" s="349"/>
    </row>
    <row r="23" spans="1:4" x14ac:dyDescent="0.2">
      <c r="A23" s="347" t="s">
        <v>718</v>
      </c>
      <c r="B23" s="347"/>
      <c r="C23" s="350"/>
      <c r="D23" s="350"/>
    </row>
    <row r="24" spans="1:4" x14ac:dyDescent="0.2">
      <c r="A24" s="309" t="s">
        <v>719</v>
      </c>
      <c r="B24" s="309" t="s">
        <v>720</v>
      </c>
      <c r="C24" s="349">
        <f>'[1]Standalone Profit and Loss'!C30/'[1]Standalone Profit and Loss'!C6</f>
        <v>0.13266009869670906</v>
      </c>
      <c r="D24" s="349">
        <f>'[1]Standalone Profit and Loss'!D30/'[1]Standalone Profit and Loss'!D6</f>
        <v>0.13446593381843344</v>
      </c>
    </row>
    <row r="25" spans="1:4" x14ac:dyDescent="0.2">
      <c r="A25" s="309" t="s">
        <v>721</v>
      </c>
      <c r="B25" s="309" t="s">
        <v>722</v>
      </c>
      <c r="C25" s="349">
        <f>'[1]Standalone Profit and Loss'!C4/'[1]Standalone Balance Sheet'!B29</f>
        <v>0.91083624810961639</v>
      </c>
      <c r="D25" s="349">
        <f>'[1]Standalone Profit and Loss'!D4/'[1]Standalone Balance Sheet'!C29</f>
        <v>1.1193479480763742</v>
      </c>
    </row>
    <row r="26" spans="1:4" x14ac:dyDescent="0.2">
      <c r="A26" s="314" t="s">
        <v>568</v>
      </c>
      <c r="B26" s="314" t="s">
        <v>723</v>
      </c>
      <c r="C26" s="352">
        <f>'[1]Standalone Balance Sheet'!B29/'[1]Standalone Balance Sheet'!B35</f>
        <v>1.7872409349302156</v>
      </c>
      <c r="D26" s="352">
        <f>'[1]Standalone Balance Sheet'!C29/'[1]Standalone Balance Sheet'!C35</f>
        <v>1.58324616180275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D27A-0EA9-B746-B36D-0B66A1336926}">
  <dimension ref="A1:D35"/>
  <sheetViews>
    <sheetView showGridLines="0" zoomScaleNormal="100" zoomScaleSheetLayoutView="100" workbookViewId="0">
      <selection activeCell="AA11" sqref="AA11"/>
    </sheetView>
  </sheetViews>
  <sheetFormatPr defaultColWidth="10.8515625" defaultRowHeight="15" x14ac:dyDescent="0.2"/>
  <cols>
    <col min="1" max="1" width="53.26953125" customWidth="1"/>
    <col min="2" max="3" width="14.30078125" customWidth="1"/>
  </cols>
  <sheetData>
    <row r="1" spans="1:4" x14ac:dyDescent="0.2">
      <c r="A1" s="385" t="s">
        <v>520</v>
      </c>
      <c r="B1" s="385"/>
      <c r="C1" s="385"/>
      <c r="D1" s="56"/>
    </row>
    <row r="2" spans="1:4" x14ac:dyDescent="0.2">
      <c r="A2" s="385" t="s">
        <v>521</v>
      </c>
      <c r="B2" s="385"/>
      <c r="C2" s="385"/>
    </row>
    <row r="4" spans="1:4" ht="31.9" customHeight="1" x14ac:dyDescent="0.2">
      <c r="B4" s="516" t="s">
        <v>590</v>
      </c>
      <c r="C4" s="516"/>
    </row>
    <row r="5" spans="1:4" x14ac:dyDescent="0.2">
      <c r="A5" s="285" t="s">
        <v>494</v>
      </c>
      <c r="B5" s="285" t="s">
        <v>569</v>
      </c>
      <c r="C5" s="286" t="s">
        <v>591</v>
      </c>
    </row>
    <row r="6" spans="1:4" x14ac:dyDescent="0.2">
      <c r="A6" s="287"/>
      <c r="B6" s="288">
        <v>44651</v>
      </c>
      <c r="C6" s="288">
        <v>44286</v>
      </c>
    </row>
    <row r="7" spans="1:4" x14ac:dyDescent="0.2">
      <c r="A7" s="289" t="s">
        <v>495</v>
      </c>
      <c r="B7" s="290"/>
      <c r="C7" s="290"/>
    </row>
    <row r="8" spans="1:4" x14ac:dyDescent="0.2">
      <c r="A8" s="287" t="s">
        <v>496</v>
      </c>
      <c r="B8" s="291">
        <v>38864.65</v>
      </c>
      <c r="C8" s="291">
        <v>28329.62</v>
      </c>
    </row>
    <row r="9" spans="1:4" x14ac:dyDescent="0.2">
      <c r="A9" s="287" t="s">
        <v>211</v>
      </c>
      <c r="B9" s="291">
        <v>209.77</v>
      </c>
      <c r="C9" s="291">
        <v>194.72</v>
      </c>
    </row>
    <row r="10" spans="1:4" x14ac:dyDescent="0.2">
      <c r="A10" s="287"/>
      <c r="B10" s="292">
        <v>39074.42</v>
      </c>
      <c r="C10" s="292">
        <v>28524.34</v>
      </c>
    </row>
    <row r="11" spans="1:4" x14ac:dyDescent="0.2">
      <c r="A11" s="289" t="s">
        <v>497</v>
      </c>
      <c r="B11" s="291"/>
      <c r="C11" s="291"/>
    </row>
    <row r="12" spans="1:4" x14ac:dyDescent="0.2">
      <c r="A12" s="287" t="s">
        <v>498</v>
      </c>
      <c r="B12" s="291">
        <v>10080.6</v>
      </c>
      <c r="C12" s="291">
        <v>5849.01</v>
      </c>
    </row>
    <row r="13" spans="1:4" x14ac:dyDescent="0.2">
      <c r="A13" s="287" t="s">
        <v>499</v>
      </c>
      <c r="B13" s="291">
        <v>8836.09</v>
      </c>
      <c r="C13" s="291">
        <v>4823.95</v>
      </c>
    </row>
    <row r="14" spans="1:4" x14ac:dyDescent="0.2">
      <c r="A14" s="287" t="s">
        <v>500</v>
      </c>
      <c r="B14" s="291">
        <v>-1827.01</v>
      </c>
      <c r="C14" s="291">
        <v>1966.36</v>
      </c>
    </row>
    <row r="15" spans="1:4" x14ac:dyDescent="0.2">
      <c r="A15" s="287" t="s">
        <v>501</v>
      </c>
      <c r="B15" s="291">
        <v>7201</v>
      </c>
      <c r="C15" s="291">
        <v>5637.52</v>
      </c>
    </row>
    <row r="16" spans="1:4" x14ac:dyDescent="0.2">
      <c r="A16" s="287" t="s">
        <v>502</v>
      </c>
      <c r="B16" s="291">
        <v>654.73</v>
      </c>
      <c r="C16" s="291">
        <v>629.12</v>
      </c>
    </row>
    <row r="17" spans="1:3" x14ac:dyDescent="0.2">
      <c r="A17" s="287" t="s">
        <v>503</v>
      </c>
      <c r="B17" s="291">
        <v>321.95999999999998</v>
      </c>
      <c r="C17" s="291">
        <v>297.39999999999998</v>
      </c>
    </row>
    <row r="18" spans="1:3" x14ac:dyDescent="0.2">
      <c r="A18" s="287" t="s">
        <v>504</v>
      </c>
      <c r="B18" s="291">
        <v>6719.32</v>
      </c>
      <c r="C18" s="291">
        <v>4786.76</v>
      </c>
    </row>
    <row r="19" spans="1:3" x14ac:dyDescent="0.2">
      <c r="A19" s="287"/>
      <c r="B19" s="292">
        <v>31986.7</v>
      </c>
      <c r="C19" s="292">
        <v>23990.12</v>
      </c>
    </row>
    <row r="20" spans="1:3" x14ac:dyDescent="0.2">
      <c r="A20" s="289" t="s">
        <v>505</v>
      </c>
      <c r="B20" s="292">
        <v>7087.72</v>
      </c>
      <c r="C20" s="292">
        <v>4534.22</v>
      </c>
    </row>
    <row r="21" spans="1:3" x14ac:dyDescent="0.2">
      <c r="A21" s="289" t="s">
        <v>506</v>
      </c>
      <c r="B21" s="291"/>
      <c r="C21" s="291"/>
    </row>
    <row r="22" spans="1:3" x14ac:dyDescent="0.2">
      <c r="A22" s="287" t="s">
        <v>507</v>
      </c>
      <c r="B22" s="291">
        <v>1736</v>
      </c>
      <c r="C22" s="291">
        <v>1187</v>
      </c>
    </row>
    <row r="23" spans="1:3" x14ac:dyDescent="0.2">
      <c r="A23" s="287" t="s">
        <v>508</v>
      </c>
      <c r="B23" s="291">
        <v>-20.170000000000002</v>
      </c>
      <c r="C23" s="291">
        <v>-35.39</v>
      </c>
    </row>
    <row r="24" spans="1:3" x14ac:dyDescent="0.2">
      <c r="A24" s="287" t="s">
        <v>509</v>
      </c>
      <c r="B24" s="291">
        <v>6.58</v>
      </c>
      <c r="C24" s="291">
        <v>-23.2</v>
      </c>
    </row>
    <row r="25" spans="1:3" x14ac:dyDescent="0.2">
      <c r="A25" s="287"/>
      <c r="B25" s="292">
        <v>1722.41</v>
      </c>
      <c r="C25" s="292">
        <v>1128.4100000000001</v>
      </c>
    </row>
    <row r="26" spans="1:3" x14ac:dyDescent="0.2">
      <c r="A26" s="289" t="s">
        <v>510</v>
      </c>
      <c r="B26" s="292">
        <v>5365.31</v>
      </c>
      <c r="C26" s="292">
        <v>3405.81</v>
      </c>
    </row>
    <row r="27" spans="1:3" x14ac:dyDescent="0.2">
      <c r="A27" s="289" t="s">
        <v>511</v>
      </c>
      <c r="B27" s="291"/>
      <c r="C27" s="291"/>
    </row>
    <row r="28" spans="1:3" ht="27.75" x14ac:dyDescent="0.2">
      <c r="A28" s="354" t="s">
        <v>512</v>
      </c>
      <c r="B28" s="291"/>
      <c r="C28" s="291"/>
    </row>
    <row r="29" spans="1:3" x14ac:dyDescent="0.2">
      <c r="A29" s="287" t="s">
        <v>513</v>
      </c>
      <c r="B29" s="291">
        <v>24.4</v>
      </c>
      <c r="C29" s="291">
        <v>43.71</v>
      </c>
    </row>
    <row r="30" spans="1:3" x14ac:dyDescent="0.2">
      <c r="A30" s="287" t="s">
        <v>514</v>
      </c>
      <c r="B30" s="291">
        <v>-6.14</v>
      </c>
      <c r="C30" s="291">
        <v>-11</v>
      </c>
    </row>
    <row r="31" spans="1:3" x14ac:dyDescent="0.2">
      <c r="A31" s="289" t="s">
        <v>515</v>
      </c>
      <c r="B31" s="292">
        <v>18.260000000000002</v>
      </c>
      <c r="C31" s="292">
        <v>32.71</v>
      </c>
    </row>
    <row r="32" spans="1:3" x14ac:dyDescent="0.2">
      <c r="A32" s="289" t="s">
        <v>516</v>
      </c>
      <c r="B32" s="292">
        <v>5383.57</v>
      </c>
      <c r="C32" s="292">
        <v>3438.52</v>
      </c>
    </row>
    <row r="33" spans="1:3" x14ac:dyDescent="0.2">
      <c r="A33" s="289" t="s">
        <v>517</v>
      </c>
      <c r="B33" s="293"/>
      <c r="C33" s="293"/>
    </row>
    <row r="34" spans="1:3" x14ac:dyDescent="0.2">
      <c r="A34" s="287" t="s">
        <v>518</v>
      </c>
      <c r="B34" s="293">
        <v>481.03</v>
      </c>
      <c r="C34" s="293">
        <v>305.35000000000002</v>
      </c>
    </row>
    <row r="35" spans="1:3" x14ac:dyDescent="0.2">
      <c r="A35" s="287" t="s">
        <v>519</v>
      </c>
      <c r="B35" s="293">
        <v>481.03</v>
      </c>
      <c r="C35" s="293">
        <v>305.35000000000002</v>
      </c>
    </row>
  </sheetData>
  <mergeCells count="3">
    <mergeCell ref="A1:C1"/>
    <mergeCell ref="A2:C2"/>
    <mergeCell ref="B4:C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FF32-54BB-2A41-AE6B-FC706F9EF1FC}">
  <dimension ref="A1:C49"/>
  <sheetViews>
    <sheetView showGridLines="0" zoomScaleNormal="100" zoomScaleSheetLayoutView="100" workbookViewId="0">
      <selection activeCell="AA11" sqref="AA11"/>
    </sheetView>
  </sheetViews>
  <sheetFormatPr defaultColWidth="11.21875" defaultRowHeight="15" x14ac:dyDescent="0.2"/>
  <cols>
    <col min="1" max="1" width="53.0234375" customWidth="1"/>
    <col min="2" max="3" width="14.671875" customWidth="1"/>
  </cols>
  <sheetData>
    <row r="1" spans="1:3" x14ac:dyDescent="0.2">
      <c r="A1" s="385" t="s">
        <v>521</v>
      </c>
      <c r="B1" s="385"/>
      <c r="C1" s="385"/>
    </row>
    <row r="2" spans="1:3" x14ac:dyDescent="0.2">
      <c r="A2" s="272" t="s">
        <v>522</v>
      </c>
      <c r="B2" s="284" t="s">
        <v>523</v>
      </c>
      <c r="C2" s="284" t="s">
        <v>524</v>
      </c>
    </row>
    <row r="3" spans="1:3" x14ac:dyDescent="0.2">
      <c r="A3" s="273" t="s">
        <v>413</v>
      </c>
      <c r="B3" s="274"/>
      <c r="C3" s="274"/>
    </row>
    <row r="4" spans="1:3" x14ac:dyDescent="0.2">
      <c r="A4" s="273" t="s">
        <v>414</v>
      </c>
      <c r="B4" s="274"/>
      <c r="C4" s="274"/>
    </row>
    <row r="5" spans="1:3" x14ac:dyDescent="0.2">
      <c r="A5" s="274" t="s">
        <v>525</v>
      </c>
      <c r="B5" s="275">
        <v>3093.99</v>
      </c>
      <c r="C5" s="275">
        <v>2863.41</v>
      </c>
    </row>
    <row r="6" spans="1:3" x14ac:dyDescent="0.2">
      <c r="A6" s="274" t="s">
        <v>526</v>
      </c>
      <c r="B6" s="275">
        <v>652.55999999999995</v>
      </c>
      <c r="C6" s="275">
        <v>278.51</v>
      </c>
    </row>
    <row r="7" spans="1:3" x14ac:dyDescent="0.2">
      <c r="A7" s="274" t="s">
        <v>527</v>
      </c>
      <c r="B7" s="275">
        <v>19.72</v>
      </c>
      <c r="C7" s="275">
        <v>23.16</v>
      </c>
    </row>
    <row r="8" spans="1:3" x14ac:dyDescent="0.2">
      <c r="A8" s="274" t="s">
        <v>528</v>
      </c>
      <c r="B8" s="275">
        <v>910.41</v>
      </c>
      <c r="C8" s="275">
        <v>976.35</v>
      </c>
    </row>
    <row r="9" spans="1:3" x14ac:dyDescent="0.2">
      <c r="A9" s="274" t="s">
        <v>529</v>
      </c>
      <c r="B9" s="275"/>
      <c r="C9" s="275"/>
    </row>
    <row r="10" spans="1:3" x14ac:dyDescent="0.2">
      <c r="A10" s="274" t="s">
        <v>530</v>
      </c>
      <c r="B10" s="275">
        <v>221.2</v>
      </c>
      <c r="C10" s="275">
        <v>213</v>
      </c>
    </row>
    <row r="11" spans="1:3" x14ac:dyDescent="0.2">
      <c r="A11" s="274" t="s">
        <v>531</v>
      </c>
      <c r="B11" s="275">
        <v>36.36</v>
      </c>
      <c r="C11" s="275">
        <v>22.33</v>
      </c>
    </row>
    <row r="12" spans="1:3" x14ac:dyDescent="0.2">
      <c r="A12" s="274" t="s">
        <v>532</v>
      </c>
      <c r="B12" s="275">
        <v>280.81</v>
      </c>
      <c r="C12" s="275">
        <v>289.91000000000003</v>
      </c>
    </row>
    <row r="13" spans="1:3" x14ac:dyDescent="0.2">
      <c r="A13" s="274" t="s">
        <v>533</v>
      </c>
      <c r="B13" s="275">
        <v>173.63</v>
      </c>
      <c r="C13" s="275">
        <v>81.2</v>
      </c>
    </row>
    <row r="14" spans="1:3" x14ac:dyDescent="0.2">
      <c r="A14" s="274"/>
      <c r="B14" s="276">
        <v>5388.68</v>
      </c>
      <c r="C14" s="276">
        <v>4747.87</v>
      </c>
    </row>
    <row r="15" spans="1:3" x14ac:dyDescent="0.2">
      <c r="A15" s="273" t="s">
        <v>429</v>
      </c>
      <c r="B15" s="275"/>
      <c r="C15" s="275"/>
    </row>
    <row r="16" spans="1:3" x14ac:dyDescent="0.2">
      <c r="A16" s="274" t="s">
        <v>62</v>
      </c>
      <c r="B16" s="275">
        <v>9748.73</v>
      </c>
      <c r="C16" s="275">
        <v>5549.34</v>
      </c>
    </row>
    <row r="17" spans="1:3" x14ac:dyDescent="0.2">
      <c r="A17" s="274" t="s">
        <v>529</v>
      </c>
      <c r="B17" s="275"/>
      <c r="C17" s="275"/>
    </row>
    <row r="18" spans="1:3" x14ac:dyDescent="0.2">
      <c r="A18" s="274" t="s">
        <v>534</v>
      </c>
      <c r="B18" s="275">
        <v>1650.79</v>
      </c>
      <c r="C18" s="275">
        <v>1371.18</v>
      </c>
    </row>
    <row r="19" spans="1:3" x14ac:dyDescent="0.2">
      <c r="A19" s="274" t="s">
        <v>535</v>
      </c>
      <c r="B19" s="275">
        <v>889.68</v>
      </c>
      <c r="C19" s="275">
        <v>396.89</v>
      </c>
    </row>
    <row r="20" spans="1:3" x14ac:dyDescent="0.2">
      <c r="A20" s="274" t="s">
        <v>536</v>
      </c>
      <c r="B20" s="275">
        <v>1944.97</v>
      </c>
      <c r="C20" s="275">
        <v>3953.08</v>
      </c>
    </row>
    <row r="21" spans="1:3" x14ac:dyDescent="0.2">
      <c r="A21" s="274" t="s">
        <v>530</v>
      </c>
      <c r="B21" s="275">
        <v>57.88</v>
      </c>
      <c r="C21" s="275">
        <v>69.83</v>
      </c>
    </row>
    <row r="22" spans="1:3" x14ac:dyDescent="0.2">
      <c r="A22" s="274" t="s">
        <v>537</v>
      </c>
      <c r="B22" s="275"/>
      <c r="C22" s="275"/>
    </row>
    <row r="23" spans="1:3" x14ac:dyDescent="0.2">
      <c r="A23" s="274"/>
      <c r="B23" s="276">
        <v>15680.78</v>
      </c>
      <c r="C23" s="276">
        <v>12250.76</v>
      </c>
    </row>
    <row r="24" spans="1:3" x14ac:dyDescent="0.2">
      <c r="A24" s="277" t="s">
        <v>538</v>
      </c>
      <c r="B24" s="278">
        <v>21069.46</v>
      </c>
      <c r="C24" s="278">
        <v>16998.63</v>
      </c>
    </row>
    <row r="25" spans="1:3" x14ac:dyDescent="0.2">
      <c r="A25" s="274"/>
      <c r="B25" s="275"/>
      <c r="C25" s="275"/>
    </row>
    <row r="26" spans="1:3" x14ac:dyDescent="0.2">
      <c r="A26" s="273" t="s">
        <v>332</v>
      </c>
      <c r="B26" s="275"/>
      <c r="C26" s="275"/>
    </row>
    <row r="27" spans="1:3" x14ac:dyDescent="0.2">
      <c r="A27" s="273" t="s">
        <v>539</v>
      </c>
      <c r="B27" s="275"/>
      <c r="C27" s="275"/>
    </row>
    <row r="28" spans="1:3" x14ac:dyDescent="0.2">
      <c r="A28" s="274" t="s">
        <v>540</v>
      </c>
      <c r="B28" s="275">
        <v>111.54</v>
      </c>
      <c r="C28" s="275">
        <v>111.54</v>
      </c>
    </row>
    <row r="29" spans="1:3" x14ac:dyDescent="0.2">
      <c r="A29" s="274" t="s">
        <v>541</v>
      </c>
      <c r="B29" s="275">
        <v>10774.72</v>
      </c>
      <c r="C29" s="275">
        <v>8737.2999999999993</v>
      </c>
    </row>
    <row r="30" spans="1:3" x14ac:dyDescent="0.2">
      <c r="A30" s="273" t="s">
        <v>542</v>
      </c>
      <c r="B30" s="276">
        <v>10886.26</v>
      </c>
      <c r="C30" s="276">
        <v>8848.84</v>
      </c>
    </row>
    <row r="31" spans="1:3" x14ac:dyDescent="0.2">
      <c r="A31" s="273" t="s">
        <v>543</v>
      </c>
      <c r="B31" s="275"/>
      <c r="C31" s="275"/>
    </row>
    <row r="32" spans="1:3" x14ac:dyDescent="0.2">
      <c r="A32" s="274" t="s">
        <v>544</v>
      </c>
      <c r="B32" s="275"/>
      <c r="C32" s="275"/>
    </row>
    <row r="33" spans="1:3" x14ac:dyDescent="0.2">
      <c r="A33" s="274" t="s">
        <v>545</v>
      </c>
      <c r="B33" s="275">
        <v>746.48</v>
      </c>
      <c r="C33" s="275">
        <v>943.96</v>
      </c>
    </row>
    <row r="34" spans="1:3" x14ac:dyDescent="0.2">
      <c r="A34" s="274" t="s">
        <v>546</v>
      </c>
      <c r="B34" s="279">
        <v>73.13</v>
      </c>
      <c r="C34" s="275">
        <v>82.63</v>
      </c>
    </row>
    <row r="35" spans="1:3" x14ac:dyDescent="0.2">
      <c r="A35" s="274"/>
      <c r="B35" s="276">
        <v>819.61</v>
      </c>
      <c r="C35" s="276">
        <v>1026.5899999999999</v>
      </c>
    </row>
    <row r="36" spans="1:3" x14ac:dyDescent="0.2">
      <c r="A36" s="273" t="s">
        <v>451</v>
      </c>
      <c r="B36" s="275"/>
      <c r="C36" s="275"/>
    </row>
    <row r="37" spans="1:3" x14ac:dyDescent="0.2">
      <c r="A37" s="274" t="s">
        <v>544</v>
      </c>
      <c r="B37" s="275"/>
      <c r="C37" s="275"/>
    </row>
    <row r="38" spans="1:3" x14ac:dyDescent="0.2">
      <c r="A38" s="274" t="s">
        <v>547</v>
      </c>
      <c r="B38" s="275">
        <v>0</v>
      </c>
      <c r="C38" s="275">
        <v>0.42</v>
      </c>
    </row>
    <row r="39" spans="1:3" x14ac:dyDescent="0.2">
      <c r="A39" s="274" t="s">
        <v>548</v>
      </c>
      <c r="B39" s="275">
        <v>352.61</v>
      </c>
      <c r="C39" s="275">
        <v>326.07</v>
      </c>
    </row>
    <row r="40" spans="1:3" x14ac:dyDescent="0.2">
      <c r="A40" s="274" t="s">
        <v>549</v>
      </c>
      <c r="B40" s="275"/>
      <c r="C40" s="275"/>
    </row>
    <row r="41" spans="1:3" ht="27" x14ac:dyDescent="0.2">
      <c r="A41" s="355" t="s">
        <v>550</v>
      </c>
      <c r="B41" s="275">
        <v>131.55000000000001</v>
      </c>
      <c r="C41" s="275">
        <v>109.94</v>
      </c>
    </row>
    <row r="42" spans="1:3" ht="27" x14ac:dyDescent="0.2">
      <c r="A42" s="355" t="s">
        <v>551</v>
      </c>
      <c r="B42" s="275">
        <v>3496.54</v>
      </c>
      <c r="C42" s="275">
        <v>2397.86</v>
      </c>
    </row>
    <row r="43" spans="1:3" x14ac:dyDescent="0.2">
      <c r="A43" s="274" t="s">
        <v>552</v>
      </c>
      <c r="B43" s="275">
        <v>4564.2</v>
      </c>
      <c r="C43" s="275">
        <v>3706.13</v>
      </c>
    </row>
    <row r="44" spans="1:3" x14ac:dyDescent="0.2">
      <c r="A44" s="274" t="s">
        <v>553</v>
      </c>
      <c r="B44" s="275">
        <v>538.41999999999996</v>
      </c>
      <c r="C44" s="275">
        <v>360.82</v>
      </c>
    </row>
    <row r="45" spans="1:3" x14ac:dyDescent="0.2">
      <c r="A45" s="274" t="s">
        <v>554</v>
      </c>
      <c r="B45" s="275">
        <v>22.04</v>
      </c>
      <c r="C45" s="275">
        <v>22.04</v>
      </c>
    </row>
    <row r="46" spans="1:3" x14ac:dyDescent="0.2">
      <c r="A46" s="274" t="s">
        <v>167</v>
      </c>
      <c r="B46" s="275">
        <v>258.23</v>
      </c>
      <c r="C46" s="275">
        <v>199.92</v>
      </c>
    </row>
    <row r="47" spans="1:3" x14ac:dyDescent="0.2">
      <c r="A47" s="274"/>
      <c r="B47" s="276">
        <v>9363.59</v>
      </c>
      <c r="C47" s="276">
        <v>7123.2</v>
      </c>
    </row>
    <row r="48" spans="1:3" x14ac:dyDescent="0.2">
      <c r="A48" s="280" t="s">
        <v>555</v>
      </c>
      <c r="B48" s="281">
        <v>10183.200000000001</v>
      </c>
      <c r="C48" s="281">
        <v>8149.79</v>
      </c>
    </row>
    <row r="49" spans="1:3" x14ac:dyDescent="0.2">
      <c r="A49" s="282" t="s">
        <v>556</v>
      </c>
      <c r="B49" s="283">
        <v>21069.46</v>
      </c>
      <c r="C49" s="283">
        <v>16998.63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0D81-990B-6440-B24D-1BD6BF944628}">
  <dimension ref="A1:Y43"/>
  <sheetViews>
    <sheetView showGridLines="0" zoomScale="90" zoomScaleNormal="90" workbookViewId="0">
      <selection sqref="A1:C1"/>
    </sheetView>
  </sheetViews>
  <sheetFormatPr defaultColWidth="9" defaultRowHeight="15" x14ac:dyDescent="0.2"/>
  <cols>
    <col min="1" max="1" width="22.6875" style="88" customWidth="1"/>
    <col min="2" max="3" width="9.73828125" style="88" customWidth="1"/>
    <col min="4" max="4" width="43.7734375" style="88" customWidth="1"/>
    <col min="5" max="5" width="33.5390625" style="88" customWidth="1"/>
    <col min="6" max="6" width="9" style="88"/>
    <col min="7" max="7" width="11.46484375" style="88" customWidth="1"/>
    <col min="8" max="8" width="14.796875" style="88" customWidth="1"/>
    <col min="9" max="19" width="9" style="88"/>
    <col min="20" max="20" width="3.44921875" style="88" customWidth="1"/>
    <col min="21" max="21" width="23.796875" style="88" customWidth="1"/>
    <col min="22" max="22" width="11.8359375" style="88" customWidth="1"/>
    <col min="23" max="23" width="9" style="88"/>
    <col min="24" max="24" width="23.796875" style="88" customWidth="1"/>
    <col min="25" max="25" width="11.8359375" style="88" customWidth="1"/>
    <col min="26" max="16384" width="9" style="88"/>
  </cols>
  <sheetData>
    <row r="1" spans="1:25" x14ac:dyDescent="0.2">
      <c r="A1" s="517" t="s">
        <v>557</v>
      </c>
      <c r="B1" s="517"/>
      <c r="C1" s="517"/>
    </row>
    <row r="2" spans="1:25" x14ac:dyDescent="0.2">
      <c r="U2" s="517" t="s">
        <v>583</v>
      </c>
      <c r="V2" s="517"/>
      <c r="X2" s="517" t="s">
        <v>586</v>
      </c>
      <c r="Y2" s="517"/>
    </row>
    <row r="3" spans="1:25" x14ac:dyDescent="0.2">
      <c r="A3" s="88" t="s">
        <v>558</v>
      </c>
      <c r="B3" s="88" t="s">
        <v>559</v>
      </c>
      <c r="C3" s="88" t="s">
        <v>560</v>
      </c>
    </row>
    <row r="4" spans="1:25" x14ac:dyDescent="0.2">
      <c r="U4" s="88" t="s">
        <v>558</v>
      </c>
      <c r="V4" s="88" t="s">
        <v>559</v>
      </c>
      <c r="X4" s="88" t="s">
        <v>558</v>
      </c>
      <c r="Y4" s="88" t="s">
        <v>559</v>
      </c>
    </row>
    <row r="5" spans="1:25" x14ac:dyDescent="0.2">
      <c r="A5" s="261" t="s">
        <v>561</v>
      </c>
    </row>
    <row r="6" spans="1:25" x14ac:dyDescent="0.2">
      <c r="A6" s="88" t="s">
        <v>562</v>
      </c>
      <c r="B6" s="89">
        <f>'[2] Balance Sheet'!B22/'[2] Balance Sheet'!B46</f>
        <v>1.6746546997465717</v>
      </c>
      <c r="C6" s="89">
        <f>'[2] Balance Sheet'!C22/'[2] Balance Sheet'!C46</f>
        <v>1.7198393980233604</v>
      </c>
      <c r="D6" s="88" t="s">
        <v>563</v>
      </c>
      <c r="E6" s="88" t="s">
        <v>564</v>
      </c>
      <c r="U6" s="261" t="s">
        <v>561</v>
      </c>
      <c r="X6" s="261" t="s">
        <v>561</v>
      </c>
    </row>
    <row r="7" spans="1:25" x14ac:dyDescent="0.2">
      <c r="A7" s="88" t="s">
        <v>565</v>
      </c>
      <c r="B7" s="89">
        <f>('[2] Balance Sheet'!B22-'[2] Balance Sheet'!B15) /'[2] Balance Sheet'!B46</f>
        <v>0.63352303977427471</v>
      </c>
      <c r="C7" s="89">
        <f>('[2] Balance Sheet'!C22-'[2] Balance Sheet'!C15) /'[2] Balance Sheet'!C46</f>
        <v>0.94078784815813121</v>
      </c>
      <c r="D7" s="88" t="s">
        <v>566</v>
      </c>
      <c r="E7" s="88" t="s">
        <v>567</v>
      </c>
      <c r="U7" s="88" t="s">
        <v>562</v>
      </c>
      <c r="V7" s="89">
        <v>2.5299999999999998</v>
      </c>
      <c r="X7" s="88" t="s">
        <v>562</v>
      </c>
      <c r="Y7" s="89">
        <v>1.1100000000000001</v>
      </c>
    </row>
    <row r="8" spans="1:25" x14ac:dyDescent="0.2">
      <c r="U8" s="88" t="s">
        <v>565</v>
      </c>
      <c r="V8" s="89">
        <v>1.21</v>
      </c>
      <c r="X8" s="88" t="s">
        <v>565</v>
      </c>
      <c r="Y8" s="89">
        <v>0.5</v>
      </c>
    </row>
    <row r="9" spans="1:25" x14ac:dyDescent="0.2">
      <c r="A9" s="261" t="s">
        <v>568</v>
      </c>
      <c r="B9" s="261"/>
      <c r="C9" s="261" t="s">
        <v>569</v>
      </c>
    </row>
    <row r="10" spans="1:25" x14ac:dyDescent="0.2">
      <c r="A10" s="88" t="s">
        <v>570</v>
      </c>
      <c r="B10" s="89">
        <f>'[2] Balance Sheet'!B47/'[2] Balance Sheet'!B48</f>
        <v>0.48331566162587941</v>
      </c>
      <c r="C10" s="89">
        <f>'[2] Balance Sheet'!C47/'[2] Balance Sheet'!C48</f>
        <v>0.479438048830994</v>
      </c>
      <c r="D10" s="88" t="s">
        <v>571</v>
      </c>
      <c r="E10" s="88" t="s">
        <v>572</v>
      </c>
      <c r="U10" s="261" t="s">
        <v>568</v>
      </c>
      <c r="V10" s="261"/>
      <c r="X10" s="261" t="s">
        <v>568</v>
      </c>
      <c r="Y10" s="261"/>
    </row>
    <row r="11" spans="1:25" x14ac:dyDescent="0.2">
      <c r="A11" s="88" t="s">
        <v>573</v>
      </c>
      <c r="B11" s="89">
        <f>(SUM('[2] Balance Sheet'!B27:B28)+'[2]Income Statement'!B22+'[2] Balance Sheet'!B18+'[2] Balance Sheet'!B19)/'[2] Balance Sheet'!B23</f>
        <v>0.9058713417429779</v>
      </c>
      <c r="C11" s="89">
        <f>(SUM('[2] Balance Sheet'!C27:C28)+'[2]Income Statement'!C22+'[2] Balance Sheet'!C18+'[2] Balance Sheet'!C19)/'[2] Balance Sheet'!C23</f>
        <v>0.97682107322766587</v>
      </c>
      <c r="D11" s="88" t="s">
        <v>574</v>
      </c>
      <c r="E11" s="88" t="s">
        <v>575</v>
      </c>
      <c r="U11" s="88" t="s">
        <v>570</v>
      </c>
      <c r="V11" s="89">
        <v>0.37</v>
      </c>
      <c r="X11" s="88" t="s">
        <v>570</v>
      </c>
      <c r="Y11" s="89">
        <v>0.6</v>
      </c>
    </row>
    <row r="12" spans="1:25" x14ac:dyDescent="0.2">
      <c r="U12" s="88" t="s">
        <v>573</v>
      </c>
      <c r="V12" s="89">
        <v>0.82</v>
      </c>
      <c r="X12" s="88" t="s">
        <v>573</v>
      </c>
      <c r="Y12" s="89">
        <v>0.78</v>
      </c>
    </row>
    <row r="13" spans="1:25" x14ac:dyDescent="0.2">
      <c r="A13" s="261" t="s">
        <v>576</v>
      </c>
      <c r="C13" s="88" t="s">
        <v>569</v>
      </c>
    </row>
    <row r="14" spans="1:25" x14ac:dyDescent="0.2">
      <c r="A14" s="88" t="s">
        <v>577</v>
      </c>
      <c r="B14" s="294">
        <f>'[2]Income Statement'!B22/'[2] Balance Sheet'!B23</f>
        <v>0.25464867158436905</v>
      </c>
      <c r="C14" s="294">
        <f>'[2]Income Statement'!C22/'[2] Balance Sheet'!C23</f>
        <v>0.20035791119637286</v>
      </c>
      <c r="D14" s="88" t="s">
        <v>578</v>
      </c>
      <c r="U14" s="261" t="s">
        <v>576</v>
      </c>
      <c r="X14" s="261" t="s">
        <v>576</v>
      </c>
    </row>
    <row r="15" spans="1:25" x14ac:dyDescent="0.2">
      <c r="A15" s="88" t="s">
        <v>579</v>
      </c>
      <c r="B15" s="294">
        <f>'[2]Income Statement'!B22/'[2] Balance Sheet'!B29</f>
        <v>0.49285153946350724</v>
      </c>
      <c r="C15" s="294">
        <f>'[2]Income Statement'!C22/'[2] Balance Sheet'!C29</f>
        <v>0.38488773669769144</v>
      </c>
      <c r="D15" s="88" t="s">
        <v>580</v>
      </c>
      <c r="U15" s="88" t="s">
        <v>577</v>
      </c>
      <c r="V15" s="294">
        <v>0.1729</v>
      </c>
      <c r="X15" s="88" t="s">
        <v>577</v>
      </c>
      <c r="Y15" s="294">
        <v>3.09E-2</v>
      </c>
    </row>
    <row r="16" spans="1:25" x14ac:dyDescent="0.2">
      <c r="B16" s="88" t="s">
        <v>569</v>
      </c>
      <c r="U16" s="88" t="s">
        <v>579</v>
      </c>
      <c r="V16" s="294">
        <v>0.2641</v>
      </c>
      <c r="X16" s="88" t="s">
        <v>579</v>
      </c>
      <c r="Y16" s="294">
        <v>8.0699999999999994E-2</v>
      </c>
    </row>
    <row r="17" spans="1:25" x14ac:dyDescent="0.2">
      <c r="A17" s="261" t="s">
        <v>581</v>
      </c>
    </row>
    <row r="18" spans="1:25" x14ac:dyDescent="0.2">
      <c r="A18" s="88" t="s">
        <v>45</v>
      </c>
      <c r="B18" s="89">
        <f>'[2]Income Statement'!B6/'[2] Balance Sheet'!B15</f>
        <v>4.008154908382938</v>
      </c>
      <c r="C18" s="89">
        <f>'[2]Income Statement'!C6/'[2] Balance Sheet'!C15</f>
        <v>5.1401319796588423</v>
      </c>
      <c r="D18" s="88" t="s">
        <v>582</v>
      </c>
      <c r="U18" s="261" t="s">
        <v>581</v>
      </c>
      <c r="X18" s="261" t="s">
        <v>581</v>
      </c>
    </row>
    <row r="19" spans="1:25" x14ac:dyDescent="0.2">
      <c r="A19" s="88" t="s">
        <v>339</v>
      </c>
      <c r="B19" s="89">
        <f>'[2]Income Statement'!B6/'[2] Balance Sheet'!B23</f>
        <v>1.8545525134483751</v>
      </c>
      <c r="C19" s="89">
        <f>'[2]Income Statement'!C6/'[2] Balance Sheet'!C23</f>
        <v>1.6780375830287499</v>
      </c>
      <c r="D19" s="88" t="s">
        <v>48</v>
      </c>
      <c r="U19" s="88" t="s">
        <v>45</v>
      </c>
      <c r="V19" s="89">
        <v>2.58</v>
      </c>
      <c r="X19" s="88" t="s">
        <v>45</v>
      </c>
      <c r="Y19" s="89">
        <v>2.65</v>
      </c>
    </row>
    <row r="20" spans="1:25" x14ac:dyDescent="0.2">
      <c r="U20" s="88" t="s">
        <v>339</v>
      </c>
      <c r="V20" s="89">
        <v>1.23</v>
      </c>
      <c r="X20" s="88" t="s">
        <v>339</v>
      </c>
      <c r="Y20" s="89">
        <v>1.06</v>
      </c>
    </row>
    <row r="21" spans="1:25" x14ac:dyDescent="0.2">
      <c r="A21" s="367" t="s">
        <v>587</v>
      </c>
      <c r="B21" s="363" t="s">
        <v>559</v>
      </c>
      <c r="C21" s="366">
        <v>2021</v>
      </c>
    </row>
    <row r="22" spans="1:25" x14ac:dyDescent="0.2">
      <c r="A22" s="356"/>
      <c r="B22" s="358"/>
      <c r="C22" s="359"/>
    </row>
    <row r="23" spans="1:25" x14ac:dyDescent="0.2">
      <c r="A23" s="368" t="s">
        <v>588</v>
      </c>
      <c r="B23" s="357">
        <v>5365.31</v>
      </c>
      <c r="C23" s="360">
        <v>3405.81</v>
      </c>
    </row>
    <row r="24" spans="1:25" x14ac:dyDescent="0.2">
      <c r="A24" s="369" t="s">
        <v>472</v>
      </c>
      <c r="B24" s="358">
        <v>39074.42</v>
      </c>
      <c r="C24" s="359">
        <v>28524.34</v>
      </c>
    </row>
    <row r="25" spans="1:25" x14ac:dyDescent="0.2">
      <c r="A25" s="368" t="s">
        <v>589</v>
      </c>
      <c r="B25" s="364">
        <v>21069.46</v>
      </c>
      <c r="C25" s="361">
        <v>16998.63</v>
      </c>
    </row>
    <row r="26" spans="1:25" x14ac:dyDescent="0.2">
      <c r="A26" s="369" t="s">
        <v>440</v>
      </c>
      <c r="B26" s="358">
        <v>10886.26</v>
      </c>
      <c r="C26" s="359">
        <v>8848.84</v>
      </c>
    </row>
    <row r="27" spans="1:25" x14ac:dyDescent="0.2">
      <c r="A27" s="370" t="s">
        <v>52</v>
      </c>
      <c r="B27" s="365">
        <f>(B23/B24)*(B24/B25)*(B25/B26)</f>
        <v>0.49285153946350729</v>
      </c>
      <c r="C27" s="362">
        <f>(C23/C24)*(C24/C25)*(C25/C26)</f>
        <v>0.3848877366976915</v>
      </c>
    </row>
    <row r="36" spans="10:13" x14ac:dyDescent="0.2">
      <c r="J36" s="518" t="s">
        <v>584</v>
      </c>
      <c r="K36" s="519"/>
      <c r="L36" s="524" t="s">
        <v>724</v>
      </c>
      <c r="M36" s="525"/>
    </row>
    <row r="37" spans="10:13" x14ac:dyDescent="0.2">
      <c r="J37" s="520"/>
      <c r="K37" s="521"/>
      <c r="L37" s="520"/>
      <c r="M37" s="521"/>
    </row>
    <row r="38" spans="10:13" x14ac:dyDescent="0.2">
      <c r="J38" s="522" t="s">
        <v>133</v>
      </c>
      <c r="K38" s="523"/>
      <c r="L38" s="526">
        <v>54857</v>
      </c>
      <c r="M38" s="527"/>
    </row>
    <row r="39" spans="10:13" x14ac:dyDescent="0.2">
      <c r="J39" s="520" t="s">
        <v>585</v>
      </c>
      <c r="K39" s="521"/>
      <c r="L39" s="528">
        <v>20188</v>
      </c>
      <c r="M39" s="529"/>
    </row>
    <row r="40" spans="10:13" x14ac:dyDescent="0.2">
      <c r="J40" s="522" t="s">
        <v>275</v>
      </c>
      <c r="K40" s="523"/>
      <c r="L40" s="526">
        <v>2840</v>
      </c>
      <c r="M40" s="527"/>
    </row>
    <row r="41" spans="10:13" x14ac:dyDescent="0.2">
      <c r="J41" s="520" t="s">
        <v>277</v>
      </c>
      <c r="K41" s="521"/>
      <c r="L41" s="520">
        <v>19415.59</v>
      </c>
      <c r="M41" s="521"/>
    </row>
    <row r="42" spans="10:13" x14ac:dyDescent="0.2">
      <c r="J42" s="522" t="s">
        <v>136</v>
      </c>
      <c r="K42" s="523"/>
      <c r="L42" s="522">
        <v>9781.52</v>
      </c>
      <c r="M42" s="523"/>
    </row>
    <row r="43" spans="10:13" x14ac:dyDescent="0.2">
      <c r="J43" s="530" t="s">
        <v>29</v>
      </c>
      <c r="K43" s="531"/>
      <c r="L43" s="530">
        <v>7636.34</v>
      </c>
      <c r="M43" s="531"/>
    </row>
  </sheetData>
  <mergeCells count="19">
    <mergeCell ref="L39:M39"/>
    <mergeCell ref="L40:M40"/>
    <mergeCell ref="L41:M41"/>
    <mergeCell ref="J43:K43"/>
    <mergeCell ref="A1:C1"/>
    <mergeCell ref="J39:K39"/>
    <mergeCell ref="J40:K40"/>
    <mergeCell ref="J41:K41"/>
    <mergeCell ref="J42:K42"/>
    <mergeCell ref="L42:M42"/>
    <mergeCell ref="L43:M43"/>
    <mergeCell ref="U2:V2"/>
    <mergeCell ref="X2:Y2"/>
    <mergeCell ref="J36:K36"/>
    <mergeCell ref="J37:K37"/>
    <mergeCell ref="J38:K38"/>
    <mergeCell ref="L36:M36"/>
    <mergeCell ref="L37:M37"/>
    <mergeCell ref="L38:M38"/>
  </mergeCells>
  <pageMargins left="0.7" right="0.7" top="0.75" bottom="0.75" header="0.3" footer="0.3"/>
  <pageSetup paperSize="9" orientation="landscape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3F6A-A686-3A44-89DC-F1ABFC9BBE82}">
  <dimension ref="B2:J134"/>
  <sheetViews>
    <sheetView showGridLines="0" zoomScaleNormal="100" zoomScaleSheetLayoutView="130" workbookViewId="0"/>
  </sheetViews>
  <sheetFormatPr defaultColWidth="10.8515625" defaultRowHeight="14.25" x14ac:dyDescent="0.2"/>
  <cols>
    <col min="1" max="1" width="3.44921875" style="30" customWidth="1"/>
    <col min="2" max="2" width="20.22265625" style="30" customWidth="1"/>
    <col min="3" max="10" width="10.8515625" style="30"/>
    <col min="11" max="11" width="3.328125" style="30" customWidth="1"/>
    <col min="12" max="16384" width="10.8515625" style="30"/>
  </cols>
  <sheetData>
    <row r="2" spans="2:10" ht="15" x14ac:dyDescent="0.2">
      <c r="B2" s="420" t="s">
        <v>59</v>
      </c>
      <c r="C2" s="420"/>
      <c r="D2" s="420"/>
      <c r="E2" s="420"/>
      <c r="F2" s="420"/>
      <c r="G2" s="420"/>
      <c r="H2" s="420"/>
      <c r="I2" s="420"/>
      <c r="J2" s="420"/>
    </row>
    <row r="4" spans="2:10" ht="16.149999999999999" customHeight="1" x14ac:dyDescent="0.2">
      <c r="B4" s="418" t="s">
        <v>117</v>
      </c>
      <c r="C4" s="417" t="s">
        <v>30</v>
      </c>
      <c r="D4" s="417"/>
      <c r="E4" s="417"/>
      <c r="F4" s="417"/>
      <c r="G4" s="417" t="s">
        <v>31</v>
      </c>
      <c r="H4" s="417"/>
      <c r="I4" s="417"/>
      <c r="J4" s="417"/>
    </row>
    <row r="5" spans="2:10" x14ac:dyDescent="0.2">
      <c r="B5" s="419"/>
      <c r="C5" s="15" t="s">
        <v>28</v>
      </c>
      <c r="D5" s="15" t="s">
        <v>29</v>
      </c>
      <c r="E5" s="15" t="s">
        <v>27</v>
      </c>
      <c r="F5" s="15" t="s">
        <v>33</v>
      </c>
      <c r="G5" s="15" t="s">
        <v>28</v>
      </c>
      <c r="H5" s="15" t="s">
        <v>29</v>
      </c>
      <c r="I5" s="15" t="s">
        <v>27</v>
      </c>
      <c r="J5" s="15" t="s">
        <v>33</v>
      </c>
    </row>
    <row r="6" spans="2:10" x14ac:dyDescent="0.2">
      <c r="B6" s="32" t="s">
        <v>34</v>
      </c>
      <c r="C6" s="38"/>
      <c r="D6" s="38"/>
      <c r="E6" s="38"/>
      <c r="F6" s="38"/>
      <c r="G6" s="38"/>
      <c r="H6" s="38"/>
      <c r="I6" s="38"/>
      <c r="J6" s="38"/>
    </row>
    <row r="7" spans="2:10" x14ac:dyDescent="0.2">
      <c r="B7" s="6" t="s">
        <v>35</v>
      </c>
      <c r="C7" s="58">
        <f>97003.19/46042.43</f>
        <v>2.106821685997025</v>
      </c>
      <c r="D7" s="58">
        <v>1.37</v>
      </c>
      <c r="E7" s="58">
        <v>1.03</v>
      </c>
      <c r="F7" s="58">
        <f>AVERAGE(C7:E7)</f>
        <v>1.5022738953323416</v>
      </c>
      <c r="G7" s="58">
        <v>2.27</v>
      </c>
      <c r="H7" s="58">
        <v>1.49</v>
      </c>
      <c r="I7" s="58">
        <v>1.08</v>
      </c>
      <c r="J7" s="58">
        <f>AVERAGE(G7:I7)</f>
        <v>1.6133333333333333</v>
      </c>
    </row>
    <row r="8" spans="2:10" x14ac:dyDescent="0.2">
      <c r="B8" s="6" t="s">
        <v>37</v>
      </c>
      <c r="C8" s="58">
        <f>'SSML - Balance Sheet Elements'!C23/'SSML - Balance Sheet Elements'!C25</f>
        <v>1.224136953675121</v>
      </c>
      <c r="D8" s="58">
        <f>'SSML - Balance Sheet Elements'!E23/'SSML - Balance Sheet Elements'!E25</f>
        <v>0.78255262465648312</v>
      </c>
      <c r="E8" s="58">
        <f>'SSML - Balance Sheet Elements'!G23/'SSML - Balance Sheet Elements'!G25</f>
        <v>0.39864689881567927</v>
      </c>
      <c r="F8" s="58">
        <f>AVERAGE(C8:E8)</f>
        <v>0.8017788257157612</v>
      </c>
      <c r="G8" s="58">
        <f>'SSML - Balance Sheet Elements'!D23/'SSML - Balance Sheet Elements'!D25</f>
        <v>1.3964319852966316</v>
      </c>
      <c r="H8" s="58">
        <f>'SSML - Balance Sheet Elements'!F23/'SSML - Balance Sheet Elements'!F25</f>
        <v>0.91614924177171386</v>
      </c>
      <c r="I8" s="58">
        <f>'SSML - Balance Sheet Elements'!H23/'SSML - Balance Sheet Elements'!H25</f>
        <v>0.44789771958570718</v>
      </c>
      <c r="J8" s="58">
        <f>AVERAGE(G8:I8)</f>
        <v>0.92015964888468416</v>
      </c>
    </row>
    <row r="9" spans="2:10" x14ac:dyDescent="0.2">
      <c r="B9" s="33"/>
      <c r="C9" s="59"/>
      <c r="D9" s="59"/>
      <c r="E9" s="59"/>
      <c r="F9" s="59"/>
      <c r="G9" s="59"/>
      <c r="H9" s="59"/>
      <c r="I9" s="59"/>
      <c r="J9" s="59"/>
    </row>
    <row r="10" spans="2:10" x14ac:dyDescent="0.2">
      <c r="B10" s="34" t="s">
        <v>39</v>
      </c>
      <c r="C10" s="59"/>
      <c r="D10" s="59"/>
      <c r="E10" s="59"/>
      <c r="F10" s="59"/>
      <c r="G10" s="59"/>
      <c r="H10" s="59"/>
      <c r="I10" s="59"/>
      <c r="J10" s="59"/>
    </row>
    <row r="11" spans="2:10" x14ac:dyDescent="0.2">
      <c r="B11" s="6" t="s">
        <v>40</v>
      </c>
      <c r="C11" s="58">
        <f>'SSML - Balance Sheet Elements'!C36/'SSML - Balance Sheet Elements'!C38</f>
        <v>0.29416464711502399</v>
      </c>
      <c r="D11" s="58">
        <v>0.95</v>
      </c>
      <c r="E11" s="58">
        <v>0.17</v>
      </c>
      <c r="F11" s="58">
        <f>AVERAGE(C11:E11)</f>
        <v>0.47138821570500794</v>
      </c>
      <c r="G11" s="58">
        <f>'SSML - Balance Sheet Elements'!D36/'SSML - Balance Sheet Elements'!D38</f>
        <v>0.246242007057345</v>
      </c>
      <c r="H11" s="58">
        <v>0.85</v>
      </c>
      <c r="I11" s="58">
        <v>0.22</v>
      </c>
      <c r="J11" s="58">
        <f>AVERAGE(G11:I11)</f>
        <v>0.43874733568578167</v>
      </c>
    </row>
    <row r="12" spans="2:10" x14ac:dyDescent="0.2">
      <c r="B12" s="6" t="s">
        <v>42</v>
      </c>
      <c r="C12" s="58">
        <f>'SSML - Balance Sheet Elements'!C38/'SSML - Balance Sheet Elements'!C41</f>
        <v>0.61848061684450251</v>
      </c>
      <c r="D12" s="58">
        <f>'SSML - Balance Sheet Elements'!E38/'SSML - Balance Sheet Elements'!E41</f>
        <v>0.31004141427834248</v>
      </c>
      <c r="E12" s="58">
        <f>'SSML - Balance Sheet Elements'!G38/'SSML - Balance Sheet Elements'!G41</f>
        <v>0.24843036185287981</v>
      </c>
      <c r="F12" s="58">
        <f>AVERAGE(C12:E12)</f>
        <v>0.39231746432524162</v>
      </c>
      <c r="G12" s="58">
        <f>'SSML - Balance Sheet Elements'!D38/'SSML - Balance Sheet Elements'!D41</f>
        <v>0.63602863586007841</v>
      </c>
      <c r="H12" s="58">
        <f>'SSML - Balance Sheet Elements'!F38/'SSML - Balance Sheet Elements'!F41</f>
        <v>0.3486343310842146</v>
      </c>
      <c r="I12" s="58">
        <f>'SSML - Balance Sheet Elements'!H38/'SSML - Balance Sheet Elements'!H41</f>
        <v>0.27847878043517948</v>
      </c>
      <c r="J12" s="58">
        <f>AVERAGE(G12:I12)</f>
        <v>0.42104724912649089</v>
      </c>
    </row>
    <row r="13" spans="2:10" x14ac:dyDescent="0.2">
      <c r="B13" s="33"/>
      <c r="C13" s="59"/>
      <c r="D13" s="59"/>
      <c r="E13" s="59"/>
      <c r="F13" s="59"/>
      <c r="G13" s="59"/>
      <c r="H13" s="59"/>
      <c r="I13" s="59"/>
      <c r="J13" s="59"/>
    </row>
    <row r="14" spans="2:10" x14ac:dyDescent="0.2">
      <c r="B14" s="34" t="s">
        <v>44</v>
      </c>
      <c r="C14" s="59"/>
      <c r="D14" s="59"/>
      <c r="E14" s="59"/>
      <c r="F14" s="59"/>
      <c r="G14" s="59"/>
      <c r="H14" s="59"/>
      <c r="I14" s="59"/>
      <c r="J14" s="59"/>
    </row>
    <row r="15" spans="2:10" x14ac:dyDescent="0.2">
      <c r="B15" s="6" t="s">
        <v>45</v>
      </c>
      <c r="C15" s="58">
        <f>'SSML - Balance Sheet Elements'!C47/'SSML - Balance Sheet Elements'!C52</f>
        <v>2.7313925884137742</v>
      </c>
      <c r="D15" s="58">
        <f>'SSML - Balance Sheet Elements'!E47/'SSML - Balance Sheet Elements'!E52</f>
        <v>1.8015709464693668</v>
      </c>
      <c r="E15" s="58">
        <v>3.5</v>
      </c>
      <c r="F15" s="58">
        <f t="shared" ref="F15:F16" si="0">AVERAGE(C15:E15)</f>
        <v>2.6776545116277135</v>
      </c>
      <c r="G15" s="58">
        <f>'SSML - Balance Sheet Elements'!D47/'SSML - Balance Sheet Elements'!D52</f>
        <v>1.8562420788877401</v>
      </c>
      <c r="H15" s="58">
        <v>0.94</v>
      </c>
      <c r="I15" s="58">
        <v>2.5299999999999998</v>
      </c>
      <c r="J15" s="58">
        <f t="shared" ref="J15:J16" si="1">AVERAGE(G15:I15)</f>
        <v>1.7754140262959133</v>
      </c>
    </row>
    <row r="16" spans="2:10" x14ac:dyDescent="0.2">
      <c r="B16" s="6" t="s">
        <v>47</v>
      </c>
      <c r="C16" s="58">
        <f>'SSML - Balance Sheet Elements'!C54/'SSML - Balance Sheet Elements'!C64</f>
        <v>3.8492453276630676</v>
      </c>
      <c r="D16" s="58">
        <f>'SSML - Balance Sheet Elements'!E54/'SSML - Balance Sheet Elements'!E64</f>
        <v>3.6644843397074718</v>
      </c>
      <c r="E16" s="58">
        <f>'SSML - Balance Sheet Elements'!G54/'SSML - Balance Sheet Elements'!G64</f>
        <v>1.6161193737409609</v>
      </c>
      <c r="F16" s="58">
        <f t="shared" si="0"/>
        <v>3.0432830137038334</v>
      </c>
      <c r="G16" s="58">
        <f>'SSML - Balance Sheet Elements'!D54/'SSML - Balance Sheet Elements'!D64</f>
        <v>2.2231573608322019</v>
      </c>
      <c r="H16" s="58">
        <f>'SSML - Balance Sheet Elements'!F54/'SSML - Balance Sheet Elements'!F64</f>
        <v>1.7876202550480975</v>
      </c>
      <c r="I16" s="58">
        <f>'SSML - Balance Sheet Elements'!H54/'SSML - Balance Sheet Elements'!H64</f>
        <v>1.1406556330643323</v>
      </c>
      <c r="J16" s="58">
        <f t="shared" si="1"/>
        <v>1.7171444163148772</v>
      </c>
    </row>
    <row r="17" spans="2:10" x14ac:dyDescent="0.2">
      <c r="B17" s="33"/>
      <c r="C17" s="33"/>
      <c r="D17" s="33"/>
      <c r="E17" s="33"/>
      <c r="F17" s="33"/>
      <c r="G17" s="33"/>
      <c r="H17" s="33"/>
      <c r="I17" s="33"/>
      <c r="J17" s="33"/>
    </row>
    <row r="18" spans="2:10" x14ac:dyDescent="0.2">
      <c r="B18" s="34" t="s">
        <v>49</v>
      </c>
      <c r="C18" s="33"/>
      <c r="D18" s="33"/>
      <c r="E18" s="33"/>
      <c r="F18" s="33"/>
      <c r="G18" s="33"/>
      <c r="H18" s="33"/>
      <c r="I18" s="33"/>
      <c r="J18" s="33"/>
    </row>
    <row r="19" spans="2:10" x14ac:dyDescent="0.2">
      <c r="B19" s="57" t="s">
        <v>50</v>
      </c>
      <c r="C19" s="60">
        <f>'SSML - Balance Sheet Elements'!C66/'SSML - Balance Sheet Elements'!C54</f>
        <v>0.10968463775697722</v>
      </c>
      <c r="D19" s="60">
        <f>'SSML - Balance Sheet Elements'!E66/'SSML - Balance Sheet Elements'!E54</f>
        <v>-8.7714542028939455E-2</v>
      </c>
      <c r="E19" s="60">
        <v>-1.03E-2</v>
      </c>
      <c r="F19" s="60">
        <f t="shared" ref="F19:F20" si="2">AVERAGE(C19:E19)</f>
        <v>3.8900319093459214E-3</v>
      </c>
      <c r="G19" s="60">
        <f>'SSML - Balance Sheet Elements'!D66/'SSML - Balance Sheet Elements'!D54</f>
        <v>4.7331450179793032E-3</v>
      </c>
      <c r="H19" s="60">
        <f>'SSML - Balance Sheet Elements'!F66/'SSML - Balance Sheet Elements'!F54</f>
        <v>-0.11613472738621972</v>
      </c>
      <c r="I19" s="60">
        <v>-0.12540000000000001</v>
      </c>
      <c r="J19" s="60">
        <f t="shared" ref="J19:J20" si="3">AVERAGE(G19:I19)</f>
        <v>-7.8933860789413474E-2</v>
      </c>
    </row>
    <row r="20" spans="2:10" x14ac:dyDescent="0.2">
      <c r="B20" s="6" t="s">
        <v>52</v>
      </c>
      <c r="C20" s="53">
        <f>'SSML - Balance Sheet Elements'!C66/'SSML - Balance Sheet Elements'!C38</f>
        <v>0.22673351146996865</v>
      </c>
      <c r="D20" s="53">
        <f>'SSML - Balance Sheet Elements'!E66/'SSML - Balance Sheet Elements'!E38</f>
        <v>-0.21846123048458127</v>
      </c>
      <c r="E20" s="53">
        <v>-2.8899999999999999E-2</v>
      </c>
      <c r="F20" s="53">
        <f t="shared" si="2"/>
        <v>-6.8759063382042079E-3</v>
      </c>
      <c r="G20" s="53">
        <f>'SSML - Balance Sheet Elements'!D66/'SSML - Balance Sheet Elements'!D38</f>
        <v>6.8999638333356369E-3</v>
      </c>
      <c r="H20" s="53">
        <f>'SSML - Balance Sheet Elements'!F66/'SSML - Balance Sheet Elements'!F38</f>
        <v>-0.13938259287564206</v>
      </c>
      <c r="I20" s="53">
        <v>-0.34460000000000002</v>
      </c>
      <c r="J20" s="53">
        <f t="shared" si="3"/>
        <v>-0.15902754301410216</v>
      </c>
    </row>
    <row r="21" spans="2:10" x14ac:dyDescent="0.2">
      <c r="B21" s="33"/>
      <c r="C21" s="33"/>
      <c r="D21" s="33"/>
      <c r="E21" s="33"/>
      <c r="F21" s="33"/>
      <c r="G21" s="33"/>
      <c r="H21" s="33"/>
      <c r="I21" s="33"/>
      <c r="J21" s="33"/>
    </row>
    <row r="22" spans="2:10" x14ac:dyDescent="0.2">
      <c r="B22" s="34" t="s">
        <v>54</v>
      </c>
      <c r="C22" s="33"/>
      <c r="D22" s="33"/>
      <c r="E22" s="33"/>
      <c r="F22" s="33"/>
      <c r="G22" s="33"/>
      <c r="H22" s="33"/>
      <c r="I22" s="33"/>
      <c r="J22" s="33"/>
    </row>
    <row r="23" spans="2:10" x14ac:dyDescent="0.2">
      <c r="B23" s="57" t="s">
        <v>55</v>
      </c>
      <c r="C23" s="61">
        <f>('SSML - Balance Sheet Elements'!C66*100000)/'SSML - Balance Sheet Elements'!C68</f>
        <v>45.34156971782425</v>
      </c>
      <c r="D23" s="61">
        <v>-59.47</v>
      </c>
      <c r="E23" s="61">
        <v>-0.87</v>
      </c>
      <c r="F23" s="61">
        <v>-5</v>
      </c>
      <c r="G23" s="61">
        <f>('SSML - Balance Sheet Elements'!D66*100000)/'SSML - Balance Sheet Elements'!D68</f>
        <v>1.1393195829834299</v>
      </c>
      <c r="H23" s="61">
        <v>-41.54</v>
      </c>
      <c r="I23" s="61">
        <v>-7.95</v>
      </c>
      <c r="J23" s="61">
        <v>-16.12</v>
      </c>
    </row>
    <row r="24" spans="2:10" x14ac:dyDescent="0.2">
      <c r="B24" s="18" t="s">
        <v>57</v>
      </c>
      <c r="C24" s="54">
        <f>C23/'SSML - Balance Sheet Elements'!C70</f>
        <v>0.10800755054269712</v>
      </c>
      <c r="D24" s="54">
        <f>D23/'SSML - Balance Sheet Elements'!E70</f>
        <v>-6.9575899385785317E-2</v>
      </c>
      <c r="E24" s="54">
        <f>E23/'SSML - Balance Sheet Elements'!G70</f>
        <v>-2.8807947019867551E-3</v>
      </c>
      <c r="F24" s="54">
        <f t="shared" ref="F24" si="4">AVERAGE(C24:E24)</f>
        <v>1.1850285484975015E-2</v>
      </c>
      <c r="G24" s="54">
        <f>G23/'SSML - Balance Sheet Elements'!D70</f>
        <v>6.1187947528648229E-3</v>
      </c>
      <c r="H24" s="54">
        <f>H23/'SSML - Balance Sheet Elements'!F70</f>
        <v>-0.11484655792092895</v>
      </c>
      <c r="I24" s="54">
        <f>I23/'SSML - Balance Sheet Elements'!H70</f>
        <v>-3.9503105590062114E-2</v>
      </c>
      <c r="J24" s="54">
        <f t="shared" ref="J24" si="5">AVERAGE(G24:I24)</f>
        <v>-4.9410289586042079E-2</v>
      </c>
    </row>
    <row r="27" spans="2:10" x14ac:dyDescent="0.2">
      <c r="B27" s="297"/>
      <c r="C27" s="421" t="s">
        <v>28</v>
      </c>
      <c r="D27" s="421"/>
      <c r="E27" s="421" t="s">
        <v>29</v>
      </c>
      <c r="F27" s="421"/>
      <c r="G27" s="421" t="s">
        <v>27</v>
      </c>
      <c r="H27" s="421"/>
      <c r="I27" s="421" t="s">
        <v>725</v>
      </c>
      <c r="J27" s="421"/>
    </row>
    <row r="28" spans="2:10" x14ac:dyDescent="0.2">
      <c r="C28" s="305" t="s">
        <v>6</v>
      </c>
      <c r="D28" s="305" t="s">
        <v>10</v>
      </c>
      <c r="E28" s="305" t="s">
        <v>6</v>
      </c>
      <c r="F28" s="305" t="s">
        <v>10</v>
      </c>
      <c r="G28" s="305" t="s">
        <v>6</v>
      </c>
      <c r="H28" s="305" t="s">
        <v>10</v>
      </c>
      <c r="I28" s="305" t="s">
        <v>6</v>
      </c>
      <c r="J28" s="305" t="s">
        <v>10</v>
      </c>
    </row>
    <row r="29" spans="2:10" x14ac:dyDescent="0.2">
      <c r="B29" s="297" t="s">
        <v>35</v>
      </c>
      <c r="C29" s="30">
        <v>2.11</v>
      </c>
      <c r="D29" s="30">
        <v>2.27</v>
      </c>
      <c r="E29" s="30">
        <v>1.37</v>
      </c>
      <c r="F29" s="30">
        <v>1.49</v>
      </c>
      <c r="G29" s="30">
        <v>1.03</v>
      </c>
      <c r="H29" s="30">
        <v>1.08</v>
      </c>
      <c r="I29" s="30">
        <v>1.5</v>
      </c>
      <c r="J29" s="30">
        <v>1.61</v>
      </c>
    </row>
    <row r="47" spans="2:10" x14ac:dyDescent="0.2">
      <c r="B47" s="297"/>
      <c r="C47" s="421" t="s">
        <v>28</v>
      </c>
      <c r="D47" s="421"/>
      <c r="E47" s="421" t="s">
        <v>29</v>
      </c>
      <c r="F47" s="421"/>
      <c r="G47" s="421" t="s">
        <v>27</v>
      </c>
      <c r="H47" s="421"/>
      <c r="I47" s="421" t="s">
        <v>725</v>
      </c>
      <c r="J47" s="421"/>
    </row>
    <row r="48" spans="2:10" x14ac:dyDescent="0.2">
      <c r="C48" s="305" t="s">
        <v>6</v>
      </c>
      <c r="D48" s="305" t="s">
        <v>10</v>
      </c>
      <c r="E48" s="305" t="s">
        <v>6</v>
      </c>
      <c r="F48" s="305" t="s">
        <v>10</v>
      </c>
      <c r="G48" s="305" t="s">
        <v>6</v>
      </c>
      <c r="H48" s="305" t="s">
        <v>10</v>
      </c>
      <c r="I48" s="305" t="s">
        <v>6</v>
      </c>
      <c r="J48" s="305" t="s">
        <v>10</v>
      </c>
    </row>
    <row r="49" spans="2:10" x14ac:dyDescent="0.2">
      <c r="B49" s="297" t="s">
        <v>37</v>
      </c>
      <c r="C49" s="30">
        <v>1.22</v>
      </c>
      <c r="D49" s="30">
        <v>1.4</v>
      </c>
      <c r="E49" s="30">
        <v>0.78</v>
      </c>
      <c r="F49" s="30">
        <v>0.92</v>
      </c>
      <c r="G49" s="30">
        <v>0.4</v>
      </c>
      <c r="H49" s="30">
        <v>0.45</v>
      </c>
      <c r="I49" s="30">
        <v>0.8</v>
      </c>
      <c r="J49" s="30">
        <v>0.92</v>
      </c>
    </row>
    <row r="67" spans="2:10" x14ac:dyDescent="0.2">
      <c r="B67" s="297"/>
      <c r="C67" s="421" t="s">
        <v>28</v>
      </c>
      <c r="D67" s="421"/>
      <c r="E67" s="421" t="s">
        <v>29</v>
      </c>
      <c r="F67" s="421"/>
      <c r="G67" s="421" t="s">
        <v>27</v>
      </c>
      <c r="H67" s="421"/>
      <c r="I67" s="421" t="s">
        <v>725</v>
      </c>
      <c r="J67" s="421"/>
    </row>
    <row r="68" spans="2:10" x14ac:dyDescent="0.2">
      <c r="C68" s="305" t="s">
        <v>6</v>
      </c>
      <c r="D68" s="305" t="s">
        <v>10</v>
      </c>
      <c r="E68" s="305" t="s">
        <v>6</v>
      </c>
      <c r="F68" s="305" t="s">
        <v>10</v>
      </c>
      <c r="G68" s="305" t="s">
        <v>6</v>
      </c>
      <c r="H68" s="305" t="s">
        <v>10</v>
      </c>
      <c r="I68" s="305" t="s">
        <v>6</v>
      </c>
      <c r="J68" s="305" t="s">
        <v>10</v>
      </c>
    </row>
    <row r="69" spans="2:10" x14ac:dyDescent="0.2">
      <c r="B69" s="297" t="s">
        <v>40</v>
      </c>
      <c r="C69" s="30">
        <v>0.28999999999999998</v>
      </c>
      <c r="D69" s="30">
        <v>0.25</v>
      </c>
      <c r="E69" s="30">
        <v>0.95</v>
      </c>
      <c r="F69" s="30">
        <v>0.85</v>
      </c>
      <c r="G69" s="30">
        <v>0.17</v>
      </c>
      <c r="H69" s="30">
        <v>0.22</v>
      </c>
      <c r="I69" s="30">
        <v>0.47</v>
      </c>
      <c r="J69" s="30">
        <v>0.44</v>
      </c>
    </row>
    <row r="89" spans="2:10" x14ac:dyDescent="0.2">
      <c r="B89" s="297"/>
      <c r="C89" s="421" t="s">
        <v>28</v>
      </c>
      <c r="D89" s="421"/>
      <c r="E89" s="421" t="s">
        <v>29</v>
      </c>
      <c r="F89" s="421"/>
      <c r="G89" s="421" t="s">
        <v>27</v>
      </c>
      <c r="H89" s="421"/>
      <c r="I89" s="421" t="s">
        <v>725</v>
      </c>
      <c r="J89" s="421"/>
    </row>
    <row r="90" spans="2:10" x14ac:dyDescent="0.2">
      <c r="C90" s="305" t="s">
        <v>6</v>
      </c>
      <c r="D90" s="305" t="s">
        <v>10</v>
      </c>
      <c r="E90" s="305" t="s">
        <v>6</v>
      </c>
      <c r="F90" s="305" t="s">
        <v>10</v>
      </c>
      <c r="G90" s="305" t="s">
        <v>6</v>
      </c>
      <c r="H90" s="305" t="s">
        <v>10</v>
      </c>
      <c r="I90" s="305" t="s">
        <v>6</v>
      </c>
      <c r="J90" s="305" t="s">
        <v>10</v>
      </c>
    </row>
    <row r="91" spans="2:10" x14ac:dyDescent="0.2">
      <c r="B91" s="297" t="s">
        <v>42</v>
      </c>
      <c r="C91" s="30">
        <v>0.62</v>
      </c>
      <c r="D91" s="30">
        <v>0.64</v>
      </c>
      <c r="E91" s="30">
        <v>0.31</v>
      </c>
      <c r="F91" s="30">
        <v>0.35</v>
      </c>
      <c r="G91" s="30">
        <v>0.25</v>
      </c>
      <c r="H91" s="30">
        <v>0.28000000000000003</v>
      </c>
      <c r="I91" s="30">
        <v>0.39</v>
      </c>
      <c r="J91" s="30">
        <v>0.42</v>
      </c>
    </row>
    <row r="112" spans="2:10" x14ac:dyDescent="0.2">
      <c r="B112" s="297"/>
      <c r="C112" s="421" t="s">
        <v>28</v>
      </c>
      <c r="D112" s="421"/>
      <c r="E112" s="421" t="s">
        <v>29</v>
      </c>
      <c r="F112" s="421"/>
      <c r="G112" s="421" t="s">
        <v>27</v>
      </c>
      <c r="H112" s="421"/>
      <c r="I112" s="421" t="s">
        <v>725</v>
      </c>
      <c r="J112" s="421"/>
    </row>
    <row r="113" spans="2:10" x14ac:dyDescent="0.2">
      <c r="C113" s="305" t="s">
        <v>6</v>
      </c>
      <c r="D113" s="305" t="s">
        <v>10</v>
      </c>
      <c r="E113" s="305" t="s">
        <v>6</v>
      </c>
      <c r="F113" s="305" t="s">
        <v>10</v>
      </c>
      <c r="G113" s="305" t="s">
        <v>6</v>
      </c>
      <c r="H113" s="305" t="s">
        <v>10</v>
      </c>
      <c r="I113" s="305" t="s">
        <v>6</v>
      </c>
      <c r="J113" s="305" t="s">
        <v>10</v>
      </c>
    </row>
    <row r="114" spans="2:10" x14ac:dyDescent="0.2">
      <c r="B114" s="297" t="s">
        <v>45</v>
      </c>
      <c r="C114" s="30">
        <v>2.73</v>
      </c>
      <c r="D114" s="30">
        <v>1.86</v>
      </c>
      <c r="E114" s="30">
        <v>1.8</v>
      </c>
      <c r="F114" s="30">
        <v>0.94</v>
      </c>
      <c r="G114" s="30">
        <v>3.5</v>
      </c>
      <c r="H114" s="30">
        <v>2.5299999999999998</v>
      </c>
      <c r="I114" s="30">
        <v>2.68</v>
      </c>
      <c r="J114" s="30">
        <v>1.78</v>
      </c>
    </row>
    <row r="132" spans="2:10" x14ac:dyDescent="0.2">
      <c r="B132" s="297"/>
      <c r="C132" s="421" t="s">
        <v>28</v>
      </c>
      <c r="D132" s="421"/>
      <c r="E132" s="421" t="s">
        <v>29</v>
      </c>
      <c r="F132" s="421"/>
      <c r="G132" s="421" t="s">
        <v>27</v>
      </c>
      <c r="H132" s="421"/>
      <c r="I132" s="421" t="s">
        <v>725</v>
      </c>
      <c r="J132" s="421"/>
    </row>
    <row r="133" spans="2:10" x14ac:dyDescent="0.2">
      <c r="C133" s="305" t="s">
        <v>6</v>
      </c>
      <c r="D133" s="305" t="s">
        <v>10</v>
      </c>
      <c r="E133" s="305" t="s">
        <v>6</v>
      </c>
      <c r="F133" s="305" t="s">
        <v>10</v>
      </c>
      <c r="G133" s="305" t="s">
        <v>6</v>
      </c>
      <c r="H133" s="305" t="s">
        <v>10</v>
      </c>
      <c r="I133" s="305" t="s">
        <v>6</v>
      </c>
      <c r="J133" s="305" t="s">
        <v>10</v>
      </c>
    </row>
    <row r="134" spans="2:10" x14ac:dyDescent="0.2">
      <c r="B134" s="297" t="s">
        <v>47</v>
      </c>
      <c r="C134" s="30">
        <v>3.85</v>
      </c>
      <c r="D134" s="30">
        <v>2.2200000000000002</v>
      </c>
      <c r="E134" s="30">
        <v>3.66</v>
      </c>
      <c r="F134" s="30">
        <v>1.79</v>
      </c>
      <c r="G134" s="30">
        <v>1.62</v>
      </c>
      <c r="H134" s="30">
        <v>1.1399999999999999</v>
      </c>
      <c r="I134" s="30">
        <v>3.02</v>
      </c>
      <c r="J134" s="30">
        <v>1.72</v>
      </c>
    </row>
  </sheetData>
  <mergeCells count="28">
    <mergeCell ref="C132:D132"/>
    <mergeCell ref="E132:F132"/>
    <mergeCell ref="G132:H132"/>
    <mergeCell ref="I132:J132"/>
    <mergeCell ref="C89:D89"/>
    <mergeCell ref="E89:F89"/>
    <mergeCell ref="G89:H89"/>
    <mergeCell ref="I89:J89"/>
    <mergeCell ref="C112:D112"/>
    <mergeCell ref="E112:F112"/>
    <mergeCell ref="G112:H112"/>
    <mergeCell ref="I112:J112"/>
    <mergeCell ref="C47:D47"/>
    <mergeCell ref="E47:F47"/>
    <mergeCell ref="G47:H47"/>
    <mergeCell ref="I47:J47"/>
    <mergeCell ref="C67:D67"/>
    <mergeCell ref="E67:F67"/>
    <mergeCell ref="G67:H67"/>
    <mergeCell ref="I67:J67"/>
    <mergeCell ref="B2:J2"/>
    <mergeCell ref="B4:B5"/>
    <mergeCell ref="C4:F4"/>
    <mergeCell ref="G4:J4"/>
    <mergeCell ref="C27:D27"/>
    <mergeCell ref="E27:F27"/>
    <mergeCell ref="G27:H27"/>
    <mergeCell ref="I27:J27"/>
  </mergeCells>
  <pageMargins left="0.7" right="0.7" top="0.75" bottom="0.75" header="0.3" footer="0.3"/>
  <pageSetup paperSize="9"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66EC-9575-CF41-917C-75E2960DBD94}">
  <dimension ref="B2:P56"/>
  <sheetViews>
    <sheetView showGridLines="0" zoomScaleNormal="100" zoomScaleSheetLayoutView="100" workbookViewId="0">
      <selection activeCell="AA11" sqref="AA11"/>
    </sheetView>
  </sheetViews>
  <sheetFormatPr defaultColWidth="11.21875" defaultRowHeight="15" x14ac:dyDescent="0.2"/>
  <cols>
    <col min="1" max="1" width="3.328125" customWidth="1"/>
    <col min="10" max="10" width="3.328125" customWidth="1"/>
    <col min="12" max="12" width="20.83984375" customWidth="1"/>
    <col min="17" max="17" width="20.83984375" customWidth="1"/>
  </cols>
  <sheetData>
    <row r="2" spans="2:16" x14ac:dyDescent="0.2">
      <c r="B2" s="385" t="s">
        <v>121</v>
      </c>
      <c r="C2" s="385"/>
      <c r="D2" s="385"/>
      <c r="E2" s="385"/>
      <c r="F2" s="385"/>
      <c r="G2" s="385"/>
      <c r="H2" s="385"/>
      <c r="I2" s="385"/>
    </row>
    <row r="4" spans="2:16" x14ac:dyDescent="0.2">
      <c r="D4" s="422" t="s">
        <v>118</v>
      </c>
      <c r="E4" s="423"/>
      <c r="F4" s="432" t="s">
        <v>30</v>
      </c>
      <c r="G4" s="433"/>
    </row>
    <row r="5" spans="2:16" x14ac:dyDescent="0.2">
      <c r="D5" s="422"/>
      <c r="E5" s="423"/>
      <c r="F5" s="15" t="s">
        <v>28</v>
      </c>
      <c r="G5" s="15" t="s">
        <v>33</v>
      </c>
    </row>
    <row r="6" spans="2:16" x14ac:dyDescent="0.2">
      <c r="D6" s="434" t="s">
        <v>35</v>
      </c>
      <c r="E6" s="435"/>
      <c r="F6" s="62">
        <v>2.11</v>
      </c>
      <c r="G6" s="62">
        <v>1.5</v>
      </c>
    </row>
    <row r="7" spans="2:16" x14ac:dyDescent="0.2">
      <c r="D7" s="436" t="s">
        <v>37</v>
      </c>
      <c r="E7" s="437"/>
      <c r="F7" s="64">
        <v>1.22</v>
      </c>
      <c r="G7" s="64">
        <v>0.8</v>
      </c>
      <c r="O7" s="66"/>
      <c r="P7" s="67"/>
    </row>
    <row r="8" spans="2:16" x14ac:dyDescent="0.2">
      <c r="D8" s="426" t="s">
        <v>40</v>
      </c>
      <c r="E8" s="427"/>
      <c r="F8" s="64">
        <v>0.28999999999999998</v>
      </c>
      <c r="G8" s="64">
        <v>0.47</v>
      </c>
      <c r="O8" s="66"/>
      <c r="P8" s="67"/>
    </row>
    <row r="9" spans="2:16" x14ac:dyDescent="0.2">
      <c r="D9" s="426" t="s">
        <v>42</v>
      </c>
      <c r="E9" s="427"/>
      <c r="F9" s="64">
        <v>0.62</v>
      </c>
      <c r="G9" s="64">
        <v>0.39</v>
      </c>
      <c r="J9" s="63"/>
      <c r="K9" s="63"/>
    </row>
    <row r="10" spans="2:16" x14ac:dyDescent="0.2">
      <c r="D10" s="426" t="s">
        <v>45</v>
      </c>
      <c r="E10" s="427"/>
      <c r="F10" s="64">
        <v>2.73</v>
      </c>
      <c r="G10" s="64">
        <v>2.68</v>
      </c>
      <c r="J10" s="63"/>
      <c r="K10" s="63"/>
    </row>
    <row r="11" spans="2:16" x14ac:dyDescent="0.2">
      <c r="D11" s="428" t="s">
        <v>47</v>
      </c>
      <c r="E11" s="429"/>
      <c r="F11" s="65">
        <v>3.85</v>
      </c>
      <c r="G11" s="65">
        <v>3.04</v>
      </c>
      <c r="J11" s="63"/>
      <c r="K11" s="63"/>
    </row>
    <row r="33" spans="4:7" x14ac:dyDescent="0.2">
      <c r="D33" s="422" t="s">
        <v>120</v>
      </c>
      <c r="E33" s="423"/>
      <c r="F33" s="432" t="s">
        <v>30</v>
      </c>
      <c r="G33" s="433"/>
    </row>
    <row r="34" spans="4:7" x14ac:dyDescent="0.2">
      <c r="D34" s="422"/>
      <c r="E34" s="423"/>
      <c r="F34" s="15" t="s">
        <v>28</v>
      </c>
      <c r="G34" s="15" t="s">
        <v>33</v>
      </c>
    </row>
    <row r="35" spans="4:7" x14ac:dyDescent="0.2">
      <c r="D35" s="430" t="s">
        <v>50</v>
      </c>
      <c r="E35" s="431"/>
      <c r="F35" s="52">
        <v>0.10970000000000001</v>
      </c>
      <c r="G35" s="49">
        <v>3.8999999999999998E-3</v>
      </c>
    </row>
    <row r="36" spans="4:7" x14ac:dyDescent="0.2">
      <c r="D36" s="426" t="s">
        <v>52</v>
      </c>
      <c r="E36" s="427"/>
      <c r="F36" s="53">
        <v>0.22670000000000001</v>
      </c>
      <c r="G36" s="50">
        <v>-6.8999999999999999E-3</v>
      </c>
    </row>
    <row r="37" spans="4:7" x14ac:dyDescent="0.2">
      <c r="D37" s="428" t="s">
        <v>57</v>
      </c>
      <c r="E37" s="429"/>
      <c r="F37" s="54">
        <v>0.108</v>
      </c>
      <c r="G37" s="51">
        <v>1.18E-2</v>
      </c>
    </row>
    <row r="55" spans="4:7" x14ac:dyDescent="0.2">
      <c r="D55" s="422"/>
      <c r="E55" s="423"/>
      <c r="F55" s="15" t="s">
        <v>28</v>
      </c>
      <c r="G55" s="15" t="s">
        <v>33</v>
      </c>
    </row>
    <row r="56" spans="4:7" x14ac:dyDescent="0.2">
      <c r="D56" s="424" t="s">
        <v>119</v>
      </c>
      <c r="E56" s="425"/>
      <c r="F56" s="68">
        <v>45.34</v>
      </c>
      <c r="G56" s="69">
        <v>-5</v>
      </c>
    </row>
  </sheetData>
  <mergeCells count="16">
    <mergeCell ref="B2:I2"/>
    <mergeCell ref="D35:E35"/>
    <mergeCell ref="D36:E36"/>
    <mergeCell ref="D37:E37"/>
    <mergeCell ref="D33:E34"/>
    <mergeCell ref="F33:G33"/>
    <mergeCell ref="D4:E5"/>
    <mergeCell ref="D6:E6"/>
    <mergeCell ref="D7:E7"/>
    <mergeCell ref="D8:E8"/>
    <mergeCell ref="F4:G4"/>
    <mergeCell ref="D55:E55"/>
    <mergeCell ref="D56:E56"/>
    <mergeCell ref="D9:E9"/>
    <mergeCell ref="D10:E10"/>
    <mergeCell ref="D11:E11"/>
  </mergeCells>
  <pageMargins left="0.7" right="0.7" top="0.75" bottom="0.75" header="0.3" footer="0.3"/>
  <pageSetup paperSize="9" scale="88" orientation="portrait" r:id="rId1"/>
  <rowBreaks count="1" manualBreakCount="1">
    <brk id="53" max="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5E37-3DBD-AB41-B179-E7DCE58B6CCF}">
  <dimension ref="B2:I70"/>
  <sheetViews>
    <sheetView showGridLines="0" zoomScale="91" zoomScaleNormal="91" zoomScaleSheetLayoutView="100" workbookViewId="0"/>
  </sheetViews>
  <sheetFormatPr defaultColWidth="10.8515625" defaultRowHeight="14.25" x14ac:dyDescent="0.2"/>
  <cols>
    <col min="1" max="1" width="3.328125" style="30" customWidth="1"/>
    <col min="2" max="2" width="39.828125" style="30" customWidth="1"/>
    <col min="3" max="8" width="13.80859375" style="30" customWidth="1"/>
    <col min="9" max="9" width="3.328125" style="30" customWidth="1"/>
    <col min="10" max="16384" width="10.8515625" style="30"/>
  </cols>
  <sheetData>
    <row r="2" spans="2:9" ht="15" x14ac:dyDescent="0.2">
      <c r="B2" s="420" t="s">
        <v>113</v>
      </c>
      <c r="C2" s="420"/>
      <c r="D2" s="420"/>
      <c r="E2" s="420"/>
      <c r="F2" s="420"/>
      <c r="G2" s="420"/>
      <c r="H2" s="420"/>
    </row>
    <row r="4" spans="2:9" x14ac:dyDescent="0.2">
      <c r="B4" s="442"/>
      <c r="C4" s="441" t="s">
        <v>28</v>
      </c>
      <c r="D4" s="440"/>
      <c r="E4" s="438" t="s">
        <v>29</v>
      </c>
      <c r="F4" s="440"/>
      <c r="G4" s="438" t="s">
        <v>60</v>
      </c>
      <c r="H4" s="439"/>
      <c r="I4" s="31"/>
    </row>
    <row r="5" spans="2:9" x14ac:dyDescent="0.2">
      <c r="B5" s="443"/>
      <c r="C5" s="44" t="s">
        <v>30</v>
      </c>
      <c r="D5" s="15" t="s">
        <v>31</v>
      </c>
      <c r="E5" s="44" t="s">
        <v>30</v>
      </c>
      <c r="F5" s="15" t="s">
        <v>31</v>
      </c>
      <c r="G5" s="44" t="s">
        <v>30</v>
      </c>
      <c r="H5" s="15" t="s">
        <v>31</v>
      </c>
    </row>
    <row r="6" spans="2:9" x14ac:dyDescent="0.2">
      <c r="B6" s="32" t="s">
        <v>61</v>
      </c>
      <c r="C6" s="38"/>
      <c r="D6" s="38"/>
      <c r="E6" s="38"/>
      <c r="F6" s="38"/>
      <c r="G6" s="38"/>
      <c r="H6" s="38"/>
    </row>
    <row r="7" spans="2:9" x14ac:dyDescent="0.2">
      <c r="B7" s="6" t="s">
        <v>62</v>
      </c>
      <c r="C7" s="39">
        <v>40299.65</v>
      </c>
      <c r="D7" s="39">
        <v>25286.84</v>
      </c>
      <c r="E7" s="39">
        <v>154314.81</v>
      </c>
      <c r="F7" s="39">
        <v>129679.59</v>
      </c>
      <c r="G7" s="41"/>
      <c r="H7" s="41"/>
    </row>
    <row r="8" spans="2:9" x14ac:dyDescent="0.2">
      <c r="B8" s="6" t="s">
        <v>63</v>
      </c>
      <c r="C8" s="39">
        <v>2064.86</v>
      </c>
      <c r="D8" s="39">
        <v>2001.92</v>
      </c>
      <c r="E8" s="39">
        <v>59392.68</v>
      </c>
      <c r="F8" s="39">
        <v>7919.91</v>
      </c>
      <c r="G8" s="41"/>
      <c r="H8" s="41"/>
    </row>
    <row r="9" spans="2:9" x14ac:dyDescent="0.2">
      <c r="B9" s="6" t="s">
        <v>64</v>
      </c>
      <c r="C9" s="39">
        <v>38639.480000000003</v>
      </c>
      <c r="D9" s="39">
        <v>26028.71</v>
      </c>
      <c r="E9" s="39">
        <v>72010.490000000005</v>
      </c>
      <c r="F9" s="39">
        <v>91730.28</v>
      </c>
      <c r="G9" s="41"/>
      <c r="H9" s="41"/>
    </row>
    <row r="10" spans="2:9" x14ac:dyDescent="0.2">
      <c r="B10" s="6" t="s">
        <v>65</v>
      </c>
      <c r="C10" s="39">
        <v>351.73</v>
      </c>
      <c r="D10" s="39">
        <v>414.93</v>
      </c>
      <c r="E10" s="39">
        <v>7476.6</v>
      </c>
      <c r="F10" s="39">
        <v>19892.939999999999</v>
      </c>
      <c r="G10" s="41"/>
      <c r="H10" s="41"/>
    </row>
    <row r="11" spans="2:9" x14ac:dyDescent="0.2">
      <c r="B11" s="6" t="s">
        <v>66</v>
      </c>
      <c r="C11" s="39">
        <v>102.54</v>
      </c>
      <c r="D11" s="39">
        <v>91.98</v>
      </c>
      <c r="E11" s="39">
        <v>15749.96</v>
      </c>
      <c r="F11" s="39">
        <v>30267.599999999999</v>
      </c>
      <c r="G11" s="41"/>
      <c r="H11" s="41"/>
    </row>
    <row r="12" spans="2:9" x14ac:dyDescent="0.2">
      <c r="B12" s="6" t="s">
        <v>67</v>
      </c>
      <c r="C12" s="39">
        <v>112.8</v>
      </c>
      <c r="D12" s="39">
        <v>65.430000000000007</v>
      </c>
      <c r="E12" s="39">
        <v>5250</v>
      </c>
      <c r="F12" s="39">
        <v>12000</v>
      </c>
      <c r="G12" s="41"/>
      <c r="H12" s="41"/>
    </row>
    <row r="13" spans="2:9" x14ac:dyDescent="0.2">
      <c r="B13" s="6" t="s">
        <v>68</v>
      </c>
      <c r="C13" s="39">
        <v>585.86</v>
      </c>
      <c r="D13" s="39">
        <v>776.7</v>
      </c>
      <c r="E13" s="39">
        <v>8724.86</v>
      </c>
      <c r="F13" s="39">
        <v>13082.71</v>
      </c>
      <c r="G13" s="41"/>
      <c r="H13" s="41"/>
    </row>
    <row r="14" spans="2:9" x14ac:dyDescent="0.2">
      <c r="B14" s="6" t="s">
        <v>69</v>
      </c>
      <c r="C14" s="39">
        <v>3059.88</v>
      </c>
      <c r="D14" s="39">
        <v>2906.57</v>
      </c>
      <c r="E14" s="39">
        <v>0</v>
      </c>
      <c r="F14" s="39">
        <v>0</v>
      </c>
      <c r="G14" s="41"/>
      <c r="H14" s="41"/>
    </row>
    <row r="15" spans="2:9" x14ac:dyDescent="0.2">
      <c r="B15" s="6" t="s">
        <v>70</v>
      </c>
      <c r="C15" s="39">
        <v>11786.39</v>
      </c>
      <c r="D15" s="39">
        <v>8896.98</v>
      </c>
      <c r="E15" s="39">
        <v>41302.07</v>
      </c>
      <c r="F15" s="39">
        <v>35900.269999999997</v>
      </c>
      <c r="G15" s="41"/>
      <c r="H15" s="41"/>
    </row>
    <row r="16" spans="2:9" x14ac:dyDescent="0.2">
      <c r="B16" s="6" t="s">
        <v>71</v>
      </c>
      <c r="C16" s="39">
        <v>341.3</v>
      </c>
      <c r="D16" s="39">
        <v>336.97</v>
      </c>
      <c r="E16" s="39">
        <v>2022.15</v>
      </c>
      <c r="F16" s="39">
        <v>991.64</v>
      </c>
      <c r="G16" s="41"/>
      <c r="H16" s="41"/>
    </row>
    <row r="17" spans="2:8" x14ac:dyDescent="0.2">
      <c r="B17" s="17" t="s">
        <v>72</v>
      </c>
      <c r="C17" s="40">
        <v>97003.19</v>
      </c>
      <c r="D17" s="40">
        <v>66470.06</v>
      </c>
      <c r="E17" s="40">
        <v>364221.47</v>
      </c>
      <c r="F17" s="40">
        <v>340473.3</v>
      </c>
      <c r="G17" s="40">
        <v>5016.95</v>
      </c>
      <c r="H17" s="40">
        <v>3549.75</v>
      </c>
    </row>
    <row r="18" spans="2:8" x14ac:dyDescent="0.2">
      <c r="B18" s="33"/>
      <c r="C18" s="41"/>
      <c r="D18" s="41"/>
      <c r="E18" s="41"/>
      <c r="F18" s="41"/>
      <c r="G18" s="41"/>
      <c r="H18" s="41"/>
    </row>
    <row r="19" spans="2:8" x14ac:dyDescent="0.2">
      <c r="B19" s="34" t="s">
        <v>73</v>
      </c>
      <c r="C19" s="41"/>
      <c r="D19" s="41"/>
      <c r="E19" s="41"/>
      <c r="F19" s="41"/>
      <c r="G19" s="41"/>
      <c r="H19" s="41"/>
    </row>
    <row r="20" spans="2:8" x14ac:dyDescent="0.2">
      <c r="B20" s="6" t="s">
        <v>74</v>
      </c>
      <c r="C20" s="39">
        <v>97003.19</v>
      </c>
      <c r="D20" s="39">
        <v>66470.06</v>
      </c>
      <c r="E20" s="39">
        <v>364221.47</v>
      </c>
      <c r="F20" s="39">
        <v>340473.3</v>
      </c>
      <c r="G20" s="39">
        <v>5016.95</v>
      </c>
      <c r="H20" s="39">
        <v>3549.75</v>
      </c>
    </row>
    <row r="21" spans="2:8" x14ac:dyDescent="0.2">
      <c r="B21" s="6" t="s">
        <v>75</v>
      </c>
      <c r="C21" s="39">
        <v>-40299.65</v>
      </c>
      <c r="D21" s="39">
        <v>-25286.84</v>
      </c>
      <c r="E21" s="39">
        <v>-154314.81</v>
      </c>
      <c r="F21" s="39">
        <v>-129679.59</v>
      </c>
      <c r="G21" s="39">
        <v>-2729.23</v>
      </c>
      <c r="H21" s="39">
        <v>-1742.93</v>
      </c>
    </row>
    <row r="22" spans="2:8" x14ac:dyDescent="0.2">
      <c r="B22" s="6" t="s">
        <v>76</v>
      </c>
      <c r="C22" s="39">
        <v>-341.3</v>
      </c>
      <c r="D22" s="39">
        <v>-336.97</v>
      </c>
      <c r="E22" s="39">
        <v>-2022.15</v>
      </c>
      <c r="F22" s="39">
        <v>-991.64</v>
      </c>
      <c r="G22" s="39">
        <v>-55.7</v>
      </c>
      <c r="H22" s="39">
        <v>-19.09</v>
      </c>
    </row>
    <row r="23" spans="2:8" x14ac:dyDescent="0.2">
      <c r="B23" s="17" t="s">
        <v>77</v>
      </c>
      <c r="C23" s="40">
        <v>56362.239999999998</v>
      </c>
      <c r="D23" s="40">
        <v>40846.25</v>
      </c>
      <c r="E23" s="40">
        <v>207884.51</v>
      </c>
      <c r="F23" s="40">
        <v>209802.07</v>
      </c>
      <c r="G23" s="40">
        <v>2232.02</v>
      </c>
      <c r="H23" s="40">
        <v>1787.73</v>
      </c>
    </row>
    <row r="24" spans="2:8" x14ac:dyDescent="0.2">
      <c r="B24" s="33"/>
      <c r="C24" s="41"/>
      <c r="D24" s="41"/>
      <c r="E24" s="41"/>
      <c r="F24" s="41"/>
      <c r="G24" s="41"/>
      <c r="H24" s="41"/>
    </row>
    <row r="25" spans="2:8" x14ac:dyDescent="0.2">
      <c r="B25" s="34" t="s">
        <v>78</v>
      </c>
      <c r="C25" s="40">
        <v>46042.43</v>
      </c>
      <c r="D25" s="40">
        <v>29250.44</v>
      </c>
      <c r="E25" s="40">
        <v>265649.24</v>
      </c>
      <c r="F25" s="40">
        <v>229004.25</v>
      </c>
      <c r="G25" s="40">
        <v>5598.99</v>
      </c>
      <c r="H25" s="40">
        <v>3991.38</v>
      </c>
    </row>
    <row r="26" spans="2:8" x14ac:dyDescent="0.2">
      <c r="B26" s="33"/>
      <c r="C26" s="41"/>
      <c r="D26" s="41"/>
      <c r="E26" s="41"/>
      <c r="F26" s="41"/>
      <c r="G26" s="41"/>
      <c r="H26" s="41"/>
    </row>
    <row r="27" spans="2:8" x14ac:dyDescent="0.2">
      <c r="B27" s="34" t="s">
        <v>79</v>
      </c>
      <c r="C27" s="41"/>
      <c r="D27" s="41"/>
      <c r="E27" s="41"/>
      <c r="F27" s="41"/>
      <c r="G27" s="41"/>
      <c r="H27" s="41"/>
    </row>
    <row r="28" spans="2:8" x14ac:dyDescent="0.2">
      <c r="B28" s="6" t="s">
        <v>80</v>
      </c>
      <c r="C28" s="39">
        <v>3681.6</v>
      </c>
      <c r="D28" s="39">
        <v>5928.41</v>
      </c>
      <c r="E28" s="41"/>
      <c r="F28" s="41"/>
      <c r="G28" s="41"/>
      <c r="H28" s="41"/>
    </row>
    <row r="29" spans="2:8" x14ac:dyDescent="0.2">
      <c r="B29" s="6" t="s">
        <v>81</v>
      </c>
      <c r="C29" s="39">
        <v>726.31</v>
      </c>
      <c r="D29" s="39">
        <v>1959.63</v>
      </c>
      <c r="E29" s="41"/>
      <c r="F29" s="41"/>
      <c r="G29" s="41"/>
      <c r="H29" s="41"/>
    </row>
    <row r="30" spans="2:8" x14ac:dyDescent="0.2">
      <c r="B30" s="6" t="s">
        <v>82</v>
      </c>
      <c r="C30" s="39">
        <v>4165.9799999999996</v>
      </c>
      <c r="D30" s="39">
        <v>4609.6099999999997</v>
      </c>
      <c r="E30" s="41"/>
      <c r="F30" s="41"/>
      <c r="G30" s="41"/>
      <c r="H30" s="41"/>
    </row>
    <row r="31" spans="2:8" x14ac:dyDescent="0.2">
      <c r="B31" s="6" t="s">
        <v>83</v>
      </c>
      <c r="C31" s="41"/>
      <c r="D31" s="41"/>
      <c r="E31" s="41"/>
      <c r="F31" s="41"/>
      <c r="G31" s="41"/>
      <c r="H31" s="41"/>
    </row>
    <row r="32" spans="2:8" x14ac:dyDescent="0.2">
      <c r="B32" s="6" t="s">
        <v>84</v>
      </c>
      <c r="C32" s="41"/>
      <c r="D32" s="41"/>
      <c r="E32" s="41"/>
      <c r="F32" s="41"/>
      <c r="G32" s="41"/>
      <c r="H32" s="41"/>
    </row>
    <row r="33" spans="2:8" x14ac:dyDescent="0.2">
      <c r="B33" s="6" t="s">
        <v>85</v>
      </c>
      <c r="C33" s="39">
        <v>1133.58</v>
      </c>
      <c r="D33" s="39">
        <v>518</v>
      </c>
      <c r="E33" s="41"/>
      <c r="F33" s="41"/>
      <c r="G33" s="41"/>
      <c r="H33" s="41"/>
    </row>
    <row r="34" spans="2:8" x14ac:dyDescent="0.2">
      <c r="B34" s="6" t="s">
        <v>86</v>
      </c>
      <c r="C34" s="39">
        <v>17470.11</v>
      </c>
      <c r="D34" s="39">
        <v>5525.39</v>
      </c>
      <c r="E34" s="41"/>
      <c r="F34" s="41"/>
      <c r="G34" s="41"/>
      <c r="H34" s="41"/>
    </row>
    <row r="35" spans="2:8" x14ac:dyDescent="0.2">
      <c r="B35" s="6" t="s">
        <v>87</v>
      </c>
      <c r="C35" s="39">
        <v>394.34</v>
      </c>
      <c r="D35" s="39">
        <v>516.04999999999995</v>
      </c>
      <c r="E35" s="41"/>
      <c r="F35" s="41"/>
      <c r="G35" s="41"/>
      <c r="H35" s="41"/>
    </row>
    <row r="36" spans="2:8" x14ac:dyDescent="0.2">
      <c r="B36" s="17" t="s">
        <v>88</v>
      </c>
      <c r="C36" s="40">
        <v>27571.919999999998</v>
      </c>
      <c r="D36" s="40">
        <v>19057.09</v>
      </c>
      <c r="E36" s="41"/>
      <c r="F36" s="41"/>
      <c r="G36" s="41"/>
      <c r="H36" s="41"/>
    </row>
    <row r="37" spans="2:8" x14ac:dyDescent="0.2">
      <c r="B37" s="33"/>
      <c r="C37" s="41"/>
      <c r="D37" s="41"/>
      <c r="E37" s="41"/>
      <c r="F37" s="41"/>
      <c r="G37" s="41"/>
      <c r="H37" s="41"/>
    </row>
    <row r="38" spans="2:8" x14ac:dyDescent="0.2">
      <c r="B38" s="34" t="s">
        <v>89</v>
      </c>
      <c r="C38" s="40">
        <v>93729.55</v>
      </c>
      <c r="D38" s="40">
        <v>77391.710000000006</v>
      </c>
      <c r="E38" s="40">
        <v>181232.34</v>
      </c>
      <c r="F38" s="40">
        <v>198394.86</v>
      </c>
      <c r="G38" s="40">
        <v>2882.14</v>
      </c>
      <c r="H38" s="40">
        <v>2684.58</v>
      </c>
    </row>
    <row r="39" spans="2:8" x14ac:dyDescent="0.2">
      <c r="B39" s="33"/>
      <c r="C39" s="41"/>
      <c r="D39" s="41"/>
      <c r="E39" s="41"/>
      <c r="F39" s="41"/>
      <c r="G39" s="41"/>
      <c r="H39" s="41"/>
    </row>
    <row r="40" spans="2:8" x14ac:dyDescent="0.2">
      <c r="B40" s="33"/>
      <c r="C40" s="41"/>
      <c r="D40" s="41"/>
      <c r="E40" s="41"/>
      <c r="F40" s="41"/>
      <c r="G40" s="41"/>
      <c r="H40" s="41"/>
    </row>
    <row r="41" spans="2:8" x14ac:dyDescent="0.2">
      <c r="B41" s="34" t="s">
        <v>90</v>
      </c>
      <c r="C41" s="40">
        <v>151548.07999999999</v>
      </c>
      <c r="D41" s="40">
        <v>121679.6</v>
      </c>
      <c r="E41" s="40">
        <v>584542.36</v>
      </c>
      <c r="F41" s="40">
        <v>569062.89</v>
      </c>
      <c r="G41" s="40">
        <v>11601.4</v>
      </c>
      <c r="H41" s="40">
        <v>9640.16</v>
      </c>
    </row>
    <row r="42" spans="2:8" x14ac:dyDescent="0.2">
      <c r="B42" s="33"/>
      <c r="C42" s="41"/>
      <c r="D42" s="41"/>
      <c r="E42" s="41"/>
      <c r="F42" s="41"/>
      <c r="G42" s="41"/>
      <c r="H42" s="41"/>
    </row>
    <row r="43" spans="2:8" x14ac:dyDescent="0.2">
      <c r="B43" s="34" t="s">
        <v>91</v>
      </c>
      <c r="C43" s="41"/>
      <c r="D43" s="41"/>
      <c r="E43" s="41"/>
      <c r="F43" s="41"/>
      <c r="G43" s="41"/>
      <c r="H43" s="41"/>
    </row>
    <row r="44" spans="2:8" x14ac:dyDescent="0.2">
      <c r="B44" s="6" t="s">
        <v>92</v>
      </c>
      <c r="C44" s="39">
        <v>83107.86</v>
      </c>
      <c r="D44" s="39">
        <v>37358.68</v>
      </c>
      <c r="E44" s="39"/>
      <c r="F44" s="39">
        <v>24454.21</v>
      </c>
      <c r="G44" s="39">
        <v>809.76</v>
      </c>
      <c r="H44" s="39">
        <v>419.23</v>
      </c>
    </row>
    <row r="45" spans="2:8" x14ac:dyDescent="0.2">
      <c r="B45" s="6" t="s">
        <v>93</v>
      </c>
      <c r="C45" s="39">
        <v>17365.400000000001</v>
      </c>
      <c r="D45" s="39">
        <v>8560.09</v>
      </c>
      <c r="E45" s="39"/>
      <c r="F45" s="39">
        <v>39683.19</v>
      </c>
      <c r="G45" s="39">
        <v>3730.08</v>
      </c>
      <c r="H45" s="39">
        <v>1508.83</v>
      </c>
    </row>
    <row r="46" spans="2:8" ht="25.5" x14ac:dyDescent="0.2">
      <c r="B46" s="35" t="s">
        <v>94</v>
      </c>
      <c r="C46" s="39">
        <v>-10902.02</v>
      </c>
      <c r="D46" s="39">
        <v>17250.8</v>
      </c>
      <c r="E46" s="39"/>
      <c r="F46" s="39">
        <v>51105.93</v>
      </c>
      <c r="G46" s="39">
        <v>-884.01</v>
      </c>
      <c r="H46" s="39">
        <v>609.55999999999995</v>
      </c>
    </row>
    <row r="47" spans="2:8" x14ac:dyDescent="0.2">
      <c r="B47" s="17" t="s">
        <v>95</v>
      </c>
      <c r="C47" s="40">
        <v>89571.24</v>
      </c>
      <c r="D47" s="40">
        <v>63169.57</v>
      </c>
      <c r="E47" s="40">
        <v>255818.03</v>
      </c>
      <c r="F47" s="40">
        <v>146204.71</v>
      </c>
      <c r="G47" s="40">
        <v>3655.83</v>
      </c>
      <c r="H47" s="40">
        <v>2537.62</v>
      </c>
    </row>
    <row r="48" spans="2:8" x14ac:dyDescent="0.2">
      <c r="B48" s="33"/>
      <c r="C48" s="41"/>
      <c r="D48" s="41"/>
      <c r="E48" s="41"/>
      <c r="F48" s="41"/>
      <c r="G48" s="41"/>
      <c r="H48" s="41"/>
    </row>
    <row r="49" spans="2:8" x14ac:dyDescent="0.2">
      <c r="B49" s="34" t="s">
        <v>96</v>
      </c>
      <c r="C49" s="41"/>
      <c r="D49" s="41"/>
      <c r="E49" s="41"/>
      <c r="F49" s="41"/>
      <c r="G49" s="41"/>
      <c r="H49" s="41"/>
    </row>
    <row r="50" spans="2:8" x14ac:dyDescent="0.2">
      <c r="B50" s="6" t="s">
        <v>97</v>
      </c>
      <c r="C50" s="39">
        <v>25286.84</v>
      </c>
      <c r="D50" s="39">
        <v>42774.93</v>
      </c>
      <c r="E50" s="39">
        <v>129679.59</v>
      </c>
      <c r="F50" s="39">
        <v>129011.25</v>
      </c>
      <c r="G50" s="39">
        <v>1742.93</v>
      </c>
      <c r="H50" s="39">
        <v>2349.4</v>
      </c>
    </row>
    <row r="51" spans="2:8" x14ac:dyDescent="0.2">
      <c r="B51" s="6" t="s">
        <v>98</v>
      </c>
      <c r="C51" s="39">
        <v>40299.65</v>
      </c>
      <c r="D51" s="39">
        <v>25286.84</v>
      </c>
      <c r="E51" s="39">
        <v>154314.81</v>
      </c>
      <c r="F51" s="39">
        <v>129679.59</v>
      </c>
      <c r="G51" s="39">
        <v>2729.23</v>
      </c>
      <c r="H51" s="39">
        <v>1742.93</v>
      </c>
    </row>
    <row r="52" spans="2:8" x14ac:dyDescent="0.2">
      <c r="B52" s="17" t="s">
        <v>99</v>
      </c>
      <c r="C52" s="40">
        <v>32793.25</v>
      </c>
      <c r="D52" s="40">
        <v>34030.89</v>
      </c>
      <c r="E52" s="40">
        <v>141997.20000000001</v>
      </c>
      <c r="F52" s="40">
        <v>129345.42</v>
      </c>
      <c r="G52" s="40">
        <v>2236.08</v>
      </c>
      <c r="H52" s="40">
        <v>2046.17</v>
      </c>
    </row>
    <row r="53" spans="2:8" x14ac:dyDescent="0.2">
      <c r="B53" s="33"/>
      <c r="C53" s="41"/>
      <c r="D53" s="41"/>
      <c r="E53" s="41"/>
      <c r="F53" s="41"/>
      <c r="G53" s="41"/>
      <c r="H53" s="41"/>
    </row>
    <row r="54" spans="2:8" x14ac:dyDescent="0.2">
      <c r="B54" s="34" t="s">
        <v>100</v>
      </c>
      <c r="C54" s="40">
        <v>193752.11</v>
      </c>
      <c r="D54" s="40">
        <v>112821.39</v>
      </c>
      <c r="E54" s="40">
        <v>451376.01</v>
      </c>
      <c r="F54" s="40">
        <v>238109.57</v>
      </c>
      <c r="G54" s="40">
        <v>7918.29</v>
      </c>
      <c r="H54" s="40">
        <v>5253.78</v>
      </c>
    </row>
    <row r="55" spans="2:8" x14ac:dyDescent="0.2">
      <c r="B55" s="33"/>
      <c r="C55" s="41"/>
      <c r="D55" s="41"/>
      <c r="E55" s="41"/>
      <c r="F55" s="41"/>
      <c r="G55" s="41"/>
      <c r="H55" s="41"/>
    </row>
    <row r="56" spans="2:8" x14ac:dyDescent="0.2">
      <c r="B56" s="34" t="s">
        <v>101</v>
      </c>
      <c r="C56" s="41"/>
      <c r="D56" s="41"/>
      <c r="E56" s="41"/>
      <c r="F56" s="41"/>
      <c r="G56" s="41"/>
      <c r="H56" s="41"/>
    </row>
    <row r="57" spans="2:8" x14ac:dyDescent="0.2">
      <c r="B57" s="6" t="s">
        <v>102</v>
      </c>
      <c r="C57" s="39">
        <v>47277.66</v>
      </c>
      <c r="D57" s="39">
        <v>44747.26</v>
      </c>
      <c r="E57" s="39">
        <v>116626.73</v>
      </c>
      <c r="F57" s="39">
        <v>126366.09</v>
      </c>
      <c r="G57" s="39">
        <v>569.20000000000005</v>
      </c>
      <c r="H57" s="39">
        <v>534.5</v>
      </c>
    </row>
    <row r="58" spans="2:8" x14ac:dyDescent="0.2">
      <c r="B58" s="6" t="s">
        <v>103</v>
      </c>
      <c r="C58" s="39">
        <v>237.69</v>
      </c>
      <c r="D58" s="39">
        <v>273.12</v>
      </c>
      <c r="E58" s="39">
        <v>997.42</v>
      </c>
      <c r="F58" s="39">
        <v>1282.4000000000001</v>
      </c>
      <c r="G58" s="39">
        <v>61.04</v>
      </c>
      <c r="H58" s="39">
        <v>34.64</v>
      </c>
    </row>
    <row r="59" spans="2:8" x14ac:dyDescent="0.2">
      <c r="B59" s="6" t="s">
        <v>104</v>
      </c>
      <c r="C59" s="39">
        <v>1495.96</v>
      </c>
      <c r="D59" s="39">
        <v>1717.9</v>
      </c>
      <c r="E59" s="39">
        <v>420.59</v>
      </c>
      <c r="F59" s="39">
        <v>439.83</v>
      </c>
      <c r="G59" s="41"/>
      <c r="H59" s="41"/>
    </row>
    <row r="60" spans="2:8" x14ac:dyDescent="0.2">
      <c r="B60" s="6" t="s">
        <v>105</v>
      </c>
      <c r="C60" s="39">
        <v>0</v>
      </c>
      <c r="D60" s="39">
        <v>0</v>
      </c>
      <c r="E60" s="41"/>
      <c r="F60" s="41"/>
      <c r="G60" s="39">
        <v>1859.6</v>
      </c>
      <c r="H60" s="39">
        <v>1859.6</v>
      </c>
    </row>
    <row r="61" spans="2:8" x14ac:dyDescent="0.2">
      <c r="B61" s="6" t="s">
        <v>106</v>
      </c>
      <c r="C61" s="39">
        <v>51.52</v>
      </c>
      <c r="D61" s="39">
        <v>84.08</v>
      </c>
      <c r="E61" s="39">
        <v>478.45</v>
      </c>
      <c r="F61" s="39">
        <v>537.82000000000005</v>
      </c>
      <c r="G61" s="39">
        <v>43.78</v>
      </c>
      <c r="H61" s="39">
        <v>45.33</v>
      </c>
    </row>
    <row r="62" spans="2:8" x14ac:dyDescent="0.2">
      <c r="B62" s="6" t="s">
        <v>107</v>
      </c>
      <c r="C62" s="39">
        <v>957.84</v>
      </c>
      <c r="D62" s="39">
        <v>2106.5700000000002</v>
      </c>
      <c r="E62" s="41"/>
      <c r="F62" s="41"/>
      <c r="G62" s="39">
        <v>2278.9</v>
      </c>
      <c r="H62" s="39">
        <v>2066.89</v>
      </c>
    </row>
    <row r="63" spans="2:8" x14ac:dyDescent="0.2">
      <c r="B63" s="6" t="s">
        <v>108</v>
      </c>
      <c r="C63" s="39">
        <v>314.42</v>
      </c>
      <c r="D63" s="39">
        <v>1819.34</v>
      </c>
      <c r="E63" s="39">
        <v>4652.67</v>
      </c>
      <c r="F63" s="39">
        <v>4573.05</v>
      </c>
      <c r="G63" s="39">
        <v>87.05</v>
      </c>
      <c r="H63" s="39">
        <v>64.97</v>
      </c>
    </row>
    <row r="64" spans="2:8" x14ac:dyDescent="0.2">
      <c r="B64" s="17" t="s">
        <v>109</v>
      </c>
      <c r="C64" s="40">
        <v>50335.09</v>
      </c>
      <c r="D64" s="40">
        <v>50748.27</v>
      </c>
      <c r="E64" s="40">
        <v>123175.86</v>
      </c>
      <c r="F64" s="40">
        <v>133199.19</v>
      </c>
      <c r="G64" s="40">
        <v>4899.57</v>
      </c>
      <c r="H64" s="40">
        <v>4605.93</v>
      </c>
    </row>
    <row r="65" spans="2:8" x14ac:dyDescent="0.2">
      <c r="B65" s="33"/>
      <c r="C65" s="41"/>
      <c r="D65" s="41"/>
      <c r="E65" s="41"/>
      <c r="F65" s="41"/>
      <c r="G65" s="41"/>
      <c r="H65" s="41"/>
    </row>
    <row r="66" spans="2:8" ht="28.9" customHeight="1" x14ac:dyDescent="0.2">
      <c r="B66" s="36" t="s">
        <v>110</v>
      </c>
      <c r="C66" s="40">
        <v>21251.63</v>
      </c>
      <c r="D66" s="40">
        <v>534</v>
      </c>
      <c r="E66" s="40">
        <v>-39592.239999999998</v>
      </c>
      <c r="F66" s="40">
        <v>-27652.79</v>
      </c>
      <c r="G66" s="40">
        <v>-80.7</v>
      </c>
      <c r="H66" s="40">
        <v>-649.64</v>
      </c>
    </row>
    <row r="67" spans="2:8" x14ac:dyDescent="0.2">
      <c r="B67" s="33"/>
      <c r="C67" s="41"/>
      <c r="D67" s="41"/>
      <c r="E67" s="41"/>
      <c r="F67" s="41"/>
      <c r="G67" s="41"/>
      <c r="H67" s="41"/>
    </row>
    <row r="68" spans="2:8" x14ac:dyDescent="0.2">
      <c r="B68" s="34" t="s">
        <v>111</v>
      </c>
      <c r="C68" s="42">
        <v>46870080</v>
      </c>
      <c r="D68" s="42">
        <v>46870080</v>
      </c>
      <c r="E68" s="42">
        <v>66573731</v>
      </c>
      <c r="F68" s="42">
        <v>66573731</v>
      </c>
      <c r="G68" s="42">
        <v>1000000000</v>
      </c>
      <c r="H68" s="42">
        <v>1000000000</v>
      </c>
    </row>
    <row r="69" spans="2:8" x14ac:dyDescent="0.2">
      <c r="B69" s="33"/>
      <c r="C69" s="41"/>
      <c r="D69" s="41"/>
      <c r="E69" s="41"/>
      <c r="F69" s="41"/>
      <c r="G69" s="41"/>
      <c r="H69" s="41"/>
    </row>
    <row r="70" spans="2:8" x14ac:dyDescent="0.2">
      <c r="B70" s="37" t="s">
        <v>112</v>
      </c>
      <c r="C70" s="43">
        <v>419.8</v>
      </c>
      <c r="D70" s="43">
        <v>186.2</v>
      </c>
      <c r="E70" s="43">
        <v>854.75</v>
      </c>
      <c r="F70" s="43">
        <v>361.7</v>
      </c>
      <c r="G70" s="43">
        <v>302</v>
      </c>
      <c r="H70" s="43">
        <v>201.25</v>
      </c>
    </row>
  </sheetData>
  <mergeCells count="5">
    <mergeCell ref="G4:H4"/>
    <mergeCell ref="E4:F4"/>
    <mergeCell ref="C4:D4"/>
    <mergeCell ref="B2:H2"/>
    <mergeCell ref="B4:B5"/>
  </mergeCells>
  <pageMargins left="0.7" right="0.7" top="0.75" bottom="0.75" header="0.3" footer="0.3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605B-73C7-6B47-8722-0696274C9781}">
  <dimension ref="B2:I40"/>
  <sheetViews>
    <sheetView showGridLines="0" zoomScaleNormal="100" zoomScaleSheetLayoutView="100" workbookViewId="0"/>
  </sheetViews>
  <sheetFormatPr defaultColWidth="11.21875" defaultRowHeight="15" x14ac:dyDescent="0.2"/>
  <cols>
    <col min="1" max="1" width="9.98828125" customWidth="1"/>
  </cols>
  <sheetData>
    <row r="2" spans="2:9" x14ac:dyDescent="0.2">
      <c r="B2" s="385" t="s">
        <v>486</v>
      </c>
      <c r="C2" s="385"/>
      <c r="D2" s="385"/>
      <c r="E2" s="385"/>
      <c r="F2" s="385"/>
      <c r="G2" s="385"/>
      <c r="H2" s="385"/>
    </row>
    <row r="3" spans="2:9" x14ac:dyDescent="0.2">
      <c r="B3" s="385" t="s">
        <v>407</v>
      </c>
      <c r="C3" s="385"/>
      <c r="D3" s="385"/>
      <c r="E3" s="385"/>
      <c r="F3" s="385"/>
      <c r="G3" s="385"/>
      <c r="H3" s="385"/>
      <c r="I3" s="56"/>
    </row>
    <row r="40" spans="5:8" x14ac:dyDescent="0.2">
      <c r="E40" s="444" t="s">
        <v>280</v>
      </c>
      <c r="F40" s="444"/>
      <c r="G40" s="444"/>
      <c r="H40" s="444"/>
    </row>
  </sheetData>
  <mergeCells count="3">
    <mergeCell ref="E40:H40"/>
    <mergeCell ref="B2:H2"/>
    <mergeCell ref="B3:H3"/>
  </mergeCells>
  <pageMargins left="0.7" right="0.7" top="0.75" bottom="0.75" header="0.3" footer="0.3"/>
  <pageSetup paperSize="9" scale="8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792F-9F34-DA44-8961-AB2711837F64}">
  <dimension ref="B2:M13"/>
  <sheetViews>
    <sheetView showGridLines="0" zoomScaleNormal="100" zoomScaleSheetLayoutView="100" workbookViewId="0">
      <selection activeCell="AA11" sqref="AA11"/>
    </sheetView>
  </sheetViews>
  <sheetFormatPr defaultColWidth="11.21875" defaultRowHeight="15" x14ac:dyDescent="0.2"/>
  <cols>
    <col min="1" max="1" width="1.72265625" customWidth="1"/>
    <col min="2" max="2" width="10.97265625" customWidth="1"/>
    <col min="3" max="3" width="10.8515625" customWidth="1"/>
    <col min="4" max="4" width="21.82421875" customWidth="1"/>
    <col min="5" max="5" width="25.76953125" customWidth="1"/>
    <col min="6" max="6" width="10.48046875" customWidth="1"/>
    <col min="8" max="8" width="1.23046875" customWidth="1"/>
  </cols>
  <sheetData>
    <row r="2" spans="2:13" ht="15.75" thickBot="1" x14ac:dyDescent="0.25"/>
    <row r="3" spans="2:13" ht="16.149999999999999" customHeight="1" x14ac:dyDescent="0.2">
      <c r="B3" s="445" t="s">
        <v>270</v>
      </c>
      <c r="C3" s="446"/>
      <c r="D3" s="446"/>
      <c r="E3" s="446"/>
      <c r="F3" s="446"/>
      <c r="G3" s="447"/>
      <c r="H3" s="181"/>
      <c r="I3" s="181"/>
      <c r="J3" s="181"/>
      <c r="K3" s="181"/>
      <c r="L3" s="181"/>
      <c r="M3" s="181"/>
    </row>
    <row r="4" spans="2:13" ht="16.899999999999999" customHeight="1" thickBot="1" x14ac:dyDescent="0.25">
      <c r="B4" s="448"/>
      <c r="C4" s="449"/>
      <c r="D4" s="449"/>
      <c r="E4" s="449"/>
      <c r="F4" s="449"/>
      <c r="G4" s="450"/>
      <c r="H4" s="181"/>
      <c r="I4" s="181"/>
      <c r="J4" s="181"/>
      <c r="K4" s="181"/>
      <c r="L4" s="181"/>
      <c r="M4" s="181"/>
    </row>
    <row r="5" spans="2:13" ht="16.899999999999999" customHeight="1" x14ac:dyDescent="0.2">
      <c r="B5" s="182"/>
      <c r="C5" s="182"/>
      <c r="D5" s="182"/>
      <c r="E5" s="182"/>
      <c r="F5" s="182"/>
      <c r="G5" s="182"/>
      <c r="H5" s="181"/>
      <c r="I5" s="181"/>
      <c r="J5" s="181"/>
      <c r="K5" s="181"/>
      <c r="L5" s="181"/>
      <c r="M5" s="181"/>
    </row>
    <row r="6" spans="2:13" x14ac:dyDescent="0.2">
      <c r="D6" s="190" t="s">
        <v>272</v>
      </c>
      <c r="E6" s="209" t="s">
        <v>408</v>
      </c>
    </row>
    <row r="7" spans="2:13" x14ac:dyDescent="0.2">
      <c r="D7" s="195" t="s">
        <v>274</v>
      </c>
      <c r="E7" s="210">
        <v>2165</v>
      </c>
    </row>
    <row r="8" spans="2:13" x14ac:dyDescent="0.2">
      <c r="D8" s="195" t="s">
        <v>275</v>
      </c>
      <c r="E8" s="210">
        <v>2842</v>
      </c>
    </row>
    <row r="9" spans="2:13" x14ac:dyDescent="0.2">
      <c r="D9" s="195" t="s">
        <v>276</v>
      </c>
      <c r="E9" s="210">
        <v>8349</v>
      </c>
    </row>
    <row r="10" spans="2:13" x14ac:dyDescent="0.2">
      <c r="D10" s="195" t="s">
        <v>133</v>
      </c>
      <c r="E10" s="210">
        <v>53962</v>
      </c>
    </row>
    <row r="11" spans="2:13" x14ac:dyDescent="0.2">
      <c r="D11" s="195" t="s">
        <v>277</v>
      </c>
      <c r="E11" s="210">
        <v>20307</v>
      </c>
    </row>
    <row r="12" spans="2:13" x14ac:dyDescent="0.2">
      <c r="D12" s="195" t="s">
        <v>278</v>
      </c>
      <c r="E12" s="210">
        <v>389</v>
      </c>
    </row>
    <row r="13" spans="2:13" x14ac:dyDescent="0.2">
      <c r="D13" s="211" t="s">
        <v>29</v>
      </c>
      <c r="E13" s="212">
        <v>6734</v>
      </c>
    </row>
  </sheetData>
  <mergeCells count="1">
    <mergeCell ref="B3:G4"/>
  </mergeCells>
  <pageMargins left="0.7" right="0.7" top="0.75" bottom="0.75" header="0.3" footer="0.3"/>
  <pageSetup paperSize="9" scale="8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CD4B-AA3B-5E40-9BDA-E06E66FADA54}">
  <dimension ref="A1:M108"/>
  <sheetViews>
    <sheetView showGridLines="0" zoomScale="75" zoomScaleNormal="75" zoomScaleSheetLayoutView="100" workbookViewId="0">
      <selection sqref="A1:D1"/>
    </sheetView>
  </sheetViews>
  <sheetFormatPr defaultColWidth="8.75390625" defaultRowHeight="15" x14ac:dyDescent="0.2"/>
  <cols>
    <col min="1" max="1" width="35.7578125" style="88" customWidth="1"/>
    <col min="2" max="4" width="15.66015625" style="88" customWidth="1"/>
    <col min="5" max="5" width="10.234375" style="88" customWidth="1"/>
    <col min="6" max="9" width="8.75390625" style="88" customWidth="1"/>
    <col min="10" max="16384" width="8.75390625" style="88"/>
  </cols>
  <sheetData>
    <row r="1" spans="1:13" x14ac:dyDescent="0.2">
      <c r="A1" s="385" t="s">
        <v>409</v>
      </c>
      <c r="B1" s="385"/>
      <c r="C1" s="385"/>
      <c r="D1" s="385"/>
      <c r="E1" s="56"/>
      <c r="F1" s="56"/>
      <c r="G1" s="56"/>
    </row>
    <row r="3" spans="1:13" ht="15" customHeight="1" x14ac:dyDescent="0.2">
      <c r="A3" s="457" t="s">
        <v>279</v>
      </c>
      <c r="B3" s="458"/>
      <c r="C3" s="458"/>
      <c r="D3" s="459"/>
      <c r="E3" s="183"/>
      <c r="F3" s="183"/>
      <c r="G3" s="183"/>
      <c r="H3" s="183"/>
      <c r="I3" s="183"/>
      <c r="J3" s="154"/>
      <c r="K3" s="154"/>
      <c r="L3" s="154"/>
      <c r="M3" s="154"/>
    </row>
    <row r="4" spans="1:13" ht="15" customHeight="1" x14ac:dyDescent="0.2">
      <c r="A4" s="460"/>
      <c r="B4" s="461"/>
      <c r="C4" s="461"/>
      <c r="D4" s="462"/>
      <c r="E4" s="183"/>
      <c r="F4" s="183"/>
      <c r="G4" s="183"/>
      <c r="H4" s="183"/>
      <c r="I4" s="183"/>
    </row>
    <row r="5" spans="1:13" x14ac:dyDescent="0.2">
      <c r="A5" s="190" t="s">
        <v>281</v>
      </c>
      <c r="B5" s="191">
        <v>44621</v>
      </c>
      <c r="C5" s="191">
        <v>44256</v>
      </c>
      <c r="D5" s="191">
        <v>43891</v>
      </c>
    </row>
    <row r="6" spans="1:13" x14ac:dyDescent="0.2">
      <c r="A6" s="192" t="s">
        <v>282</v>
      </c>
      <c r="B6" s="193"/>
      <c r="C6" s="193"/>
      <c r="D6" s="199"/>
    </row>
    <row r="7" spans="1:13" x14ac:dyDescent="0.2">
      <c r="A7" s="192" t="s">
        <v>283</v>
      </c>
      <c r="B7" s="193"/>
      <c r="C7" s="193"/>
      <c r="D7" s="199"/>
    </row>
    <row r="8" spans="1:13" x14ac:dyDescent="0.2">
      <c r="A8" s="193" t="s">
        <v>284</v>
      </c>
      <c r="B8" s="199">
        <v>462.53</v>
      </c>
      <c r="C8" s="199">
        <v>481.33</v>
      </c>
      <c r="D8" s="199">
        <v>510.48</v>
      </c>
    </row>
    <row r="9" spans="1:13" x14ac:dyDescent="0.2">
      <c r="A9" s="193" t="s">
        <v>285</v>
      </c>
      <c r="B9" s="199">
        <v>0.13</v>
      </c>
      <c r="C9" s="199">
        <v>0.8</v>
      </c>
      <c r="D9" s="199">
        <v>1.23</v>
      </c>
    </row>
    <row r="10" spans="1:13" x14ac:dyDescent="0.2">
      <c r="A10" s="193" t="s">
        <v>286</v>
      </c>
      <c r="B10" s="199">
        <v>0.33</v>
      </c>
      <c r="C10" s="199">
        <v>3.17</v>
      </c>
      <c r="D10" s="199">
        <v>6.06</v>
      </c>
    </row>
    <row r="11" spans="1:13" ht="14.65" customHeight="1" x14ac:dyDescent="0.2">
      <c r="A11" s="193" t="s">
        <v>287</v>
      </c>
      <c r="B11" s="199">
        <v>3.45</v>
      </c>
      <c r="C11" s="199">
        <v>3.52</v>
      </c>
      <c r="D11" s="199">
        <v>3.59</v>
      </c>
    </row>
    <row r="12" spans="1:13" ht="14.65" customHeight="1" x14ac:dyDescent="0.2">
      <c r="A12" s="193" t="s">
        <v>106</v>
      </c>
      <c r="B12" s="199">
        <v>0.14000000000000001</v>
      </c>
      <c r="C12" s="199">
        <v>0.22</v>
      </c>
      <c r="D12" s="199">
        <v>0.66</v>
      </c>
    </row>
    <row r="13" spans="1:13" x14ac:dyDescent="0.2">
      <c r="A13" s="193" t="s">
        <v>289</v>
      </c>
      <c r="B13" s="199">
        <v>0.33</v>
      </c>
      <c r="C13" s="199"/>
      <c r="D13" s="199"/>
    </row>
    <row r="14" spans="1:13" x14ac:dyDescent="0.2">
      <c r="A14" s="193" t="s">
        <v>293</v>
      </c>
      <c r="B14" s="199"/>
      <c r="C14" s="199"/>
      <c r="D14" s="199"/>
    </row>
    <row r="15" spans="1:13" x14ac:dyDescent="0.2">
      <c r="A15" s="194" t="s">
        <v>295</v>
      </c>
      <c r="B15" s="199">
        <v>366.3</v>
      </c>
      <c r="C15" s="199">
        <v>472.67</v>
      </c>
      <c r="D15" s="199">
        <v>376.43</v>
      </c>
    </row>
    <row r="16" spans="1:13" x14ac:dyDescent="0.2">
      <c r="A16" s="194" t="s">
        <v>297</v>
      </c>
      <c r="B16" s="199"/>
      <c r="C16" s="199">
        <v>3.66</v>
      </c>
      <c r="D16" s="199">
        <v>5.74</v>
      </c>
    </row>
    <row r="17" spans="1:4" x14ac:dyDescent="0.2">
      <c r="A17" s="194" t="s">
        <v>299</v>
      </c>
      <c r="B17" s="199">
        <v>22.77</v>
      </c>
      <c r="C17" s="199">
        <v>2.41</v>
      </c>
      <c r="D17" s="199">
        <v>0.01</v>
      </c>
    </row>
    <row r="18" spans="1:4" x14ac:dyDescent="0.2">
      <c r="A18" s="195" t="s">
        <v>300</v>
      </c>
      <c r="B18" s="199">
        <v>643.05999999999995</v>
      </c>
      <c r="C18" s="199">
        <v>567.98</v>
      </c>
      <c r="D18" s="199">
        <v>532.1</v>
      </c>
    </row>
    <row r="19" spans="1:4" x14ac:dyDescent="0.2">
      <c r="A19" s="195" t="s">
        <v>302</v>
      </c>
      <c r="B19" s="199">
        <v>110.8</v>
      </c>
      <c r="C19" s="199">
        <v>115.36</v>
      </c>
      <c r="D19" s="199">
        <v>55.2</v>
      </c>
    </row>
    <row r="20" spans="1:4" x14ac:dyDescent="0.2">
      <c r="A20" s="196" t="s">
        <v>304</v>
      </c>
      <c r="B20" s="196">
        <v>1609.54</v>
      </c>
      <c r="C20" s="196">
        <v>1651.12</v>
      </c>
      <c r="D20" s="196">
        <v>1491.5</v>
      </c>
    </row>
    <row r="21" spans="1:4" x14ac:dyDescent="0.2">
      <c r="A21" s="193"/>
      <c r="B21" s="199"/>
      <c r="C21" s="199"/>
      <c r="D21" s="199"/>
    </row>
    <row r="22" spans="1:4" x14ac:dyDescent="0.2">
      <c r="A22" s="197" t="s">
        <v>307</v>
      </c>
      <c r="B22" s="199"/>
      <c r="C22" s="199"/>
      <c r="D22" s="199"/>
    </row>
    <row r="23" spans="1:4" x14ac:dyDescent="0.2">
      <c r="A23" s="193" t="s">
        <v>62</v>
      </c>
      <c r="B23" s="199">
        <v>1814.53</v>
      </c>
      <c r="C23" s="199">
        <v>2043.14</v>
      </c>
      <c r="D23" s="199">
        <v>2423.77</v>
      </c>
    </row>
    <row r="24" spans="1:4" x14ac:dyDescent="0.2">
      <c r="A24" s="193" t="s">
        <v>293</v>
      </c>
      <c r="B24" s="199"/>
      <c r="C24" s="199"/>
      <c r="D24" s="199"/>
    </row>
    <row r="25" spans="1:4" x14ac:dyDescent="0.2">
      <c r="A25" s="194" t="s">
        <v>313</v>
      </c>
      <c r="B25" s="199">
        <v>294.89999999999998</v>
      </c>
      <c r="C25" s="199">
        <v>656.37</v>
      </c>
      <c r="D25" s="199">
        <v>728.74</v>
      </c>
    </row>
    <row r="26" spans="1:4" x14ac:dyDescent="0.2">
      <c r="A26" s="194" t="s">
        <v>316</v>
      </c>
      <c r="B26" s="199">
        <v>414.86</v>
      </c>
      <c r="C26" s="199">
        <v>141.88</v>
      </c>
      <c r="D26" s="199">
        <v>1.36</v>
      </c>
    </row>
    <row r="27" spans="1:4" x14ac:dyDescent="0.2">
      <c r="A27" s="194" t="s">
        <v>319</v>
      </c>
      <c r="B27" s="199">
        <v>52.14</v>
      </c>
      <c r="C27" s="199">
        <v>95.22</v>
      </c>
      <c r="D27" s="199">
        <v>44.17</v>
      </c>
    </row>
    <row r="28" spans="1:4" x14ac:dyDescent="0.2">
      <c r="A28" s="194" t="s">
        <v>320</v>
      </c>
      <c r="B28" s="199">
        <v>0.05</v>
      </c>
      <c r="C28" s="199">
        <v>0.52</v>
      </c>
      <c r="D28" s="199">
        <v>0.47</v>
      </c>
    </row>
    <row r="29" spans="1:4" x14ac:dyDescent="0.2">
      <c r="A29" s="194" t="s">
        <v>322</v>
      </c>
      <c r="B29" s="199">
        <v>4.13</v>
      </c>
      <c r="C29" s="199">
        <v>0.7</v>
      </c>
      <c r="D29" s="199">
        <v>3.92</v>
      </c>
    </row>
    <row r="30" spans="1:4" x14ac:dyDescent="0.2">
      <c r="A30" s="193" t="s">
        <v>325</v>
      </c>
      <c r="B30" s="199">
        <v>38.450000000000003</v>
      </c>
      <c r="C30" s="199">
        <v>42.2</v>
      </c>
      <c r="D30" s="199">
        <v>116.28</v>
      </c>
    </row>
    <row r="31" spans="1:4" x14ac:dyDescent="0.2">
      <c r="A31" s="196" t="s">
        <v>74</v>
      </c>
      <c r="B31" s="196">
        <v>2619.06</v>
      </c>
      <c r="C31" s="196">
        <v>2985.03</v>
      </c>
      <c r="D31" s="196">
        <v>3318.21</v>
      </c>
    </row>
    <row r="32" spans="1:4" x14ac:dyDescent="0.2">
      <c r="A32" s="196" t="s">
        <v>328</v>
      </c>
      <c r="B32" s="196">
        <v>4228.6000000000004</v>
      </c>
      <c r="C32" s="196">
        <v>4636.1499999999996</v>
      </c>
      <c r="D32" s="196">
        <v>4809.71</v>
      </c>
    </row>
    <row r="33" spans="1:4" x14ac:dyDescent="0.2">
      <c r="A33" s="193"/>
      <c r="B33" s="199"/>
      <c r="C33" s="199"/>
      <c r="D33" s="199"/>
    </row>
    <row r="34" spans="1:4" x14ac:dyDescent="0.2">
      <c r="A34" s="192" t="s">
        <v>332</v>
      </c>
      <c r="B34" s="199"/>
      <c r="C34" s="199"/>
      <c r="D34" s="199"/>
    </row>
    <row r="35" spans="1:4" x14ac:dyDescent="0.2">
      <c r="A35" s="192" t="s">
        <v>333</v>
      </c>
      <c r="B35" s="199"/>
      <c r="C35" s="199"/>
      <c r="D35" s="199"/>
    </row>
    <row r="36" spans="1:4" x14ac:dyDescent="0.2">
      <c r="A36" s="193" t="s">
        <v>335</v>
      </c>
      <c r="B36" s="199">
        <v>41.31</v>
      </c>
      <c r="C36" s="199" t="s">
        <v>336</v>
      </c>
      <c r="D36" s="199">
        <v>41.31</v>
      </c>
    </row>
    <row r="37" spans="1:4" x14ac:dyDescent="0.2">
      <c r="A37" s="193" t="s">
        <v>338</v>
      </c>
      <c r="B37" s="199">
        <v>-799.75</v>
      </c>
      <c r="C37" s="199">
        <v>-237.43</v>
      </c>
      <c r="D37" s="199">
        <v>17.850000000000001</v>
      </c>
    </row>
    <row r="38" spans="1:4" x14ac:dyDescent="0.2">
      <c r="A38" s="196" t="s">
        <v>341</v>
      </c>
      <c r="B38" s="199">
        <v>-758.71</v>
      </c>
      <c r="C38" s="199">
        <v>-195.95</v>
      </c>
      <c r="D38" s="199">
        <v>59.56</v>
      </c>
    </row>
    <row r="39" spans="1:4" x14ac:dyDescent="0.2">
      <c r="A39" s="193"/>
      <c r="B39" s="199"/>
      <c r="C39" s="199"/>
      <c r="D39" s="199"/>
    </row>
    <row r="40" spans="1:4" x14ac:dyDescent="0.2">
      <c r="A40" s="192" t="s">
        <v>342</v>
      </c>
      <c r="B40" s="199"/>
      <c r="C40" s="199"/>
      <c r="D40" s="199"/>
    </row>
    <row r="41" spans="1:4" x14ac:dyDescent="0.2">
      <c r="A41" s="192" t="s">
        <v>343</v>
      </c>
      <c r="B41" s="199"/>
      <c r="C41" s="199"/>
      <c r="D41" s="199"/>
    </row>
    <row r="42" spans="1:4" x14ac:dyDescent="0.2">
      <c r="A42" s="193" t="s">
        <v>344</v>
      </c>
      <c r="B42" s="199"/>
      <c r="C42" s="199"/>
      <c r="D42" s="199"/>
    </row>
    <row r="43" spans="1:4" x14ac:dyDescent="0.2">
      <c r="A43" s="194" t="s">
        <v>345</v>
      </c>
      <c r="B43" s="199">
        <v>3149.63</v>
      </c>
      <c r="C43" s="199">
        <v>2500.7199999999998</v>
      </c>
      <c r="D43" s="199">
        <v>3336.59</v>
      </c>
    </row>
    <row r="44" spans="1:4" x14ac:dyDescent="0.2">
      <c r="A44" s="194" t="s">
        <v>346</v>
      </c>
      <c r="B44" s="199">
        <v>11.32</v>
      </c>
      <c r="C44" s="199">
        <v>7.67</v>
      </c>
      <c r="D44" s="199">
        <v>9.5500000000000007</v>
      </c>
    </row>
    <row r="45" spans="1:4" x14ac:dyDescent="0.2">
      <c r="A45" s="195" t="s">
        <v>167</v>
      </c>
      <c r="B45" s="199">
        <v>11.97</v>
      </c>
      <c r="C45" s="193">
        <v>13.39</v>
      </c>
      <c r="D45" s="199">
        <v>14.48</v>
      </c>
    </row>
    <row r="46" spans="1:4" x14ac:dyDescent="0.2">
      <c r="A46" s="196" t="s">
        <v>347</v>
      </c>
      <c r="B46" s="196">
        <v>3172.92</v>
      </c>
      <c r="C46" s="196">
        <v>2521.7800000000002</v>
      </c>
      <c r="D46" s="196">
        <v>3360.62</v>
      </c>
    </row>
    <row r="47" spans="1:4" x14ac:dyDescent="0.2">
      <c r="A47" s="193"/>
      <c r="B47" s="199"/>
      <c r="C47" s="199"/>
      <c r="D47" s="199"/>
    </row>
    <row r="48" spans="1:4" x14ac:dyDescent="0.2">
      <c r="A48" s="192" t="s">
        <v>348</v>
      </c>
      <c r="B48" s="199"/>
      <c r="C48" s="199"/>
      <c r="D48" s="199"/>
    </row>
    <row r="49" spans="1:6" x14ac:dyDescent="0.2">
      <c r="A49" s="193" t="s">
        <v>349</v>
      </c>
      <c r="B49" s="199"/>
      <c r="C49" s="199"/>
      <c r="D49" s="199"/>
    </row>
    <row r="50" spans="1:6" x14ac:dyDescent="0.2">
      <c r="A50" s="194" t="s">
        <v>345</v>
      </c>
      <c r="B50" s="199">
        <v>1292.1199999999999</v>
      </c>
      <c r="C50" s="199">
        <v>839.05</v>
      </c>
      <c r="D50" s="199">
        <v>784.08</v>
      </c>
    </row>
    <row r="51" spans="1:6" x14ac:dyDescent="0.2">
      <c r="A51" s="194" t="s">
        <v>350</v>
      </c>
      <c r="B51" s="199"/>
      <c r="C51" s="199">
        <v>2.58</v>
      </c>
      <c r="D51" s="199">
        <v>2.4500000000000002</v>
      </c>
    </row>
    <row r="52" spans="1:6" x14ac:dyDescent="0.2">
      <c r="A52" s="194" t="s">
        <v>352</v>
      </c>
      <c r="B52" s="199">
        <v>335.29</v>
      </c>
      <c r="C52" s="199">
        <v>384.55</v>
      </c>
      <c r="D52" s="199">
        <v>308.68</v>
      </c>
    </row>
    <row r="53" spans="1:6" x14ac:dyDescent="0.2">
      <c r="A53" s="194" t="s">
        <v>353</v>
      </c>
      <c r="B53" s="199">
        <v>83.4</v>
      </c>
      <c r="C53" s="199">
        <v>902.49</v>
      </c>
      <c r="D53" s="199">
        <v>165.53</v>
      </c>
    </row>
    <row r="54" spans="1:6" x14ac:dyDescent="0.2">
      <c r="A54" s="195" t="s">
        <v>355</v>
      </c>
      <c r="B54" s="199">
        <v>100.16</v>
      </c>
      <c r="C54" s="199">
        <v>123.67</v>
      </c>
      <c r="D54" s="199">
        <v>69.06</v>
      </c>
    </row>
    <row r="55" spans="1:6" x14ac:dyDescent="0.2">
      <c r="A55" s="195" t="s">
        <v>167</v>
      </c>
      <c r="B55" s="199">
        <v>3.15</v>
      </c>
      <c r="C55" s="199">
        <v>3.96</v>
      </c>
      <c r="D55" s="199">
        <v>60.09</v>
      </c>
    </row>
    <row r="56" spans="1:6" x14ac:dyDescent="0.2">
      <c r="A56" s="196" t="s">
        <v>356</v>
      </c>
      <c r="B56" s="196">
        <v>1814.12</v>
      </c>
      <c r="C56" s="196">
        <v>2310.3000000000002</v>
      </c>
      <c r="D56" s="196">
        <v>1389.93</v>
      </c>
    </row>
    <row r="57" spans="1:6" x14ac:dyDescent="0.2">
      <c r="A57" s="198" t="s">
        <v>357</v>
      </c>
      <c r="B57" s="198">
        <v>4228.6000000000004</v>
      </c>
      <c r="C57" s="198">
        <v>4636.1499999999996</v>
      </c>
      <c r="D57" s="198">
        <v>4809.71</v>
      </c>
    </row>
    <row r="58" spans="1:6" ht="10.15" customHeight="1" x14ac:dyDescent="0.2">
      <c r="B58" s="178"/>
    </row>
    <row r="59" spans="1:6" ht="10.15" customHeight="1" x14ac:dyDescent="0.2">
      <c r="B59" s="178"/>
    </row>
    <row r="60" spans="1:6" ht="15" customHeight="1" x14ac:dyDescent="0.2">
      <c r="A60" s="457" t="s">
        <v>360</v>
      </c>
      <c r="B60" s="458"/>
      <c r="C60" s="458"/>
      <c r="D60" s="459"/>
      <c r="E60" s="185"/>
      <c r="F60" s="185"/>
    </row>
    <row r="61" spans="1:6" ht="15" customHeight="1" x14ac:dyDescent="0.2">
      <c r="A61" s="460"/>
      <c r="B61" s="461"/>
      <c r="C61" s="461"/>
      <c r="D61" s="462"/>
      <c r="E61" s="185"/>
      <c r="F61" s="185"/>
    </row>
    <row r="62" spans="1:6" x14ac:dyDescent="0.2">
      <c r="A62" s="190" t="s">
        <v>281</v>
      </c>
      <c r="B62" s="191">
        <v>44621</v>
      </c>
      <c r="C62" s="191">
        <v>44256</v>
      </c>
      <c r="D62" s="191">
        <v>43891</v>
      </c>
    </row>
    <row r="63" spans="1:6" x14ac:dyDescent="0.2">
      <c r="A63" s="193" t="s">
        <v>361</v>
      </c>
      <c r="B63" s="199">
        <v>2000.92</v>
      </c>
      <c r="C63" s="199">
        <v>1193.42</v>
      </c>
      <c r="D63" s="199">
        <v>1894.62</v>
      </c>
    </row>
    <row r="64" spans="1:6" x14ac:dyDescent="0.2">
      <c r="A64" s="193" t="s">
        <v>362</v>
      </c>
      <c r="B64" s="199">
        <v>105.3</v>
      </c>
      <c r="C64" s="199">
        <v>32.29</v>
      </c>
      <c r="D64" s="199">
        <v>50.04</v>
      </c>
    </row>
    <row r="65" spans="1:4" x14ac:dyDescent="0.2">
      <c r="A65" s="196" t="s">
        <v>363</v>
      </c>
      <c r="B65" s="196">
        <v>2106.2199999999998</v>
      </c>
      <c r="C65" s="196">
        <v>1225.71</v>
      </c>
      <c r="D65" s="196">
        <v>1944.66</v>
      </c>
    </row>
    <row r="66" spans="1:4" x14ac:dyDescent="0.2">
      <c r="A66" s="193"/>
      <c r="B66" s="199"/>
      <c r="C66" s="199"/>
      <c r="D66" s="199"/>
    </row>
    <row r="67" spans="1:4" x14ac:dyDescent="0.2">
      <c r="A67" s="192" t="s">
        <v>365</v>
      </c>
      <c r="B67" s="199"/>
      <c r="C67" s="199"/>
      <c r="D67" s="199"/>
    </row>
    <row r="68" spans="1:4" x14ac:dyDescent="0.2">
      <c r="A68" s="194" t="s">
        <v>92</v>
      </c>
      <c r="B68" s="199">
        <v>1171.3699999999999</v>
      </c>
      <c r="C68" s="199">
        <v>545.12</v>
      </c>
      <c r="D68" s="199">
        <v>910.98</v>
      </c>
    </row>
    <row r="69" spans="1:4" x14ac:dyDescent="0.2">
      <c r="A69" s="194" t="s">
        <v>366</v>
      </c>
      <c r="B69" s="199">
        <v>4.58</v>
      </c>
      <c r="C69" s="199">
        <v>1.96</v>
      </c>
      <c r="D69" s="199">
        <v>160.91999999999999</v>
      </c>
    </row>
    <row r="70" spans="1:4" x14ac:dyDescent="0.2">
      <c r="A70" s="193" t="s">
        <v>367</v>
      </c>
      <c r="B70" s="199">
        <v>176.13</v>
      </c>
      <c r="C70" s="199">
        <v>307.13</v>
      </c>
      <c r="D70" s="199">
        <v>-54.61</v>
      </c>
    </row>
    <row r="71" spans="1:4" x14ac:dyDescent="0.2">
      <c r="A71" s="194" t="s">
        <v>368</v>
      </c>
      <c r="B71" s="199">
        <v>62.72</v>
      </c>
      <c r="C71" s="199">
        <v>60.33</v>
      </c>
      <c r="D71" s="199">
        <v>89.85</v>
      </c>
    </row>
    <row r="72" spans="1:4" x14ac:dyDescent="0.2">
      <c r="A72" s="194" t="s">
        <v>370</v>
      </c>
      <c r="B72" s="199">
        <v>524</v>
      </c>
      <c r="C72" s="199">
        <v>588.39</v>
      </c>
      <c r="D72" s="199">
        <v>553.82000000000005</v>
      </c>
    </row>
    <row r="73" spans="1:4" x14ac:dyDescent="0.2">
      <c r="A73" s="194" t="s">
        <v>371</v>
      </c>
      <c r="B73" s="199">
        <v>32.78</v>
      </c>
      <c r="C73" s="199">
        <v>33.72</v>
      </c>
      <c r="D73" s="199">
        <v>33.11</v>
      </c>
    </row>
    <row r="74" spans="1:4" x14ac:dyDescent="0.2">
      <c r="A74" s="194" t="s">
        <v>372</v>
      </c>
      <c r="B74" s="199">
        <v>435.98</v>
      </c>
      <c r="C74" s="199">
        <v>253.38</v>
      </c>
      <c r="D74" s="199">
        <v>458.66</v>
      </c>
    </row>
    <row r="75" spans="1:4" x14ac:dyDescent="0.2">
      <c r="A75" s="196" t="s">
        <v>373</v>
      </c>
      <c r="B75" s="196">
        <v>2407.56</v>
      </c>
      <c r="C75" s="196">
        <v>1790.03</v>
      </c>
      <c r="D75" s="196">
        <v>2153.73</v>
      </c>
    </row>
    <row r="76" spans="1:4" x14ac:dyDescent="0.2">
      <c r="A76" s="192" t="s">
        <v>374</v>
      </c>
      <c r="B76" s="196">
        <v>-301.33999999999997</v>
      </c>
      <c r="C76" s="196">
        <v>-564.32000000000005</v>
      </c>
      <c r="D76" s="196">
        <v>-209.07</v>
      </c>
    </row>
    <row r="77" spans="1:4" x14ac:dyDescent="0.2">
      <c r="A77" s="195" t="s">
        <v>375</v>
      </c>
      <c r="B77" s="199">
        <v>-233.03</v>
      </c>
      <c r="C77" s="199">
        <v>57.78</v>
      </c>
      <c r="D77" s="199"/>
    </row>
    <row r="78" spans="1:4" x14ac:dyDescent="0.2">
      <c r="A78" s="192" t="s">
        <v>374</v>
      </c>
      <c r="B78" s="196">
        <v>-534.37</v>
      </c>
      <c r="C78" s="196">
        <v>-506.54</v>
      </c>
      <c r="D78" s="196">
        <v>-209.07</v>
      </c>
    </row>
    <row r="79" spans="1:4" x14ac:dyDescent="0.2">
      <c r="A79" s="192"/>
      <c r="B79" s="199"/>
      <c r="C79" s="199"/>
      <c r="D79" s="199"/>
    </row>
    <row r="80" spans="1:4" x14ac:dyDescent="0.2">
      <c r="A80" s="192" t="s">
        <v>377</v>
      </c>
      <c r="B80" s="193"/>
      <c r="C80" s="199"/>
      <c r="D80" s="199"/>
    </row>
    <row r="81" spans="1:4" x14ac:dyDescent="0.2">
      <c r="A81" s="193" t="s">
        <v>378</v>
      </c>
      <c r="B81" s="193"/>
      <c r="C81" s="199"/>
      <c r="D81" s="199"/>
    </row>
    <row r="82" spans="1:4" x14ac:dyDescent="0.2">
      <c r="A82" s="193" t="s">
        <v>379</v>
      </c>
      <c r="B82" s="193">
        <v>-74.14</v>
      </c>
      <c r="C82" s="199">
        <v>-36.619999999999997</v>
      </c>
      <c r="D82" s="199">
        <v>-531.59</v>
      </c>
    </row>
    <row r="83" spans="1:4" x14ac:dyDescent="0.2">
      <c r="A83" s="193" t="s">
        <v>380</v>
      </c>
      <c r="B83" s="193">
        <v>0.22</v>
      </c>
      <c r="C83" s="199">
        <v>-0.82</v>
      </c>
      <c r="D83" s="199">
        <v>-5.35</v>
      </c>
    </row>
    <row r="84" spans="1:4" x14ac:dyDescent="0.2">
      <c r="A84" s="196" t="s">
        <v>382</v>
      </c>
      <c r="B84" s="192">
        <v>-73.92</v>
      </c>
      <c r="C84" s="196">
        <v>-37.44</v>
      </c>
      <c r="D84" s="196">
        <v>-536.94000000000005</v>
      </c>
    </row>
    <row r="85" spans="1:4" x14ac:dyDescent="0.2">
      <c r="A85" s="192" t="s">
        <v>383</v>
      </c>
      <c r="B85" s="192">
        <v>-460.45</v>
      </c>
      <c r="C85" s="196">
        <v>-469.1</v>
      </c>
      <c r="D85" s="196">
        <v>327.87</v>
      </c>
    </row>
    <row r="86" spans="1:4" x14ac:dyDescent="0.2">
      <c r="A86" s="193"/>
      <c r="B86" s="193"/>
      <c r="C86" s="199"/>
      <c r="D86" s="199"/>
    </row>
    <row r="87" spans="1:4" x14ac:dyDescent="0.2">
      <c r="A87" s="192" t="s">
        <v>384</v>
      </c>
      <c r="B87" s="193"/>
      <c r="C87" s="199"/>
      <c r="D87" s="199"/>
    </row>
    <row r="88" spans="1:4" x14ac:dyDescent="0.2">
      <c r="A88" s="193" t="s">
        <v>385</v>
      </c>
      <c r="B88" s="193"/>
      <c r="C88" s="199"/>
      <c r="D88" s="199"/>
    </row>
    <row r="89" spans="1:4" x14ac:dyDescent="0.2">
      <c r="A89" s="193" t="s">
        <v>386</v>
      </c>
      <c r="B89" s="193">
        <v>3.36</v>
      </c>
      <c r="C89" s="199">
        <v>2.63</v>
      </c>
      <c r="D89" s="199">
        <v>-2.7</v>
      </c>
    </row>
    <row r="90" spans="1:4" x14ac:dyDescent="0.2">
      <c r="A90" s="193" t="s">
        <v>388</v>
      </c>
      <c r="B90" s="193">
        <v>-106.36</v>
      </c>
      <c r="C90" s="199">
        <v>215.48</v>
      </c>
      <c r="D90" s="199">
        <v>-410.59</v>
      </c>
    </row>
    <row r="91" spans="1:4" x14ac:dyDescent="0.2">
      <c r="A91" s="193" t="s">
        <v>389</v>
      </c>
      <c r="B91" s="193">
        <v>0.94</v>
      </c>
      <c r="C91" s="199">
        <v>0.32</v>
      </c>
      <c r="D91" s="199">
        <v>0.79</v>
      </c>
    </row>
    <row r="92" spans="1:4" x14ac:dyDescent="0.2">
      <c r="A92" s="196" t="s">
        <v>390</v>
      </c>
      <c r="B92" s="192">
        <v>-102.06</v>
      </c>
      <c r="C92" s="196">
        <v>218.43</v>
      </c>
      <c r="D92" s="196">
        <v>-412.5</v>
      </c>
    </row>
    <row r="93" spans="1:4" x14ac:dyDescent="0.2">
      <c r="A93" s="192" t="s">
        <v>391</v>
      </c>
      <c r="B93" s="192">
        <v>-562.51</v>
      </c>
      <c r="C93" s="196">
        <v>250.67</v>
      </c>
      <c r="D93" s="196">
        <v>-84.63</v>
      </c>
    </row>
    <row r="94" spans="1:4" x14ac:dyDescent="0.2">
      <c r="A94" s="193"/>
      <c r="B94" s="193"/>
      <c r="C94" s="199"/>
      <c r="D94" s="199"/>
    </row>
    <row r="95" spans="1:4" x14ac:dyDescent="0.2">
      <c r="A95" s="193" t="s">
        <v>392</v>
      </c>
      <c r="B95" s="193"/>
      <c r="C95" s="199"/>
      <c r="D95" s="199"/>
    </row>
    <row r="96" spans="1:4" x14ac:dyDescent="0.2">
      <c r="A96" s="193" t="s">
        <v>394</v>
      </c>
      <c r="B96" s="193">
        <v>-22.29</v>
      </c>
      <c r="C96" s="199">
        <v>-22.71</v>
      </c>
      <c r="D96" s="199">
        <v>15.87</v>
      </c>
    </row>
    <row r="97" spans="1:5" x14ac:dyDescent="0.2">
      <c r="A97" s="200" t="s">
        <v>395</v>
      </c>
      <c r="B97" s="200">
        <v>-22.29</v>
      </c>
      <c r="C97" s="202">
        <v>-22.71</v>
      </c>
      <c r="D97" s="202">
        <v>15.87</v>
      </c>
    </row>
    <row r="99" spans="1:5" x14ac:dyDescent="0.2">
      <c r="A99" s="451" t="s">
        <v>396</v>
      </c>
      <c r="B99" s="452"/>
      <c r="C99" s="452"/>
      <c r="D99" s="453"/>
      <c r="E99" s="179"/>
    </row>
    <row r="100" spans="1:5" x14ac:dyDescent="0.2">
      <c r="A100" s="454"/>
      <c r="B100" s="455"/>
      <c r="C100" s="455"/>
      <c r="D100" s="456"/>
      <c r="E100" s="179"/>
    </row>
    <row r="101" spans="1:5" x14ac:dyDescent="0.2">
      <c r="A101" s="188" t="s">
        <v>281</v>
      </c>
      <c r="B101" s="189">
        <v>44621</v>
      </c>
      <c r="C101" s="189">
        <v>44256</v>
      </c>
      <c r="D101" s="189">
        <v>43891</v>
      </c>
    </row>
    <row r="102" spans="1:5" x14ac:dyDescent="0.2">
      <c r="A102" s="193" t="s">
        <v>398</v>
      </c>
      <c r="B102" s="201">
        <v>-460.45</v>
      </c>
      <c r="C102" s="201">
        <v>-469.1</v>
      </c>
      <c r="D102" s="201">
        <v>327.87</v>
      </c>
    </row>
    <row r="103" spans="1:5" x14ac:dyDescent="0.2">
      <c r="A103" s="193" t="s">
        <v>399</v>
      </c>
      <c r="B103" s="201">
        <v>1171.3699999999999</v>
      </c>
      <c r="C103" s="201">
        <v>545.12</v>
      </c>
      <c r="D103" s="201">
        <v>910.98</v>
      </c>
    </row>
    <row r="104" spans="1:5" x14ac:dyDescent="0.2">
      <c r="A104" s="193" t="s">
        <v>400</v>
      </c>
      <c r="B104" s="201">
        <v>125.21</v>
      </c>
      <c r="C104" s="201">
        <v>57.3</v>
      </c>
      <c r="D104" s="201">
        <v>54.27</v>
      </c>
    </row>
    <row r="105" spans="1:5" x14ac:dyDescent="0.2">
      <c r="A105" s="193" t="s">
        <v>401</v>
      </c>
      <c r="B105" s="201">
        <v>1128.33</v>
      </c>
      <c r="C105" s="201">
        <v>613.03</v>
      </c>
      <c r="D105" s="201">
        <v>914.01</v>
      </c>
    </row>
    <row r="106" spans="1:5" x14ac:dyDescent="0.2">
      <c r="A106" s="193" t="s">
        <v>402</v>
      </c>
      <c r="B106" s="201">
        <v>82.17</v>
      </c>
      <c r="C106" s="201">
        <v>125.21</v>
      </c>
      <c r="D106" s="201">
        <v>57.3</v>
      </c>
    </row>
    <row r="107" spans="1:5" x14ac:dyDescent="0.2">
      <c r="A107" s="193" t="s">
        <v>225</v>
      </c>
      <c r="B107" s="201">
        <v>22</v>
      </c>
      <c r="C107" s="201">
        <v>116</v>
      </c>
      <c r="D107" s="201">
        <v>378</v>
      </c>
    </row>
    <row r="108" spans="1:5" x14ac:dyDescent="0.2">
      <c r="A108" s="200" t="s">
        <v>403</v>
      </c>
      <c r="B108" s="200">
        <v>20.653490000000001</v>
      </c>
      <c r="C108" s="200">
        <v>20.653490000000001</v>
      </c>
      <c r="D108" s="200">
        <v>20.653490000000001</v>
      </c>
    </row>
  </sheetData>
  <mergeCells count="4">
    <mergeCell ref="A99:D100"/>
    <mergeCell ref="A3:D4"/>
    <mergeCell ref="A1:D1"/>
    <mergeCell ref="A60:D61"/>
  </mergeCells>
  <pageMargins left="0.7" right="0.7" top="0.75" bottom="0.75" header="0.3" footer="0.3"/>
  <pageSetup paperSize="9" scale="9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29CE-1A36-9844-B104-E24570F7B279}">
  <dimension ref="A2:V142"/>
  <sheetViews>
    <sheetView showGridLines="0" zoomScaleNormal="100" workbookViewId="0"/>
  </sheetViews>
  <sheetFormatPr defaultColWidth="8.75390625" defaultRowHeight="15" x14ac:dyDescent="0.2"/>
  <cols>
    <col min="1" max="1" width="35.7578125" style="88" customWidth="1"/>
    <col min="2" max="4" width="15.66015625" style="88" customWidth="1"/>
    <col min="5" max="5" width="1.72265625" style="88" customWidth="1"/>
    <col min="6" max="6" width="21.20703125" style="88" customWidth="1"/>
    <col min="7" max="7" width="31.3203125" style="88" customWidth="1"/>
    <col min="8" max="10" width="10.234375" style="88" customWidth="1"/>
    <col min="11" max="11" width="8.75390625" style="88"/>
    <col min="12" max="12" width="4.80859375" style="88" customWidth="1"/>
    <col min="13" max="13" width="20.83984375" style="88" customWidth="1"/>
    <col min="14" max="16" width="12.82421875" style="88" customWidth="1"/>
    <col min="17" max="16384" width="8.75390625" style="88"/>
  </cols>
  <sheetData>
    <row r="2" spans="1:22" ht="15" customHeight="1" x14ac:dyDescent="0.2">
      <c r="A2" s="457" t="s">
        <v>279</v>
      </c>
      <c r="B2" s="458"/>
      <c r="C2" s="458"/>
      <c r="D2" s="459"/>
      <c r="E2" s="183"/>
      <c r="F2" s="451" t="s">
        <v>288</v>
      </c>
      <c r="G2" s="452"/>
      <c r="H2" s="452"/>
      <c r="I2" s="452"/>
      <c r="J2" s="453"/>
      <c r="M2" s="457" t="s">
        <v>351</v>
      </c>
      <c r="N2" s="458"/>
      <c r="O2" s="458"/>
      <c r="P2" s="459"/>
      <c r="Q2" s="223"/>
      <c r="R2" s="223"/>
      <c r="S2" s="154"/>
      <c r="T2" s="154"/>
      <c r="U2" s="154"/>
      <c r="V2" s="154"/>
    </row>
    <row r="3" spans="1:22" ht="15" customHeight="1" x14ac:dyDescent="0.2">
      <c r="A3" s="460"/>
      <c r="B3" s="461"/>
      <c r="C3" s="461"/>
      <c r="D3" s="462"/>
      <c r="E3" s="183"/>
      <c r="F3" s="464"/>
      <c r="G3" s="465"/>
      <c r="H3" s="465"/>
      <c r="I3" s="465"/>
      <c r="J3" s="466"/>
      <c r="M3" s="460"/>
      <c r="N3" s="461"/>
      <c r="O3" s="461"/>
      <c r="P3" s="462"/>
      <c r="Q3" s="223"/>
      <c r="R3" s="223"/>
    </row>
    <row r="4" spans="1:22" x14ac:dyDescent="0.2">
      <c r="A4" s="190" t="s">
        <v>281</v>
      </c>
      <c r="B4" s="191">
        <v>44621</v>
      </c>
      <c r="C4" s="191">
        <v>44256</v>
      </c>
      <c r="D4" s="191">
        <v>43891</v>
      </c>
      <c r="F4" s="218" t="s">
        <v>290</v>
      </c>
      <c r="G4" s="219" t="s">
        <v>291</v>
      </c>
      <c r="H4" s="467" t="s">
        <v>292</v>
      </c>
      <c r="I4" s="467"/>
      <c r="J4" s="468"/>
      <c r="M4" s="224" t="s">
        <v>354</v>
      </c>
      <c r="N4" s="225">
        <v>2022</v>
      </c>
      <c r="O4" s="225">
        <v>2021</v>
      </c>
      <c r="P4" s="226">
        <v>2020</v>
      </c>
    </row>
    <row r="5" spans="1:22" x14ac:dyDescent="0.2">
      <c r="A5" s="203" t="s">
        <v>282</v>
      </c>
      <c r="B5" s="204"/>
      <c r="C5" s="204"/>
      <c r="D5" s="205"/>
      <c r="F5" s="220" t="s">
        <v>294</v>
      </c>
      <c r="G5" s="216"/>
      <c r="H5" s="186">
        <v>2022</v>
      </c>
      <c r="I5" s="186">
        <v>2021</v>
      </c>
      <c r="J5" s="217">
        <v>2020</v>
      </c>
      <c r="M5" s="175" t="s">
        <v>274</v>
      </c>
      <c r="N5" s="88">
        <v>1.44</v>
      </c>
      <c r="O5" s="88">
        <v>1.29</v>
      </c>
      <c r="P5" s="176">
        <v>2.38</v>
      </c>
    </row>
    <row r="6" spans="1:22" x14ac:dyDescent="0.2">
      <c r="A6" s="192" t="s">
        <v>283</v>
      </c>
      <c r="B6" s="193"/>
      <c r="C6" s="193"/>
      <c r="D6" s="206"/>
      <c r="F6" s="175" t="s">
        <v>35</v>
      </c>
      <c r="G6" s="88" t="s">
        <v>296</v>
      </c>
      <c r="H6" s="89">
        <f>B30/B55</f>
        <v>1.4437082442175821</v>
      </c>
      <c r="I6" s="89">
        <f>C30/C55</f>
        <v>1.2920529801324503</v>
      </c>
      <c r="J6" s="213">
        <f>D30/D55</f>
        <v>2.3873216636809049</v>
      </c>
      <c r="M6" s="175" t="s">
        <v>278</v>
      </c>
      <c r="N6" s="88">
        <v>1.49</v>
      </c>
      <c r="O6" s="88">
        <v>1.76</v>
      </c>
      <c r="P6" s="176">
        <v>1.23</v>
      </c>
    </row>
    <row r="7" spans="1:22" x14ac:dyDescent="0.2">
      <c r="A7" s="193" t="s">
        <v>284</v>
      </c>
      <c r="B7" s="199">
        <v>462.53</v>
      </c>
      <c r="C7" s="199">
        <v>481.33</v>
      </c>
      <c r="D7" s="206">
        <v>510.48</v>
      </c>
      <c r="F7" s="175" t="s">
        <v>37</v>
      </c>
      <c r="G7" s="88" t="s">
        <v>298</v>
      </c>
      <c r="H7" s="89">
        <f>(B30-B22)/B55</f>
        <v>0.4434822393226468</v>
      </c>
      <c r="I7" s="89">
        <f>(C30-C22)/C55</f>
        <v>0.40769164177812406</v>
      </c>
      <c r="J7" s="213">
        <f>(D30-D22)/D55</f>
        <v>0.6435144215895765</v>
      </c>
      <c r="M7" s="175" t="s">
        <v>277</v>
      </c>
      <c r="N7" s="88">
        <v>1.25</v>
      </c>
      <c r="O7" s="88">
        <v>0.99</v>
      </c>
      <c r="P7" s="176">
        <v>1.03</v>
      </c>
    </row>
    <row r="8" spans="1:22" x14ac:dyDescent="0.2">
      <c r="A8" s="193" t="s">
        <v>285</v>
      </c>
      <c r="B8" s="199">
        <v>0.13</v>
      </c>
      <c r="C8" s="199">
        <v>0.8</v>
      </c>
      <c r="D8" s="206">
        <v>1.23</v>
      </c>
      <c r="F8" s="175"/>
      <c r="J8" s="176"/>
      <c r="M8" s="177" t="s">
        <v>358</v>
      </c>
      <c r="N8" s="170">
        <f>(N6+N7)/2</f>
        <v>1.37</v>
      </c>
      <c r="O8" s="170">
        <f>(O6+O7)/2</f>
        <v>1.375</v>
      </c>
      <c r="P8" s="171">
        <f>(P6+P7)/2</f>
        <v>1.1299999999999999</v>
      </c>
    </row>
    <row r="9" spans="1:22" x14ac:dyDescent="0.2">
      <c r="A9" s="193" t="s">
        <v>286</v>
      </c>
      <c r="B9" s="199">
        <v>0.33</v>
      </c>
      <c r="C9" s="199">
        <v>3.17</v>
      </c>
      <c r="D9" s="206">
        <v>6.06</v>
      </c>
      <c r="F9" s="221" t="s">
        <v>301</v>
      </c>
      <c r="G9" s="187"/>
      <c r="H9" s="187"/>
      <c r="I9" s="187"/>
      <c r="J9" s="222"/>
    </row>
    <row r="10" spans="1:22" ht="14.65" customHeight="1" x14ac:dyDescent="0.2">
      <c r="A10" s="193" t="s">
        <v>287</v>
      </c>
      <c r="B10" s="199">
        <v>3.45</v>
      </c>
      <c r="C10" s="199">
        <v>3.52</v>
      </c>
      <c r="D10" s="206">
        <v>3.59</v>
      </c>
      <c r="F10" s="175" t="s">
        <v>40</v>
      </c>
      <c r="G10" s="88" t="s">
        <v>303</v>
      </c>
      <c r="H10" s="89">
        <f>B42/B37</f>
        <v>-4.1512962792107659</v>
      </c>
      <c r="I10" s="89">
        <f>C42/C37</f>
        <v>-12.762031130390405</v>
      </c>
      <c r="J10" s="213">
        <f>D42/D37</f>
        <v>56.020651443922098</v>
      </c>
      <c r="K10" s="184"/>
      <c r="L10" s="184"/>
      <c r="M10" s="227" t="s">
        <v>359</v>
      </c>
      <c r="N10" s="228">
        <v>2022</v>
      </c>
      <c r="O10" s="228">
        <v>2021</v>
      </c>
      <c r="P10" s="229">
        <v>2020</v>
      </c>
    </row>
    <row r="11" spans="1:22" ht="14.65" customHeight="1" x14ac:dyDescent="0.2">
      <c r="A11" s="193" t="s">
        <v>106</v>
      </c>
      <c r="B11" s="199">
        <v>0.14000000000000001</v>
      </c>
      <c r="C11" s="199">
        <v>0.22</v>
      </c>
      <c r="D11" s="206">
        <v>0.66</v>
      </c>
      <c r="F11" s="175" t="s">
        <v>305</v>
      </c>
      <c r="G11" s="88" t="s">
        <v>306</v>
      </c>
      <c r="H11" s="89">
        <f>B37/B31</f>
        <v>-0.17942344984155512</v>
      </c>
      <c r="I11" s="89">
        <f>C37/C31</f>
        <v>-4.2265673026110027E-2</v>
      </c>
      <c r="J11" s="213">
        <f>D37/D31</f>
        <v>1.238328298379736E-2</v>
      </c>
      <c r="K11" s="184"/>
      <c r="L11" s="184"/>
      <c r="M11" s="175" t="s">
        <v>274</v>
      </c>
      <c r="N11" s="88">
        <v>0.44</v>
      </c>
      <c r="O11" s="88">
        <v>0.4</v>
      </c>
      <c r="P11" s="176">
        <v>0.64</v>
      </c>
    </row>
    <row r="12" spans="1:22" x14ac:dyDescent="0.2">
      <c r="A12" s="193" t="s">
        <v>289</v>
      </c>
      <c r="B12" s="199">
        <v>0.33</v>
      </c>
      <c r="C12" s="199"/>
      <c r="D12" s="206"/>
      <c r="F12" s="175"/>
      <c r="J12" s="176"/>
      <c r="M12" s="175" t="s">
        <v>278</v>
      </c>
      <c r="N12" s="88">
        <v>0.67</v>
      </c>
      <c r="O12" s="88">
        <v>0.88</v>
      </c>
      <c r="P12" s="176">
        <v>0.59</v>
      </c>
    </row>
    <row r="13" spans="1:22" x14ac:dyDescent="0.2">
      <c r="A13" s="193" t="s">
        <v>293</v>
      </c>
      <c r="B13" s="199"/>
      <c r="C13" s="199"/>
      <c r="D13" s="206"/>
      <c r="F13" s="220" t="s">
        <v>308</v>
      </c>
      <c r="G13" s="187"/>
      <c r="H13" s="187"/>
      <c r="I13" s="187"/>
      <c r="J13" s="222"/>
      <c r="M13" s="175" t="s">
        <v>277</v>
      </c>
      <c r="N13" s="88">
        <v>0.6</v>
      </c>
      <c r="O13" s="88">
        <v>0.44</v>
      </c>
      <c r="P13" s="176">
        <v>0.49</v>
      </c>
    </row>
    <row r="14" spans="1:22" x14ac:dyDescent="0.2">
      <c r="A14" s="194" t="s">
        <v>295</v>
      </c>
      <c r="B14" s="199">
        <v>366.3</v>
      </c>
      <c r="C14" s="199">
        <v>472.67</v>
      </c>
      <c r="D14" s="206">
        <v>376.43</v>
      </c>
      <c r="F14" s="175" t="s">
        <v>309</v>
      </c>
      <c r="G14" s="88" t="s">
        <v>310</v>
      </c>
      <c r="H14" s="89">
        <f>((B107-B72-B71-B83)/B64)*100</f>
        <v>-21.880905128619045</v>
      </c>
      <c r="I14" s="89">
        <f>((C107-C72-C71-C83)/C64)*100</f>
        <v>-38.236613880934314</v>
      </c>
      <c r="J14" s="213">
        <f>((D107-D72-D71-D83)/D64)*100</f>
        <v>16.867215862927196</v>
      </c>
      <c r="M14" s="177" t="s">
        <v>358</v>
      </c>
      <c r="N14" s="170">
        <f>(N12+N13)/2</f>
        <v>0.63500000000000001</v>
      </c>
      <c r="O14" s="170">
        <f>(O12+O13)/2</f>
        <v>0.66</v>
      </c>
      <c r="P14" s="171">
        <f>(P12+P13)/2</f>
        <v>0.54</v>
      </c>
    </row>
    <row r="15" spans="1:22" x14ac:dyDescent="0.2">
      <c r="A15" s="194" t="s">
        <v>297</v>
      </c>
      <c r="B15" s="199"/>
      <c r="C15" s="199">
        <v>3.66</v>
      </c>
      <c r="D15" s="206">
        <v>5.74</v>
      </c>
      <c r="F15" s="175" t="s">
        <v>311</v>
      </c>
      <c r="G15" s="88" t="s">
        <v>312</v>
      </c>
      <c r="H15" s="89">
        <f>((B64-B103)/B64)*100</f>
        <v>44.385201925724758</v>
      </c>
      <c r="I15" s="89">
        <f>((C64-C103)/C64)*100</f>
        <v>55.526184823490055</v>
      </c>
      <c r="J15" s="213">
        <f>((D64-D103)/D64)*100</f>
        <v>53.154793125790626</v>
      </c>
    </row>
    <row r="16" spans="1:22" x14ac:dyDescent="0.2">
      <c r="A16" s="194" t="s">
        <v>299</v>
      </c>
      <c r="B16" s="199">
        <v>22.77</v>
      </c>
      <c r="C16" s="199">
        <v>2.41</v>
      </c>
      <c r="D16" s="206">
        <v>0.01</v>
      </c>
      <c r="F16" s="175" t="s">
        <v>314</v>
      </c>
      <c r="G16" s="88" t="s">
        <v>315</v>
      </c>
      <c r="H16" s="89">
        <f>((B107-B72-B71-B83)/B31)*100</f>
        <v>-10.898642576739343</v>
      </c>
      <c r="I16" s="89">
        <f>((C107-C72-C71-C83)/C31)*100</f>
        <v>-10.109034435900478</v>
      </c>
      <c r="J16" s="213">
        <f>((D107-D72-D71-D83)/D31)*100</f>
        <v>6.8197458890452856</v>
      </c>
      <c r="M16" s="227" t="s">
        <v>364</v>
      </c>
      <c r="N16" s="228">
        <v>2022</v>
      </c>
      <c r="O16" s="228">
        <v>2021</v>
      </c>
      <c r="P16" s="229">
        <v>2020</v>
      </c>
    </row>
    <row r="17" spans="1:16" x14ac:dyDescent="0.2">
      <c r="A17" s="195" t="s">
        <v>300</v>
      </c>
      <c r="B17" s="199">
        <v>643.05999999999995</v>
      </c>
      <c r="C17" s="199">
        <v>567.98</v>
      </c>
      <c r="D17" s="206">
        <v>532.1</v>
      </c>
      <c r="F17" s="175" t="s">
        <v>317</v>
      </c>
      <c r="G17" s="88" t="s">
        <v>318</v>
      </c>
      <c r="H17" s="89">
        <f>((B107-B72)/(B19+B30-B55))*100</f>
        <v>-0.44647294655578013</v>
      </c>
      <c r="I17" s="89">
        <f>((C107-C72)/(C19+C30-C55))*100</f>
        <v>3.5376314035728882</v>
      </c>
      <c r="J17" s="213">
        <f>((D107-D72)/(D19+D30-D55))*100</f>
        <v>10.08515167642363</v>
      </c>
      <c r="M17" s="175" t="s">
        <v>274</v>
      </c>
      <c r="N17" s="88">
        <v>-4.1500000000000004</v>
      </c>
      <c r="O17" s="88">
        <v>-12.76</v>
      </c>
      <c r="P17" s="176">
        <v>56.02</v>
      </c>
    </row>
    <row r="18" spans="1:16" x14ac:dyDescent="0.2">
      <c r="A18" s="195" t="s">
        <v>302</v>
      </c>
      <c r="B18" s="199">
        <v>110.8</v>
      </c>
      <c r="C18" s="199">
        <v>115.36</v>
      </c>
      <c r="D18" s="206">
        <v>55.2</v>
      </c>
      <c r="F18" s="175"/>
      <c r="J18" s="176"/>
      <c r="M18" s="175" t="s">
        <v>278</v>
      </c>
      <c r="N18" s="88">
        <v>0.65</v>
      </c>
      <c r="O18" s="88">
        <v>0.48</v>
      </c>
      <c r="P18" s="176">
        <v>0.76</v>
      </c>
    </row>
    <row r="19" spans="1:16" x14ac:dyDescent="0.2">
      <c r="A19" s="196" t="s">
        <v>304</v>
      </c>
      <c r="B19" s="196">
        <v>1609.54</v>
      </c>
      <c r="C19" s="196">
        <v>1651.12</v>
      </c>
      <c r="D19" s="207">
        <v>1491.5</v>
      </c>
      <c r="F19" s="220" t="s">
        <v>321</v>
      </c>
      <c r="G19" s="187"/>
      <c r="H19" s="187"/>
      <c r="I19" s="187"/>
      <c r="J19" s="222"/>
      <c r="M19" s="175" t="s">
        <v>277</v>
      </c>
      <c r="N19" s="88">
        <v>0.69</v>
      </c>
      <c r="O19" s="88">
        <v>0.73</v>
      </c>
      <c r="P19" s="176">
        <v>0.54</v>
      </c>
    </row>
    <row r="20" spans="1:16" x14ac:dyDescent="0.2">
      <c r="A20" s="193"/>
      <c r="B20" s="199"/>
      <c r="C20" s="199"/>
      <c r="D20" s="206"/>
      <c r="F20" s="175" t="s">
        <v>323</v>
      </c>
      <c r="G20" s="88" t="s">
        <v>324</v>
      </c>
      <c r="H20" s="89">
        <f>(B107-B72-B71-B83)/B108</f>
        <v>-22.313904332875456</v>
      </c>
      <c r="I20" s="89">
        <f>(C107-C72-C71-C83)/C108</f>
        <v>-22.69204865618353</v>
      </c>
      <c r="J20" s="213">
        <f>(D107-D72-D71-D83)/D108</f>
        <v>15.881577399267629</v>
      </c>
      <c r="M20" s="177" t="s">
        <v>358</v>
      </c>
      <c r="N20" s="170">
        <f>(N18+N19)/2</f>
        <v>0.66999999999999993</v>
      </c>
      <c r="O20" s="170">
        <f>(O18+O19)/2</f>
        <v>0.60499999999999998</v>
      </c>
      <c r="P20" s="171">
        <f>(P18+P19)/2</f>
        <v>0.65</v>
      </c>
    </row>
    <row r="21" spans="1:16" x14ac:dyDescent="0.2">
      <c r="A21" s="197" t="s">
        <v>307</v>
      </c>
      <c r="B21" s="199"/>
      <c r="C21" s="199"/>
      <c r="D21" s="206"/>
      <c r="F21" s="175" t="s">
        <v>326</v>
      </c>
      <c r="G21" s="88" t="s">
        <v>327</v>
      </c>
      <c r="H21" s="89">
        <v>0</v>
      </c>
      <c r="I21" s="89">
        <v>0</v>
      </c>
      <c r="J21" s="213">
        <f>(0.2/44.5)*100</f>
        <v>0.44943820224719105</v>
      </c>
    </row>
    <row r="22" spans="1:16" x14ac:dyDescent="0.2">
      <c r="A22" s="193" t="s">
        <v>62</v>
      </c>
      <c r="B22" s="199">
        <v>1814.53</v>
      </c>
      <c r="C22" s="199">
        <v>2043.14</v>
      </c>
      <c r="D22" s="206">
        <v>2423.77</v>
      </c>
      <c r="F22" s="175"/>
      <c r="J22" s="176"/>
      <c r="M22" s="227" t="s">
        <v>369</v>
      </c>
      <c r="N22" s="228">
        <v>2022</v>
      </c>
      <c r="O22" s="228">
        <v>2021</v>
      </c>
      <c r="P22" s="229">
        <v>2020</v>
      </c>
    </row>
    <row r="23" spans="1:16" x14ac:dyDescent="0.2">
      <c r="A23" s="193" t="s">
        <v>293</v>
      </c>
      <c r="B23" s="199"/>
      <c r="C23" s="199"/>
      <c r="D23" s="206"/>
      <c r="F23" s="220" t="s">
        <v>329</v>
      </c>
      <c r="G23" s="187"/>
      <c r="H23" s="187"/>
      <c r="I23" s="187"/>
      <c r="J23" s="222"/>
      <c r="M23" s="175" t="s">
        <v>274</v>
      </c>
      <c r="N23" s="88">
        <v>-0.17</v>
      </c>
      <c r="O23" s="88">
        <v>-0.04</v>
      </c>
      <c r="P23" s="176">
        <v>0.01</v>
      </c>
    </row>
    <row r="24" spans="1:16" x14ac:dyDescent="0.2">
      <c r="A24" s="194" t="s">
        <v>313</v>
      </c>
      <c r="B24" s="199">
        <v>294.89999999999998</v>
      </c>
      <c r="C24" s="199">
        <v>656.37</v>
      </c>
      <c r="D24" s="206">
        <v>728.74</v>
      </c>
      <c r="F24" s="175" t="s">
        <v>330</v>
      </c>
      <c r="G24" s="88" t="s">
        <v>331</v>
      </c>
      <c r="H24" s="89">
        <f>(B107-B72)/B71</f>
        <v>-2.0572519083969468E-2</v>
      </c>
      <c r="I24" s="89">
        <f>(C107-C72)/C71</f>
        <v>0.13983922228453918</v>
      </c>
      <c r="J24" s="213">
        <f>(D107-D72)/D71</f>
        <v>0.62274746307464512</v>
      </c>
      <c r="M24" s="175" t="s">
        <v>278</v>
      </c>
      <c r="N24" s="88">
        <v>0.11</v>
      </c>
      <c r="O24" s="88">
        <v>0.03</v>
      </c>
      <c r="P24" s="176">
        <v>0.15</v>
      </c>
    </row>
    <row r="25" spans="1:16" x14ac:dyDescent="0.2">
      <c r="A25" s="194" t="s">
        <v>316</v>
      </c>
      <c r="B25" s="199">
        <v>414.86</v>
      </c>
      <c r="C25" s="199">
        <v>141.88</v>
      </c>
      <c r="D25" s="206">
        <v>1.36</v>
      </c>
      <c r="F25" s="175"/>
      <c r="J25" s="176"/>
      <c r="M25" s="175" t="s">
        <v>277</v>
      </c>
      <c r="N25" s="88">
        <v>0.59</v>
      </c>
      <c r="O25" s="88">
        <v>0.57999999999999996</v>
      </c>
      <c r="P25" s="176">
        <v>0.11</v>
      </c>
    </row>
    <row r="26" spans="1:16" x14ac:dyDescent="0.2">
      <c r="A26" s="194" t="s">
        <v>319</v>
      </c>
      <c r="B26" s="199">
        <v>52.14</v>
      </c>
      <c r="C26" s="199">
        <v>95.22</v>
      </c>
      <c r="D26" s="206">
        <v>44.17</v>
      </c>
      <c r="F26" s="220" t="s">
        <v>334</v>
      </c>
      <c r="G26" s="187"/>
      <c r="H26" s="187"/>
      <c r="I26" s="187"/>
      <c r="J26" s="222"/>
      <c r="M26" s="177" t="s">
        <v>358</v>
      </c>
      <c r="N26" s="170">
        <f>(N24+N25)/2</f>
        <v>0.35</v>
      </c>
      <c r="O26" s="170">
        <f>(O24+O25)/2</f>
        <v>0.30499999999999999</v>
      </c>
      <c r="P26" s="171">
        <f>(P24+P25)/2</f>
        <v>0.13</v>
      </c>
    </row>
    <row r="27" spans="1:16" x14ac:dyDescent="0.2">
      <c r="A27" s="194" t="s">
        <v>320</v>
      </c>
      <c r="B27" s="199">
        <v>0.05</v>
      </c>
      <c r="C27" s="199">
        <v>0.52</v>
      </c>
      <c r="D27" s="206">
        <v>0.47</v>
      </c>
      <c r="F27" s="175" t="s">
        <v>45</v>
      </c>
      <c r="G27" s="88" t="s">
        <v>337</v>
      </c>
      <c r="H27" s="89">
        <f>B103/((B104+B106)/2)</f>
        <v>11.296846368984472</v>
      </c>
      <c r="I27" s="89">
        <f>C103/((C104+C106)/2)</f>
        <v>5.9735904881924284</v>
      </c>
      <c r="J27" s="213">
        <f>D103/((D104+D106)/2)</f>
        <v>16.330196289325087</v>
      </c>
    </row>
    <row r="28" spans="1:16" x14ac:dyDescent="0.2">
      <c r="A28" s="194" t="s">
        <v>322</v>
      </c>
      <c r="B28" s="199">
        <v>4.13</v>
      </c>
      <c r="C28" s="199">
        <v>0.7</v>
      </c>
      <c r="D28" s="206">
        <v>3.92</v>
      </c>
      <c r="F28" s="177" t="s">
        <v>339</v>
      </c>
      <c r="G28" s="170" t="s">
        <v>340</v>
      </c>
      <c r="H28" s="214">
        <f>B62/B19</f>
        <v>1.243162642742647</v>
      </c>
      <c r="I28" s="214">
        <f>C62/C19</f>
        <v>0.7227942245263822</v>
      </c>
      <c r="J28" s="215">
        <f>D62/D19</f>
        <v>1.2702782433791484</v>
      </c>
      <c r="M28" s="227" t="s">
        <v>376</v>
      </c>
      <c r="N28" s="228">
        <v>2022</v>
      </c>
      <c r="O28" s="228">
        <v>2021</v>
      </c>
      <c r="P28" s="229">
        <v>2020</v>
      </c>
    </row>
    <row r="29" spans="1:16" x14ac:dyDescent="0.2">
      <c r="A29" s="193" t="s">
        <v>325</v>
      </c>
      <c r="B29" s="199">
        <v>38.450000000000003</v>
      </c>
      <c r="C29" s="199">
        <v>42.2</v>
      </c>
      <c r="D29" s="206">
        <v>116.28</v>
      </c>
      <c r="M29" s="175" t="s">
        <v>274</v>
      </c>
      <c r="N29" s="88">
        <v>-21.88</v>
      </c>
      <c r="O29" s="88">
        <v>-38.229999999999997</v>
      </c>
      <c r="P29" s="176">
        <v>16.86</v>
      </c>
    </row>
    <row r="30" spans="1:16" x14ac:dyDescent="0.2">
      <c r="A30" s="196" t="s">
        <v>74</v>
      </c>
      <c r="B30" s="196">
        <v>2619.06</v>
      </c>
      <c r="C30" s="196">
        <v>2985.03</v>
      </c>
      <c r="D30" s="207">
        <v>3318.21</v>
      </c>
      <c r="M30" s="175" t="s">
        <v>278</v>
      </c>
      <c r="N30" s="88">
        <v>3.92</v>
      </c>
      <c r="O30" s="88">
        <v>1.77</v>
      </c>
      <c r="P30" s="176">
        <v>4.13</v>
      </c>
    </row>
    <row r="31" spans="1:16" x14ac:dyDescent="0.2">
      <c r="A31" s="196" t="s">
        <v>328</v>
      </c>
      <c r="B31" s="196">
        <v>4228.6000000000004</v>
      </c>
      <c r="C31" s="196">
        <v>4636.1499999999996</v>
      </c>
      <c r="D31" s="207">
        <v>4809.71</v>
      </c>
      <c r="M31" s="175" t="s">
        <v>277</v>
      </c>
      <c r="N31" s="88">
        <v>11.77</v>
      </c>
      <c r="O31" s="88">
        <v>7.65</v>
      </c>
      <c r="P31" s="176">
        <v>7.27</v>
      </c>
    </row>
    <row r="32" spans="1:16" x14ac:dyDescent="0.2">
      <c r="A32" s="193"/>
      <c r="B32" s="199"/>
      <c r="C32" s="199"/>
      <c r="D32" s="206"/>
      <c r="M32" s="177" t="s">
        <v>358</v>
      </c>
      <c r="N32" s="170">
        <f>(N30+N31)/2</f>
        <v>7.8449999999999998</v>
      </c>
      <c r="O32" s="170">
        <f>(O30+O31)/2</f>
        <v>4.71</v>
      </c>
      <c r="P32" s="171">
        <f>(P30+P31)/2</f>
        <v>5.6999999999999993</v>
      </c>
    </row>
    <row r="33" spans="1:16" x14ac:dyDescent="0.2">
      <c r="A33" s="192" t="s">
        <v>332</v>
      </c>
      <c r="B33" s="199"/>
      <c r="C33" s="199"/>
      <c r="D33" s="206"/>
    </row>
    <row r="34" spans="1:16" x14ac:dyDescent="0.2">
      <c r="A34" s="192" t="s">
        <v>333</v>
      </c>
      <c r="B34" s="199"/>
      <c r="C34" s="199"/>
      <c r="D34" s="206"/>
      <c r="M34" s="227" t="s">
        <v>381</v>
      </c>
      <c r="N34" s="228">
        <v>2022</v>
      </c>
      <c r="O34" s="228">
        <v>2021</v>
      </c>
      <c r="P34" s="229">
        <v>2020</v>
      </c>
    </row>
    <row r="35" spans="1:16" x14ac:dyDescent="0.2">
      <c r="A35" s="193" t="s">
        <v>335</v>
      </c>
      <c r="B35" s="199">
        <v>41.31</v>
      </c>
      <c r="C35" s="199" t="s">
        <v>336</v>
      </c>
      <c r="D35" s="206">
        <v>41.31</v>
      </c>
      <c r="M35" s="175" t="s">
        <v>274</v>
      </c>
      <c r="N35" s="88">
        <v>44.38</v>
      </c>
      <c r="O35" s="88">
        <v>55.52</v>
      </c>
      <c r="P35" s="176">
        <v>53.15</v>
      </c>
    </row>
    <row r="36" spans="1:16" x14ac:dyDescent="0.2">
      <c r="A36" s="193" t="s">
        <v>338</v>
      </c>
      <c r="B36" s="199">
        <v>-799.75</v>
      </c>
      <c r="C36" s="199">
        <v>-237.43</v>
      </c>
      <c r="D36" s="206">
        <v>17.850000000000001</v>
      </c>
      <c r="M36" s="175" t="s">
        <v>278</v>
      </c>
      <c r="N36" s="88">
        <v>6.48</v>
      </c>
      <c r="O36" s="88">
        <v>3.73</v>
      </c>
      <c r="P36" s="176">
        <v>7.21</v>
      </c>
    </row>
    <row r="37" spans="1:16" x14ac:dyDescent="0.2">
      <c r="A37" s="196" t="s">
        <v>341</v>
      </c>
      <c r="B37" s="199">
        <v>-758.71</v>
      </c>
      <c r="C37" s="199">
        <v>-195.95</v>
      </c>
      <c r="D37" s="206">
        <v>59.56</v>
      </c>
      <c r="M37" s="175" t="s">
        <v>277</v>
      </c>
      <c r="N37" s="88">
        <v>16.690000000000001</v>
      </c>
      <c r="O37" s="88">
        <v>10.49</v>
      </c>
      <c r="P37" s="176">
        <v>10.79</v>
      </c>
    </row>
    <row r="38" spans="1:16" x14ac:dyDescent="0.2">
      <c r="A38" s="193"/>
      <c r="B38" s="199"/>
      <c r="C38" s="199"/>
      <c r="D38" s="206"/>
      <c r="M38" s="177" t="s">
        <v>358</v>
      </c>
      <c r="N38" s="170">
        <f>(N36+N37)/2</f>
        <v>11.585000000000001</v>
      </c>
      <c r="O38" s="170">
        <f>(O36+O37)/2</f>
        <v>7.11</v>
      </c>
      <c r="P38" s="171">
        <f>(P36+P37)/2</f>
        <v>9</v>
      </c>
    </row>
    <row r="39" spans="1:16" x14ac:dyDescent="0.2">
      <c r="A39" s="192" t="s">
        <v>342</v>
      </c>
      <c r="B39" s="199"/>
      <c r="C39" s="199"/>
      <c r="D39" s="206"/>
    </row>
    <row r="40" spans="1:16" x14ac:dyDescent="0.2">
      <c r="A40" s="192" t="s">
        <v>343</v>
      </c>
      <c r="B40" s="199"/>
      <c r="C40" s="199"/>
      <c r="D40" s="206"/>
      <c r="M40" s="227" t="s">
        <v>387</v>
      </c>
      <c r="N40" s="228">
        <v>2022</v>
      </c>
      <c r="O40" s="228">
        <v>2021</v>
      </c>
      <c r="P40" s="229">
        <v>2020</v>
      </c>
    </row>
    <row r="41" spans="1:16" x14ac:dyDescent="0.2">
      <c r="A41" s="193" t="s">
        <v>344</v>
      </c>
      <c r="B41" s="199"/>
      <c r="C41" s="199"/>
      <c r="D41" s="206"/>
      <c r="M41" s="175" t="s">
        <v>274</v>
      </c>
      <c r="N41" s="88">
        <v>-10.89</v>
      </c>
      <c r="O41" s="88">
        <v>-10.1</v>
      </c>
      <c r="P41" s="176">
        <v>6.81</v>
      </c>
    </row>
    <row r="42" spans="1:16" x14ac:dyDescent="0.2">
      <c r="A42" s="194" t="s">
        <v>345</v>
      </c>
      <c r="B42" s="199">
        <v>3149.63</v>
      </c>
      <c r="C42" s="199">
        <v>2500.7199999999998</v>
      </c>
      <c r="D42" s="206">
        <v>3336.59</v>
      </c>
      <c r="M42" s="175" t="s">
        <v>278</v>
      </c>
      <c r="N42" s="88">
        <v>5.28</v>
      </c>
      <c r="O42" s="88">
        <v>1.84</v>
      </c>
      <c r="P42" s="176">
        <v>6.26</v>
      </c>
    </row>
    <row r="43" spans="1:16" x14ac:dyDescent="0.2">
      <c r="A43" s="194" t="s">
        <v>346</v>
      </c>
      <c r="B43" s="199">
        <v>11.32</v>
      </c>
      <c r="C43" s="199">
        <v>7.67</v>
      </c>
      <c r="D43" s="206">
        <v>9.5500000000000007</v>
      </c>
      <c r="M43" s="175" t="s">
        <v>277</v>
      </c>
      <c r="N43" s="88">
        <v>12.67</v>
      </c>
      <c r="O43" s="88">
        <v>6</v>
      </c>
      <c r="P43" s="176">
        <v>5.97</v>
      </c>
    </row>
    <row r="44" spans="1:16" x14ac:dyDescent="0.2">
      <c r="A44" s="195" t="s">
        <v>167</v>
      </c>
      <c r="B44" s="199">
        <v>11.97</v>
      </c>
      <c r="C44" s="193">
        <v>13.39</v>
      </c>
      <c r="D44" s="206">
        <v>14.48</v>
      </c>
      <c r="M44" s="177" t="s">
        <v>358</v>
      </c>
      <c r="N44" s="170">
        <f>(N42+N43)/2</f>
        <v>8.9749999999999996</v>
      </c>
      <c r="O44" s="170">
        <f>(O42+O43)/2</f>
        <v>3.92</v>
      </c>
      <c r="P44" s="171">
        <f>(P42+P43)/2</f>
        <v>6.1150000000000002</v>
      </c>
    </row>
    <row r="45" spans="1:16" x14ac:dyDescent="0.2">
      <c r="A45" s="196" t="s">
        <v>347</v>
      </c>
      <c r="B45" s="196">
        <v>3172.92</v>
      </c>
      <c r="C45" s="196">
        <v>2521.7800000000002</v>
      </c>
      <c r="D45" s="207">
        <v>3360.62</v>
      </c>
    </row>
    <row r="46" spans="1:16" x14ac:dyDescent="0.2">
      <c r="A46" s="193"/>
      <c r="B46" s="199"/>
      <c r="C46" s="199"/>
      <c r="D46" s="206"/>
      <c r="M46" s="227" t="s">
        <v>393</v>
      </c>
      <c r="N46" s="228">
        <v>2022</v>
      </c>
      <c r="O46" s="228">
        <v>2021</v>
      </c>
      <c r="P46" s="229">
        <v>2020</v>
      </c>
    </row>
    <row r="47" spans="1:16" x14ac:dyDescent="0.2">
      <c r="A47" s="192" t="s">
        <v>348</v>
      </c>
      <c r="B47" s="199"/>
      <c r="C47" s="199"/>
      <c r="D47" s="206"/>
      <c r="M47" s="175" t="s">
        <v>274</v>
      </c>
      <c r="N47" s="88">
        <v>-0.44</v>
      </c>
      <c r="O47" s="88">
        <v>3.53</v>
      </c>
      <c r="P47" s="176">
        <v>10.08</v>
      </c>
    </row>
    <row r="48" spans="1:16" x14ac:dyDescent="0.2">
      <c r="A48" s="193" t="s">
        <v>349</v>
      </c>
      <c r="B48" s="199"/>
      <c r="C48" s="199"/>
      <c r="D48" s="206"/>
      <c r="M48" s="175" t="s">
        <v>278</v>
      </c>
      <c r="N48" s="88">
        <v>17.3</v>
      </c>
      <c r="O48" s="88">
        <v>8.61</v>
      </c>
      <c r="P48" s="176">
        <v>22.13</v>
      </c>
    </row>
    <row r="49" spans="1:16" x14ac:dyDescent="0.2">
      <c r="A49" s="194" t="s">
        <v>345</v>
      </c>
      <c r="B49" s="199">
        <v>1292.1199999999999</v>
      </c>
      <c r="C49" s="199">
        <v>839.05</v>
      </c>
      <c r="D49" s="206">
        <v>784.08</v>
      </c>
      <c r="M49" s="175" t="s">
        <v>277</v>
      </c>
      <c r="N49" s="88">
        <v>26.52</v>
      </c>
      <c r="O49" s="88">
        <v>12.52</v>
      </c>
      <c r="P49" s="176">
        <v>13.21</v>
      </c>
    </row>
    <row r="50" spans="1:16" x14ac:dyDescent="0.2">
      <c r="A50" s="194" t="s">
        <v>350</v>
      </c>
      <c r="B50" s="199"/>
      <c r="C50" s="199">
        <v>2.58</v>
      </c>
      <c r="D50" s="206">
        <v>2.4500000000000002</v>
      </c>
      <c r="M50" s="177" t="s">
        <v>358</v>
      </c>
      <c r="N50" s="170">
        <f>(N48+N49)/2</f>
        <v>21.91</v>
      </c>
      <c r="O50" s="170">
        <f>(O48+O49)/2</f>
        <v>10.565</v>
      </c>
      <c r="P50" s="171">
        <f>(P48+P49)/2</f>
        <v>17.670000000000002</v>
      </c>
    </row>
    <row r="51" spans="1:16" x14ac:dyDescent="0.2">
      <c r="A51" s="194" t="s">
        <v>352</v>
      </c>
      <c r="B51" s="199">
        <v>335.29</v>
      </c>
      <c r="C51" s="199">
        <v>384.55</v>
      </c>
      <c r="D51" s="206">
        <v>308.68</v>
      </c>
    </row>
    <row r="52" spans="1:16" x14ac:dyDescent="0.2">
      <c r="A52" s="194" t="s">
        <v>353</v>
      </c>
      <c r="B52" s="199">
        <v>83.4</v>
      </c>
      <c r="C52" s="199">
        <v>902.49</v>
      </c>
      <c r="D52" s="206">
        <v>165.53</v>
      </c>
    </row>
    <row r="53" spans="1:16" x14ac:dyDescent="0.2">
      <c r="A53" s="195" t="s">
        <v>355</v>
      </c>
      <c r="B53" s="199">
        <v>100.16</v>
      </c>
      <c r="C53" s="199">
        <v>123.67</v>
      </c>
      <c r="D53" s="206">
        <v>69.06</v>
      </c>
    </row>
    <row r="54" spans="1:16" x14ac:dyDescent="0.2">
      <c r="A54" s="195" t="s">
        <v>167</v>
      </c>
      <c r="B54" s="199">
        <v>3.15</v>
      </c>
      <c r="C54" s="199">
        <v>3.96</v>
      </c>
      <c r="D54" s="206">
        <v>60.09</v>
      </c>
    </row>
    <row r="55" spans="1:16" x14ac:dyDescent="0.2">
      <c r="A55" s="196" t="s">
        <v>356</v>
      </c>
      <c r="B55" s="196">
        <v>1814.12</v>
      </c>
      <c r="C55" s="196">
        <v>2310.3000000000002</v>
      </c>
      <c r="D55" s="207">
        <v>1389.93</v>
      </c>
    </row>
    <row r="56" spans="1:16" x14ac:dyDescent="0.2">
      <c r="A56" s="198" t="s">
        <v>357</v>
      </c>
      <c r="B56" s="198">
        <v>4228.6000000000004</v>
      </c>
      <c r="C56" s="198">
        <v>4636.1499999999996</v>
      </c>
      <c r="D56" s="208">
        <v>4809.71</v>
      </c>
      <c r="M56" s="227" t="s">
        <v>397</v>
      </c>
      <c r="N56" s="228">
        <v>2022</v>
      </c>
      <c r="O56" s="228">
        <v>2021</v>
      </c>
      <c r="P56" s="229">
        <v>2020</v>
      </c>
    </row>
    <row r="57" spans="1:16" x14ac:dyDescent="0.2">
      <c r="B57" s="178"/>
      <c r="M57" s="175" t="s">
        <v>274</v>
      </c>
      <c r="N57" s="88">
        <v>-22.31</v>
      </c>
      <c r="O57" s="88">
        <v>-22.69</v>
      </c>
      <c r="P57" s="176">
        <v>15.881</v>
      </c>
    </row>
    <row r="58" spans="1:16" x14ac:dyDescent="0.2">
      <c r="B58" s="178"/>
      <c r="M58" s="175" t="s">
        <v>278</v>
      </c>
      <c r="N58" s="88">
        <v>27.31</v>
      </c>
      <c r="O58" s="88">
        <v>8.14</v>
      </c>
      <c r="P58" s="176">
        <v>31.19</v>
      </c>
    </row>
    <row r="59" spans="1:16" ht="15" customHeight="1" x14ac:dyDescent="0.2">
      <c r="A59" s="457" t="s">
        <v>360</v>
      </c>
      <c r="B59" s="458"/>
      <c r="C59" s="458"/>
      <c r="D59" s="459"/>
      <c r="M59" s="175" t="s">
        <v>277</v>
      </c>
      <c r="N59" s="88">
        <v>1.63</v>
      </c>
      <c r="O59" s="88">
        <v>0.68</v>
      </c>
      <c r="P59" s="176">
        <v>0.67</v>
      </c>
    </row>
    <row r="60" spans="1:16" ht="15" customHeight="1" x14ac:dyDescent="0.2">
      <c r="A60" s="460"/>
      <c r="B60" s="461"/>
      <c r="C60" s="461"/>
      <c r="D60" s="462"/>
      <c r="M60" s="177" t="s">
        <v>358</v>
      </c>
      <c r="N60" s="170">
        <f>(N58+N59)/2</f>
        <v>14.469999999999999</v>
      </c>
      <c r="O60" s="170">
        <f>(O58+O59)/2</f>
        <v>4.41</v>
      </c>
      <c r="P60" s="171">
        <f>(P58+P59)/2</f>
        <v>15.930000000000001</v>
      </c>
    </row>
    <row r="61" spans="1:16" x14ac:dyDescent="0.2">
      <c r="A61" s="190" t="s">
        <v>281</v>
      </c>
      <c r="B61" s="191">
        <v>44621</v>
      </c>
      <c r="C61" s="191">
        <v>44256</v>
      </c>
      <c r="D61" s="191">
        <v>43891</v>
      </c>
    </row>
    <row r="62" spans="1:16" x14ac:dyDescent="0.2">
      <c r="A62" s="193" t="s">
        <v>361</v>
      </c>
      <c r="B62" s="199">
        <v>2000.92</v>
      </c>
      <c r="C62" s="199">
        <v>1193.42</v>
      </c>
      <c r="D62" s="199">
        <v>1894.62</v>
      </c>
      <c r="M62" s="227" t="s">
        <v>330</v>
      </c>
      <c r="N62" s="228">
        <v>2022</v>
      </c>
      <c r="O62" s="228">
        <v>2021</v>
      </c>
      <c r="P62" s="229">
        <v>2020</v>
      </c>
    </row>
    <row r="63" spans="1:16" x14ac:dyDescent="0.2">
      <c r="A63" s="193" t="s">
        <v>362</v>
      </c>
      <c r="B63" s="199">
        <v>105.3</v>
      </c>
      <c r="C63" s="199">
        <v>32.29</v>
      </c>
      <c r="D63" s="199">
        <v>50.04</v>
      </c>
      <c r="M63" s="175" t="s">
        <v>274</v>
      </c>
      <c r="N63" s="88">
        <v>-0.02</v>
      </c>
      <c r="O63" s="88">
        <v>0.13</v>
      </c>
      <c r="P63" s="176">
        <v>0.62</v>
      </c>
    </row>
    <row r="64" spans="1:16" x14ac:dyDescent="0.2">
      <c r="A64" s="196" t="s">
        <v>363</v>
      </c>
      <c r="B64" s="196">
        <v>2106.2199999999998</v>
      </c>
      <c r="C64" s="196">
        <v>1225.71</v>
      </c>
      <c r="D64" s="196">
        <v>1944.66</v>
      </c>
      <c r="M64" s="175" t="s">
        <v>278</v>
      </c>
      <c r="N64" s="88">
        <v>4.8000000000000001E-2</v>
      </c>
      <c r="O64" s="88">
        <v>0.01</v>
      </c>
      <c r="P64" s="176">
        <v>1.7000000000000001E-2</v>
      </c>
    </row>
    <row r="65" spans="1:17" x14ac:dyDescent="0.2">
      <c r="A65" s="193"/>
      <c r="B65" s="199"/>
      <c r="C65" s="199"/>
      <c r="D65" s="199"/>
      <c r="M65" s="175" t="s">
        <v>277</v>
      </c>
      <c r="N65" s="88">
        <v>13.74</v>
      </c>
      <c r="O65" s="88">
        <v>7.18</v>
      </c>
      <c r="P65" s="176">
        <v>4.8</v>
      </c>
    </row>
    <row r="66" spans="1:17" x14ac:dyDescent="0.2">
      <c r="A66" s="192" t="s">
        <v>365</v>
      </c>
      <c r="B66" s="199"/>
      <c r="C66" s="199"/>
      <c r="D66" s="199"/>
      <c r="M66" s="177" t="s">
        <v>358</v>
      </c>
      <c r="N66" s="170">
        <f>(N64+N65)/2</f>
        <v>6.8940000000000001</v>
      </c>
      <c r="O66" s="170">
        <f>(O64+O65)/2</f>
        <v>3.5949999999999998</v>
      </c>
      <c r="P66" s="171">
        <f>(P64+P65)/2</f>
        <v>2.4085000000000001</v>
      </c>
    </row>
    <row r="67" spans="1:17" x14ac:dyDescent="0.2">
      <c r="A67" s="194" t="s">
        <v>92</v>
      </c>
      <c r="B67" s="199">
        <v>1171.3699999999999</v>
      </c>
      <c r="C67" s="199">
        <v>545.12</v>
      </c>
      <c r="D67" s="199">
        <v>910.98</v>
      </c>
    </row>
    <row r="68" spans="1:17" x14ac:dyDescent="0.2">
      <c r="A68" s="194" t="s">
        <v>366</v>
      </c>
      <c r="B68" s="199">
        <v>4.58</v>
      </c>
      <c r="C68" s="199">
        <v>1.96</v>
      </c>
      <c r="D68" s="199">
        <v>160.91999999999999</v>
      </c>
      <c r="M68" s="227" t="s">
        <v>404</v>
      </c>
      <c r="N68" s="228">
        <v>2022</v>
      </c>
      <c r="O68" s="228">
        <v>2021</v>
      </c>
      <c r="P68" s="229">
        <v>2020</v>
      </c>
    </row>
    <row r="69" spans="1:17" x14ac:dyDescent="0.2">
      <c r="A69" s="193" t="s">
        <v>367</v>
      </c>
      <c r="B69" s="199">
        <v>176.13</v>
      </c>
      <c r="C69" s="199">
        <v>307.13</v>
      </c>
      <c r="D69" s="199">
        <v>-54.61</v>
      </c>
      <c r="M69" s="175" t="s">
        <v>274</v>
      </c>
      <c r="N69" s="88">
        <v>11.29</v>
      </c>
      <c r="O69" s="88">
        <v>5.97</v>
      </c>
      <c r="P69" s="176">
        <v>16.329999999999998</v>
      </c>
    </row>
    <row r="70" spans="1:17" x14ac:dyDescent="0.2">
      <c r="A70" s="194" t="s">
        <v>368</v>
      </c>
      <c r="B70" s="199">
        <v>62.72</v>
      </c>
      <c r="C70" s="199">
        <v>60.33</v>
      </c>
      <c r="D70" s="199">
        <v>89.85</v>
      </c>
      <c r="M70" s="175" t="s">
        <v>278</v>
      </c>
      <c r="N70" s="88">
        <v>2.37</v>
      </c>
      <c r="O70" s="88">
        <v>4</v>
      </c>
      <c r="P70" s="176">
        <v>5.43</v>
      </c>
    </row>
    <row r="71" spans="1:17" x14ac:dyDescent="0.2">
      <c r="A71" s="194" t="s">
        <v>370</v>
      </c>
      <c r="B71" s="199">
        <v>524</v>
      </c>
      <c r="C71" s="199">
        <v>588.39</v>
      </c>
      <c r="D71" s="199">
        <v>553.82000000000005</v>
      </c>
      <c r="M71" s="175" t="s">
        <v>277</v>
      </c>
      <c r="N71" s="88">
        <v>2.93</v>
      </c>
      <c r="O71" s="88">
        <v>4.4800000000000004</v>
      </c>
      <c r="P71" s="176">
        <v>5.15</v>
      </c>
    </row>
    <row r="72" spans="1:17" x14ac:dyDescent="0.2">
      <c r="A72" s="194" t="s">
        <v>371</v>
      </c>
      <c r="B72" s="199">
        <v>32.78</v>
      </c>
      <c r="C72" s="199">
        <v>33.72</v>
      </c>
      <c r="D72" s="199">
        <v>33.11</v>
      </c>
      <c r="M72" s="177" t="s">
        <v>358</v>
      </c>
      <c r="N72" s="170">
        <f>(N70+N71)/2</f>
        <v>2.6500000000000004</v>
      </c>
      <c r="O72" s="170">
        <f>(O70+O71)/2</f>
        <v>4.24</v>
      </c>
      <c r="P72" s="171">
        <f>(P70+P71)/2</f>
        <v>5.29</v>
      </c>
    </row>
    <row r="73" spans="1:17" x14ac:dyDescent="0.2">
      <c r="A73" s="194" t="s">
        <v>372</v>
      </c>
      <c r="B73" s="199">
        <v>435.98</v>
      </c>
      <c r="C73" s="199">
        <v>253.38</v>
      </c>
      <c r="D73" s="199">
        <v>458.66</v>
      </c>
    </row>
    <row r="74" spans="1:17" x14ac:dyDescent="0.2">
      <c r="A74" s="196" t="s">
        <v>373</v>
      </c>
      <c r="B74" s="196">
        <v>2407.56</v>
      </c>
      <c r="C74" s="196">
        <v>1790.03</v>
      </c>
      <c r="D74" s="196">
        <v>2153.73</v>
      </c>
      <c r="M74" s="227" t="s">
        <v>405</v>
      </c>
      <c r="N74" s="228">
        <v>2022</v>
      </c>
      <c r="O74" s="228">
        <v>2021</v>
      </c>
      <c r="P74" s="229">
        <v>2020</v>
      </c>
    </row>
    <row r="75" spans="1:17" x14ac:dyDescent="0.2">
      <c r="A75" s="192" t="s">
        <v>374</v>
      </c>
      <c r="B75" s="196">
        <v>-301.33999999999997</v>
      </c>
      <c r="C75" s="196">
        <v>-564.32000000000005</v>
      </c>
      <c r="D75" s="196">
        <v>-209.07</v>
      </c>
      <c r="M75" s="175" t="s">
        <v>274</v>
      </c>
      <c r="N75" s="88">
        <v>1.24</v>
      </c>
      <c r="O75" s="88">
        <v>0.72</v>
      </c>
      <c r="P75" s="176">
        <v>1.27</v>
      </c>
    </row>
    <row r="76" spans="1:17" x14ac:dyDescent="0.2">
      <c r="A76" s="195" t="s">
        <v>375</v>
      </c>
      <c r="B76" s="199">
        <v>-233.03</v>
      </c>
      <c r="C76" s="199">
        <v>57.78</v>
      </c>
      <c r="D76" s="199"/>
      <c r="M76" s="175" t="s">
        <v>278</v>
      </c>
      <c r="N76" s="88">
        <v>2</v>
      </c>
      <c r="O76" s="88">
        <v>1.39</v>
      </c>
      <c r="P76" s="176">
        <v>1.96</v>
      </c>
    </row>
    <row r="77" spans="1:17" x14ac:dyDescent="0.2">
      <c r="A77" s="192" t="s">
        <v>374</v>
      </c>
      <c r="B77" s="196">
        <v>-534.37</v>
      </c>
      <c r="C77" s="196">
        <v>-506.54</v>
      </c>
      <c r="D77" s="196">
        <v>-209.07</v>
      </c>
      <c r="M77" s="175" t="s">
        <v>277</v>
      </c>
      <c r="N77" s="88">
        <v>1.36</v>
      </c>
      <c r="O77" s="88">
        <v>0.96</v>
      </c>
      <c r="P77" s="176">
        <v>0.98</v>
      </c>
    </row>
    <row r="78" spans="1:17" x14ac:dyDescent="0.2">
      <c r="A78" s="192"/>
      <c r="B78" s="199"/>
      <c r="C78" s="199"/>
      <c r="D78" s="199"/>
      <c r="M78" s="177" t="s">
        <v>358</v>
      </c>
      <c r="N78" s="170">
        <f>(N76+N77)/2</f>
        <v>1.6800000000000002</v>
      </c>
      <c r="O78" s="170">
        <f>(O76+O77)/2</f>
        <v>1.1749999999999998</v>
      </c>
      <c r="P78" s="171">
        <f>(P76+P77)/2</f>
        <v>1.47</v>
      </c>
    </row>
    <row r="79" spans="1:17" x14ac:dyDescent="0.2">
      <c r="A79" s="192" t="s">
        <v>377</v>
      </c>
      <c r="B79" s="193"/>
      <c r="C79" s="199"/>
      <c r="D79" s="199"/>
    </row>
    <row r="80" spans="1:17" x14ac:dyDescent="0.2">
      <c r="A80" s="193" t="s">
        <v>378</v>
      </c>
      <c r="B80" s="193"/>
      <c r="C80" s="199"/>
      <c r="D80" s="199"/>
      <c r="M80" s="463" t="s">
        <v>406</v>
      </c>
      <c r="N80" s="463"/>
      <c r="O80" s="463"/>
      <c r="P80" s="463"/>
      <c r="Q80" s="154"/>
    </row>
    <row r="81" spans="1:4" x14ac:dyDescent="0.2">
      <c r="A81" s="193" t="s">
        <v>379</v>
      </c>
      <c r="B81" s="193">
        <v>-74.14</v>
      </c>
      <c r="C81" s="199">
        <v>-36.619999999999997</v>
      </c>
      <c r="D81" s="199">
        <v>-531.59</v>
      </c>
    </row>
    <row r="82" spans="1:4" x14ac:dyDescent="0.2">
      <c r="A82" s="193" t="s">
        <v>380</v>
      </c>
      <c r="B82" s="193">
        <v>0.22</v>
      </c>
      <c r="C82" s="199">
        <v>-0.82</v>
      </c>
      <c r="D82" s="199">
        <v>-5.35</v>
      </c>
    </row>
    <row r="83" spans="1:4" x14ac:dyDescent="0.2">
      <c r="A83" s="196" t="s">
        <v>382</v>
      </c>
      <c r="B83" s="192">
        <v>-73.92</v>
      </c>
      <c r="C83" s="196">
        <v>-37.44</v>
      </c>
      <c r="D83" s="196">
        <v>-536.94000000000005</v>
      </c>
    </row>
    <row r="84" spans="1:4" x14ac:dyDescent="0.2">
      <c r="A84" s="192" t="s">
        <v>383</v>
      </c>
      <c r="B84" s="192">
        <v>-460.45</v>
      </c>
      <c r="C84" s="196">
        <v>-469.1</v>
      </c>
      <c r="D84" s="196">
        <v>327.87</v>
      </c>
    </row>
    <row r="85" spans="1:4" x14ac:dyDescent="0.2">
      <c r="A85" s="193"/>
      <c r="B85" s="193"/>
      <c r="C85" s="199"/>
      <c r="D85" s="199"/>
    </row>
    <row r="86" spans="1:4" x14ac:dyDescent="0.2">
      <c r="A86" s="192" t="s">
        <v>384</v>
      </c>
      <c r="B86" s="193"/>
      <c r="C86" s="199"/>
      <c r="D86" s="199"/>
    </row>
    <row r="87" spans="1:4" x14ac:dyDescent="0.2">
      <c r="A87" s="193" t="s">
        <v>385</v>
      </c>
      <c r="B87" s="193"/>
      <c r="C87" s="199"/>
      <c r="D87" s="199"/>
    </row>
    <row r="88" spans="1:4" x14ac:dyDescent="0.2">
      <c r="A88" s="193" t="s">
        <v>386</v>
      </c>
      <c r="B88" s="193">
        <v>3.36</v>
      </c>
      <c r="C88" s="199">
        <v>2.63</v>
      </c>
      <c r="D88" s="199">
        <v>-2.7</v>
      </c>
    </row>
    <row r="89" spans="1:4" x14ac:dyDescent="0.2">
      <c r="A89" s="193" t="s">
        <v>388</v>
      </c>
      <c r="B89" s="193">
        <v>-106.36</v>
      </c>
      <c r="C89" s="199">
        <v>215.48</v>
      </c>
      <c r="D89" s="199">
        <v>-410.59</v>
      </c>
    </row>
    <row r="90" spans="1:4" x14ac:dyDescent="0.2">
      <c r="A90" s="193" t="s">
        <v>389</v>
      </c>
      <c r="B90" s="193">
        <v>0.94</v>
      </c>
      <c r="C90" s="199">
        <v>0.32</v>
      </c>
      <c r="D90" s="199">
        <v>0.79</v>
      </c>
    </row>
    <row r="91" spans="1:4" x14ac:dyDescent="0.2">
      <c r="A91" s="196" t="s">
        <v>390</v>
      </c>
      <c r="B91" s="192">
        <v>-102.06</v>
      </c>
      <c r="C91" s="196">
        <v>218.43</v>
      </c>
      <c r="D91" s="196">
        <v>-412.5</v>
      </c>
    </row>
    <row r="92" spans="1:4" x14ac:dyDescent="0.2">
      <c r="A92" s="192" t="s">
        <v>391</v>
      </c>
      <c r="B92" s="192">
        <v>-562.51</v>
      </c>
      <c r="C92" s="196">
        <v>250.67</v>
      </c>
      <c r="D92" s="196">
        <v>-84.63</v>
      </c>
    </row>
    <row r="93" spans="1:4" x14ac:dyDescent="0.2">
      <c r="A93" s="193"/>
      <c r="B93" s="193"/>
      <c r="C93" s="199"/>
      <c r="D93" s="199"/>
    </row>
    <row r="94" spans="1:4" x14ac:dyDescent="0.2">
      <c r="A94" s="193" t="s">
        <v>392</v>
      </c>
      <c r="B94" s="193"/>
      <c r="C94" s="199"/>
      <c r="D94" s="199"/>
    </row>
    <row r="95" spans="1:4" x14ac:dyDescent="0.2">
      <c r="A95" s="193" t="s">
        <v>394</v>
      </c>
      <c r="B95" s="193">
        <v>-22.29</v>
      </c>
      <c r="C95" s="199">
        <v>-22.71</v>
      </c>
      <c r="D95" s="199">
        <v>15.87</v>
      </c>
    </row>
    <row r="96" spans="1:4" x14ac:dyDescent="0.2">
      <c r="A96" s="200" t="s">
        <v>395</v>
      </c>
      <c r="B96" s="200">
        <v>-22.29</v>
      </c>
      <c r="C96" s="202">
        <v>-22.71</v>
      </c>
      <c r="D96" s="202">
        <v>15.87</v>
      </c>
    </row>
    <row r="99" spans="1:4" ht="15" customHeight="1" x14ac:dyDescent="0.2">
      <c r="A99" s="451" t="s">
        <v>396</v>
      </c>
      <c r="B99" s="452"/>
      <c r="C99" s="452"/>
      <c r="D99" s="453"/>
    </row>
    <row r="100" spans="1:4" ht="15" customHeight="1" x14ac:dyDescent="0.2">
      <c r="A100" s="454"/>
      <c r="B100" s="455"/>
      <c r="C100" s="455"/>
      <c r="D100" s="456"/>
    </row>
    <row r="101" spans="1:4" x14ac:dyDescent="0.2">
      <c r="A101" s="188" t="s">
        <v>281</v>
      </c>
      <c r="B101" s="189">
        <v>44621</v>
      </c>
      <c r="C101" s="189">
        <v>44256</v>
      </c>
      <c r="D101" s="189">
        <v>43891</v>
      </c>
    </row>
    <row r="102" spans="1:4" x14ac:dyDescent="0.2">
      <c r="A102" s="204" t="s">
        <v>398</v>
      </c>
      <c r="B102" s="204">
        <v>-460.45</v>
      </c>
      <c r="C102" s="204">
        <v>-469.1</v>
      </c>
      <c r="D102" s="204">
        <v>327.87</v>
      </c>
    </row>
    <row r="103" spans="1:4" x14ac:dyDescent="0.2">
      <c r="A103" s="193" t="s">
        <v>399</v>
      </c>
      <c r="B103" s="193">
        <v>1171.3699999999999</v>
      </c>
      <c r="C103" s="193">
        <v>545.12</v>
      </c>
      <c r="D103" s="193">
        <v>910.98</v>
      </c>
    </row>
    <row r="104" spans="1:4" x14ac:dyDescent="0.2">
      <c r="A104" s="193" t="s">
        <v>400</v>
      </c>
      <c r="B104" s="193">
        <v>125.21</v>
      </c>
      <c r="C104" s="193">
        <v>57.3</v>
      </c>
      <c r="D104" s="193">
        <v>54.27</v>
      </c>
    </row>
    <row r="105" spans="1:4" x14ac:dyDescent="0.2">
      <c r="A105" s="193" t="s">
        <v>401</v>
      </c>
      <c r="B105" s="193">
        <v>1128.33</v>
      </c>
      <c r="C105" s="193">
        <v>613.03</v>
      </c>
      <c r="D105" s="193">
        <v>914.01</v>
      </c>
    </row>
    <row r="106" spans="1:4" x14ac:dyDescent="0.2">
      <c r="A106" s="193" t="s">
        <v>402</v>
      </c>
      <c r="B106" s="193">
        <v>82.17</v>
      </c>
      <c r="C106" s="193">
        <v>125.21</v>
      </c>
      <c r="D106" s="193">
        <v>57.3</v>
      </c>
    </row>
    <row r="107" spans="1:4" x14ac:dyDescent="0.2">
      <c r="A107" s="193" t="s">
        <v>225</v>
      </c>
      <c r="B107" s="193">
        <v>22</v>
      </c>
      <c r="C107" s="193">
        <v>116</v>
      </c>
      <c r="D107" s="193">
        <v>378</v>
      </c>
    </row>
    <row r="108" spans="1:4" x14ac:dyDescent="0.2">
      <c r="A108" s="200" t="s">
        <v>403</v>
      </c>
      <c r="B108" s="200">
        <v>20.653490000000001</v>
      </c>
      <c r="C108" s="200">
        <v>20.653490000000001</v>
      </c>
      <c r="D108" s="200">
        <v>20.653490000000001</v>
      </c>
    </row>
    <row r="142" spans="13:17" x14ac:dyDescent="0.2">
      <c r="M142" s="154"/>
      <c r="N142" s="154"/>
      <c r="O142" s="154"/>
      <c r="P142" s="154"/>
      <c r="Q142" s="154"/>
    </row>
  </sheetData>
  <mergeCells count="7">
    <mergeCell ref="A99:D100"/>
    <mergeCell ref="A2:D3"/>
    <mergeCell ref="A59:D60"/>
    <mergeCell ref="M2:P3"/>
    <mergeCell ref="M80:P80"/>
    <mergeCell ref="F2:J3"/>
    <mergeCell ref="H4:J4"/>
  </mergeCells>
  <pageMargins left="0.7" right="0.7" top="0.75" bottom="0.75" header="0.3" footer="0.3"/>
  <pageSetup paperSize="9" scale="97" orientation="portrait" horizontalDpi="300" verticalDpi="300" r:id="rId1"/>
  <colBreaks count="2" manualBreakCount="2">
    <brk id="4" max="1048575" man="1"/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12</vt:i4>
      </vt:variant>
    </vt:vector>
  </HeadingPairs>
  <TitlesOfParts>
    <vt:vector size="36" baseType="lpstr">
      <vt:lpstr>SSML - Dividends, Stock and Mkt</vt:lpstr>
      <vt:lpstr>SSML - Ratios</vt:lpstr>
      <vt:lpstr>SSML - Ratios (2)</vt:lpstr>
      <vt:lpstr>SSML - Ratio Graphs</vt:lpstr>
      <vt:lpstr>SSML - Balance Sheet Elements</vt:lpstr>
      <vt:lpstr>BDMCL - Dividend, Stock &amp; Mkt</vt:lpstr>
      <vt:lpstr>BDMCL - Mkt Cap</vt:lpstr>
      <vt:lpstr>BDMCL - Financials</vt:lpstr>
      <vt:lpstr>BDMCL - Ratios</vt:lpstr>
      <vt:lpstr>Bombay Dyeing</vt:lpstr>
      <vt:lpstr>Trident - Dividend, Stock &amp; Mkt</vt:lpstr>
      <vt:lpstr>Trident - Ratio Analysis </vt:lpstr>
      <vt:lpstr>Trident - Balance Sheet, P&amp;L</vt:lpstr>
      <vt:lpstr>Trident - Comparison &amp; Graphs</vt:lpstr>
      <vt:lpstr>Raymond</vt:lpstr>
      <vt:lpstr>Rupa - Dividend</vt:lpstr>
      <vt:lpstr>Rupa - Share Data</vt:lpstr>
      <vt:lpstr>Rupa - Market Cap</vt:lpstr>
      <vt:lpstr>Rupa - Standalone Balance Sheet</vt:lpstr>
      <vt:lpstr>Rupa Standalone Profit and Loss</vt:lpstr>
      <vt:lpstr>Rupa - Ratios</vt:lpstr>
      <vt:lpstr>Page - SoPL</vt:lpstr>
      <vt:lpstr>Page - Balance Sheet</vt:lpstr>
      <vt:lpstr>Page - Ratios Analysis</vt:lpstr>
      <vt:lpstr>BDMCL - Dividend, Stock &amp; Mkt!Print_Area</vt:lpstr>
      <vt:lpstr>BDMCL - Mkt Cap!Print_Area</vt:lpstr>
      <vt:lpstr>Rupa - Dividend!Print_Area</vt:lpstr>
      <vt:lpstr>Rupa - Share Data!Print_Area</vt:lpstr>
      <vt:lpstr>SSML - Balance Sheet Elements!Print_Area</vt:lpstr>
      <vt:lpstr>SSML - Dividends, Stock and Mkt!Print_Area</vt:lpstr>
      <vt:lpstr>SSML - Ratio Graphs!Print_Area</vt:lpstr>
      <vt:lpstr>SSML - Ratios!Print_Area</vt:lpstr>
      <vt:lpstr>SSML - Ratios (2)!Print_Area</vt:lpstr>
      <vt:lpstr>Trident - Balance Sheet, P&amp;L!Print_Area</vt:lpstr>
      <vt:lpstr>Trident - Comparison &amp; Graphs!Print_Area</vt:lpstr>
      <vt:lpstr>Trident - Ratio Analysis 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Ozzie</cp:lastModifiedBy>
  <cp:lastPrinted>2022-09-18T21:19:22Z</cp:lastPrinted>
  <dcterms:created xsi:type="dcterms:W3CDTF">2022-09-16T20:51:13Z</dcterms:created>
  <dcterms:modified xsi:type="dcterms:W3CDTF">2022-09-19T14:25:26Z</dcterms:modified>
</cp:coreProperties>
</file>