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xampp\htdocs\pharmahealth\import\pricing\file\"/>
    </mc:Choice>
  </mc:AlternateContent>
  <xr:revisionPtr revIDLastSave="0" documentId="13_ncr:1_{98A9C9E3-8254-44B3-A9C5-135FBEA4301E}" xr6:coauthVersionLast="47" xr6:coauthVersionMax="47" xr10:uidLastSave="{00000000-0000-0000-0000-000000000000}"/>
  <bookViews>
    <workbookView xWindow="-108" yWindow="-108" windowWidth="23256" windowHeight="12456" activeTab="3" xr2:uid="{00000000-000D-0000-FFFF-FFFF00000000}"/>
  </bookViews>
  <sheets>
    <sheet name="Sheet1" sheetId="1" r:id="rId1"/>
    <sheet name="Testing notes" sheetId="2" r:id="rId2"/>
    <sheet name="notes" sheetId="3" r:id="rId3"/>
    <sheet name="Sheet2"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111" i="4" l="1"/>
  <c r="AG111" i="4"/>
  <c r="AF111" i="4"/>
  <c r="AE111" i="4"/>
  <c r="AD111" i="4"/>
  <c r="AC111" i="4"/>
  <c r="AB111" i="4"/>
  <c r="AA111" i="4"/>
  <c r="H11" i="4"/>
  <c r="AH110" i="4"/>
  <c r="AG110" i="4"/>
  <c r="AF110" i="4"/>
  <c r="AE110" i="4"/>
  <c r="AD110" i="4"/>
  <c r="AC110" i="4"/>
  <c r="AB110" i="4"/>
  <c r="AA110" i="4"/>
  <c r="H10" i="4"/>
  <c r="Z109" i="4"/>
  <c r="Y109" i="4"/>
  <c r="X109" i="4"/>
  <c r="W109" i="4"/>
  <c r="U109" i="4"/>
  <c r="H111" i="4"/>
  <c r="AH108" i="4"/>
  <c r="AG108" i="4"/>
  <c r="AF108" i="4"/>
  <c r="AE108" i="4"/>
  <c r="AD108" i="4"/>
  <c r="AC108" i="4"/>
  <c r="AB108" i="4"/>
  <c r="AA108" i="4"/>
  <c r="H110" i="4"/>
  <c r="AH107" i="4"/>
  <c r="AG107" i="4"/>
  <c r="AF107" i="4"/>
  <c r="AE107" i="4"/>
  <c r="AD107" i="4"/>
  <c r="AC107" i="4"/>
  <c r="AB107" i="4"/>
  <c r="AA107" i="4"/>
  <c r="H87" i="4"/>
  <c r="Z106" i="4"/>
  <c r="Y106" i="4"/>
  <c r="X106" i="4"/>
  <c r="W106" i="4"/>
  <c r="U106" i="4"/>
  <c r="H86" i="4"/>
  <c r="AH105" i="4"/>
  <c r="AG105" i="4"/>
  <c r="AF105" i="4"/>
  <c r="AE105" i="4"/>
  <c r="AD105" i="4"/>
  <c r="AC105" i="4"/>
  <c r="AB105" i="4"/>
  <c r="AA105" i="4"/>
  <c r="H94" i="4"/>
  <c r="AH104" i="4"/>
  <c r="AG104" i="4"/>
  <c r="AF104" i="4"/>
  <c r="AE104" i="4"/>
  <c r="AD104" i="4"/>
  <c r="AC104" i="4"/>
  <c r="AB104" i="4"/>
  <c r="AA104" i="4"/>
  <c r="H93" i="4"/>
  <c r="AH103" i="4"/>
  <c r="AG103" i="4"/>
  <c r="AF103" i="4"/>
  <c r="AE103" i="4"/>
  <c r="AD103" i="4"/>
  <c r="AC103" i="4"/>
  <c r="AB103" i="4"/>
  <c r="AA103" i="4"/>
  <c r="H23" i="4"/>
  <c r="AH102" i="4"/>
  <c r="AG102" i="4"/>
  <c r="AF102" i="4"/>
  <c r="AE102" i="4"/>
  <c r="AD102" i="4"/>
  <c r="AC102" i="4"/>
  <c r="AB102" i="4"/>
  <c r="AA102" i="4"/>
  <c r="H22" i="4"/>
  <c r="AH101" i="4"/>
  <c r="AG101" i="4"/>
  <c r="AF101" i="4"/>
  <c r="AE101" i="4"/>
  <c r="AD101" i="4"/>
  <c r="AC101" i="4"/>
  <c r="AB101" i="4"/>
  <c r="AA101" i="4"/>
  <c r="K101" i="4"/>
  <c r="H3" i="4"/>
  <c r="AH100" i="4"/>
  <c r="AG100" i="4"/>
  <c r="AF100" i="4"/>
  <c r="AE100" i="4"/>
  <c r="AD100" i="4"/>
  <c r="AC100" i="4"/>
  <c r="AB100" i="4"/>
  <c r="AA100" i="4"/>
  <c r="H2" i="4"/>
  <c r="AH99" i="4"/>
  <c r="AG99" i="4"/>
  <c r="AF99" i="4"/>
  <c r="AE99" i="4"/>
  <c r="AD99" i="4"/>
  <c r="AC99" i="4"/>
  <c r="AB99" i="4"/>
  <c r="AA99" i="4"/>
  <c r="H47" i="4"/>
  <c r="AH98" i="4"/>
  <c r="AG98" i="4"/>
  <c r="AF98" i="4"/>
  <c r="AE98" i="4"/>
  <c r="AD98" i="4"/>
  <c r="AC98" i="4"/>
  <c r="AB98" i="4"/>
  <c r="AA98" i="4"/>
  <c r="H46" i="4"/>
  <c r="AH97" i="4"/>
  <c r="AG97" i="4"/>
  <c r="AF97" i="4"/>
  <c r="AE97" i="4"/>
  <c r="AD97" i="4"/>
  <c r="AC97" i="4"/>
  <c r="AB97" i="4"/>
  <c r="AA97" i="4"/>
  <c r="H13" i="4"/>
  <c r="AH96" i="4"/>
  <c r="AG96" i="4"/>
  <c r="AF96" i="4"/>
  <c r="AE96" i="4"/>
  <c r="AD96" i="4"/>
  <c r="AC96" i="4"/>
  <c r="AB96" i="4"/>
  <c r="AA96" i="4"/>
  <c r="H14" i="4"/>
  <c r="AH95" i="4"/>
  <c r="AG95" i="4"/>
  <c r="AF95" i="4"/>
  <c r="AE95" i="4"/>
  <c r="AD95" i="4"/>
  <c r="AC95" i="4"/>
  <c r="AB95" i="4"/>
  <c r="AA95" i="4"/>
  <c r="H12" i="4"/>
  <c r="AH94" i="4"/>
  <c r="AG94" i="4"/>
  <c r="AF94" i="4"/>
  <c r="AE94" i="4"/>
  <c r="AD94" i="4"/>
  <c r="AC94" i="4"/>
  <c r="AB94" i="4"/>
  <c r="AA94" i="4"/>
  <c r="H52" i="4"/>
  <c r="AH93" i="4"/>
  <c r="AG93" i="4"/>
  <c r="AF93" i="4"/>
  <c r="AE93" i="4"/>
  <c r="AD93" i="4"/>
  <c r="AC93" i="4"/>
  <c r="AB93" i="4"/>
  <c r="AA93" i="4"/>
  <c r="H51" i="4"/>
  <c r="AH92" i="4"/>
  <c r="AG92" i="4"/>
  <c r="AF92" i="4"/>
  <c r="AE92" i="4"/>
  <c r="AD92" i="4"/>
  <c r="AC92" i="4"/>
  <c r="AB92" i="4"/>
  <c r="AA92" i="4"/>
  <c r="H50" i="4"/>
  <c r="AH91" i="4"/>
  <c r="AG91" i="4"/>
  <c r="AF91" i="4"/>
  <c r="AE91" i="4"/>
  <c r="AD91" i="4"/>
  <c r="AC91" i="4"/>
  <c r="AB91" i="4"/>
  <c r="AA91" i="4"/>
  <c r="H19" i="4"/>
  <c r="AH90" i="4"/>
  <c r="AG90" i="4"/>
  <c r="AF90" i="4"/>
  <c r="AE90" i="4"/>
  <c r="AD90" i="4"/>
  <c r="AC90" i="4"/>
  <c r="AB90" i="4"/>
  <c r="AA90" i="4"/>
  <c r="H28" i="4"/>
  <c r="AH89" i="4"/>
  <c r="AG89" i="4"/>
  <c r="AF89" i="4"/>
  <c r="AE89" i="4"/>
  <c r="AD89" i="4"/>
  <c r="AC89" i="4"/>
  <c r="AB89" i="4"/>
  <c r="AA89" i="4"/>
  <c r="H27" i="4"/>
  <c r="AH88" i="4"/>
  <c r="AG88" i="4"/>
  <c r="AF88" i="4"/>
  <c r="AE88" i="4"/>
  <c r="AD88" i="4"/>
  <c r="AC88" i="4"/>
  <c r="AB88" i="4"/>
  <c r="AA88" i="4"/>
  <c r="H31" i="4"/>
  <c r="AH87" i="4"/>
  <c r="AG87" i="4"/>
  <c r="AF87" i="4"/>
  <c r="AE87" i="4"/>
  <c r="AD87" i="4"/>
  <c r="AC87" i="4"/>
  <c r="AB87" i="4"/>
  <c r="AA87" i="4"/>
  <c r="H30" i="4"/>
  <c r="AH86" i="4"/>
  <c r="AG86" i="4"/>
  <c r="AF86" i="4"/>
  <c r="AE86" i="4"/>
  <c r="AD86" i="4"/>
  <c r="AC86" i="4"/>
  <c r="AB86" i="4"/>
  <c r="AA86" i="4"/>
  <c r="H60" i="4"/>
  <c r="AH85" i="4"/>
  <c r="AG85" i="4"/>
  <c r="AF85" i="4"/>
  <c r="AE85" i="4"/>
  <c r="AD85" i="4"/>
  <c r="AC85" i="4"/>
  <c r="AB85" i="4"/>
  <c r="AA85" i="4"/>
  <c r="H32" i="4"/>
  <c r="Z84" i="4"/>
  <c r="AH84" i="4" s="1"/>
  <c r="Y84" i="4"/>
  <c r="AF84" i="4" s="1"/>
  <c r="X84" i="4"/>
  <c r="AD84" i="4" s="1"/>
  <c r="W84" i="4"/>
  <c r="AB84" i="4" s="1"/>
  <c r="H109" i="4"/>
  <c r="Z83" i="4"/>
  <c r="AH83" i="4" s="1"/>
  <c r="Y83" i="4"/>
  <c r="AE83" i="4" s="1"/>
  <c r="X83" i="4"/>
  <c r="AC83" i="4" s="1"/>
  <c r="W83" i="4"/>
  <c r="AB83" i="4" s="1"/>
  <c r="H34" i="4"/>
  <c r="Z82" i="4"/>
  <c r="Y82" i="4"/>
  <c r="X82" i="4"/>
  <c r="W82" i="4"/>
  <c r="U82" i="4"/>
  <c r="H33" i="4"/>
  <c r="AC81" i="4"/>
  <c r="Z81" i="4"/>
  <c r="Y81" i="4"/>
  <c r="X81" i="4"/>
  <c r="W81" i="4"/>
  <c r="U81" i="4"/>
  <c r="AD81" i="4" s="1"/>
  <c r="H39" i="4"/>
  <c r="Z80" i="4"/>
  <c r="Y80" i="4"/>
  <c r="X80" i="4"/>
  <c r="W80" i="4"/>
  <c r="U80" i="4"/>
  <c r="H38" i="4"/>
  <c r="Z79" i="4"/>
  <c r="AG79" i="4" s="1"/>
  <c r="Y79" i="4"/>
  <c r="AF79" i="4" s="1"/>
  <c r="X79" i="4"/>
  <c r="W79" i="4"/>
  <c r="U79" i="4"/>
  <c r="H4" i="4"/>
  <c r="Z78" i="4"/>
  <c r="Y78" i="4"/>
  <c r="X78" i="4"/>
  <c r="W78" i="4"/>
  <c r="U78" i="4"/>
  <c r="AF78" i="4" s="1"/>
  <c r="H5" i="4"/>
  <c r="AH77" i="4"/>
  <c r="AG77" i="4"/>
  <c r="AF77" i="4"/>
  <c r="AE77" i="4"/>
  <c r="AD77" i="4"/>
  <c r="AC77" i="4"/>
  <c r="AB77" i="4"/>
  <c r="AA77" i="4"/>
  <c r="H64" i="4"/>
  <c r="AH76" i="4"/>
  <c r="AG76" i="4"/>
  <c r="AF76" i="4"/>
  <c r="AE76" i="4"/>
  <c r="AD76" i="4"/>
  <c r="AC76" i="4"/>
  <c r="W76" i="4"/>
  <c r="AA76" i="4" s="1"/>
  <c r="H7" i="4"/>
  <c r="Z75" i="4"/>
  <c r="Y75" i="4"/>
  <c r="X75" i="4"/>
  <c r="W75" i="4"/>
  <c r="U75" i="4"/>
  <c r="AG75" i="4" s="1"/>
  <c r="H49" i="4"/>
  <c r="U74" i="4"/>
  <c r="H48" i="4"/>
  <c r="AH73" i="4"/>
  <c r="AG73" i="4"/>
  <c r="AF73" i="4"/>
  <c r="AE73" i="4"/>
  <c r="AD73" i="4"/>
  <c r="AC73" i="4"/>
  <c r="AB73" i="4"/>
  <c r="AA73" i="4"/>
  <c r="H55" i="4"/>
  <c r="AH72" i="4"/>
  <c r="AG72" i="4"/>
  <c r="AF72" i="4"/>
  <c r="AE72" i="4"/>
  <c r="AD72" i="4"/>
  <c r="AC72" i="4"/>
  <c r="AB72" i="4"/>
  <c r="AA72" i="4"/>
  <c r="H54" i="4"/>
  <c r="AH71" i="4"/>
  <c r="AG71" i="4"/>
  <c r="AF71" i="4"/>
  <c r="AE71" i="4"/>
  <c r="AD71" i="4"/>
  <c r="AC71" i="4"/>
  <c r="AB71" i="4"/>
  <c r="AA71" i="4"/>
  <c r="H25" i="4"/>
  <c r="AH70" i="4"/>
  <c r="AG70" i="4"/>
  <c r="AF70" i="4"/>
  <c r="AE70" i="4"/>
  <c r="AD70" i="4"/>
  <c r="AC70" i="4"/>
  <c r="AB70" i="4"/>
  <c r="AA70" i="4"/>
  <c r="H24" i="4"/>
  <c r="AF69" i="4"/>
  <c r="Z69" i="4"/>
  <c r="AH69" i="4" s="1"/>
  <c r="Y69" i="4"/>
  <c r="AE69" i="4" s="1"/>
  <c r="X69" i="4"/>
  <c r="AD69" i="4" s="1"/>
  <c r="W69" i="4"/>
  <c r="AA69" i="4" s="1"/>
  <c r="H68" i="4"/>
  <c r="AH68" i="4"/>
  <c r="AG68" i="4"/>
  <c r="AF68" i="4"/>
  <c r="AE68" i="4"/>
  <c r="AD68" i="4"/>
  <c r="AC68" i="4"/>
  <c r="AB68" i="4"/>
  <c r="AA68" i="4"/>
  <c r="H66" i="4"/>
  <c r="AH67" i="4"/>
  <c r="AG67" i="4"/>
  <c r="AF67" i="4"/>
  <c r="AE67" i="4"/>
  <c r="AD67" i="4"/>
  <c r="AC67" i="4"/>
  <c r="AB67" i="4"/>
  <c r="AA67" i="4"/>
  <c r="H16" i="4"/>
  <c r="AH66" i="4"/>
  <c r="AG66" i="4"/>
  <c r="AF66" i="4"/>
  <c r="AE66" i="4"/>
  <c r="AD66" i="4"/>
  <c r="AC66" i="4"/>
  <c r="AB66" i="4"/>
  <c r="AA66" i="4"/>
  <c r="H15" i="4"/>
  <c r="Z65" i="4"/>
  <c r="Y65" i="4"/>
  <c r="X65" i="4"/>
  <c r="W65" i="4"/>
  <c r="AB65" i="4" s="1"/>
  <c r="U65" i="4"/>
  <c r="H83" i="4"/>
  <c r="AH64" i="4"/>
  <c r="AG64" i="4"/>
  <c r="AF64" i="4"/>
  <c r="AE64" i="4"/>
  <c r="AD64" i="4"/>
  <c r="AC64" i="4"/>
  <c r="AB64" i="4"/>
  <c r="AA64" i="4"/>
  <c r="H84" i="4"/>
  <c r="AH63" i="4"/>
  <c r="AG63" i="4"/>
  <c r="AF63" i="4"/>
  <c r="AE63" i="4"/>
  <c r="AD63" i="4"/>
  <c r="AC63" i="4"/>
  <c r="AB63" i="4"/>
  <c r="AA63" i="4"/>
  <c r="H107" i="4"/>
  <c r="AH62" i="4"/>
  <c r="AG62" i="4"/>
  <c r="AF62" i="4"/>
  <c r="AE62" i="4"/>
  <c r="AD62" i="4"/>
  <c r="AC62" i="4"/>
  <c r="AB62" i="4"/>
  <c r="AA62" i="4"/>
  <c r="H88" i="4"/>
  <c r="AH61" i="4"/>
  <c r="AG61" i="4"/>
  <c r="AF61" i="4"/>
  <c r="AE61" i="4"/>
  <c r="AD61" i="4"/>
  <c r="AC61" i="4"/>
  <c r="AB61" i="4"/>
  <c r="AA61" i="4"/>
  <c r="H89" i="4"/>
  <c r="AH60" i="4"/>
  <c r="AG60" i="4"/>
  <c r="AF60" i="4"/>
  <c r="AE60" i="4"/>
  <c r="AD60" i="4"/>
  <c r="AC60" i="4"/>
  <c r="AB60" i="4"/>
  <c r="AA60" i="4"/>
  <c r="H101" i="4"/>
  <c r="AH59" i="4"/>
  <c r="AG59" i="4"/>
  <c r="AF59" i="4"/>
  <c r="AE59" i="4"/>
  <c r="AD59" i="4"/>
  <c r="AC59" i="4"/>
  <c r="AB59" i="4"/>
  <c r="AA59" i="4"/>
  <c r="H102" i="4"/>
  <c r="AH58" i="4"/>
  <c r="AG58" i="4"/>
  <c r="AF58" i="4"/>
  <c r="AE58" i="4"/>
  <c r="AD58" i="4"/>
  <c r="AC58" i="4"/>
  <c r="AB58" i="4"/>
  <c r="AA58" i="4"/>
  <c r="H99" i="4"/>
  <c r="AH57" i="4"/>
  <c r="AG57" i="4"/>
  <c r="AF57" i="4"/>
  <c r="AE57" i="4"/>
  <c r="AD57" i="4"/>
  <c r="AC57" i="4"/>
  <c r="AB57" i="4"/>
  <c r="AA57" i="4"/>
  <c r="H35" i="4"/>
  <c r="AH56" i="4"/>
  <c r="AG56" i="4"/>
  <c r="AF56" i="4"/>
  <c r="AE56" i="4"/>
  <c r="AD56" i="4"/>
  <c r="AC56" i="4"/>
  <c r="AB56" i="4"/>
  <c r="AA56" i="4"/>
  <c r="H17" i="4"/>
  <c r="AH55" i="4"/>
  <c r="AG55" i="4"/>
  <c r="AF55" i="4"/>
  <c r="AE55" i="4"/>
  <c r="AD55" i="4"/>
  <c r="AC55" i="4"/>
  <c r="AB55" i="4"/>
  <c r="AA55" i="4"/>
  <c r="H20" i="4"/>
  <c r="Z54" i="4"/>
  <c r="Y54" i="4"/>
  <c r="AE54" i="4" s="1"/>
  <c r="X54" i="4"/>
  <c r="W54" i="4"/>
  <c r="AA54" i="4" s="1"/>
  <c r="U54" i="4"/>
  <c r="H56" i="4"/>
  <c r="AH53" i="4"/>
  <c r="AG53" i="4"/>
  <c r="AF53" i="4"/>
  <c r="AE53" i="4"/>
  <c r="AD53" i="4"/>
  <c r="AC53" i="4"/>
  <c r="AB53" i="4"/>
  <c r="AA53" i="4"/>
  <c r="H26" i="4"/>
  <c r="AH52" i="4"/>
  <c r="AG52" i="4"/>
  <c r="AF52" i="4"/>
  <c r="AE52" i="4"/>
  <c r="AD52" i="4"/>
  <c r="AC52" i="4"/>
  <c r="AB52" i="4"/>
  <c r="AA52" i="4"/>
  <c r="H82" i="4"/>
  <c r="AH51" i="4"/>
  <c r="AG51" i="4"/>
  <c r="AF51" i="4"/>
  <c r="AE51" i="4"/>
  <c r="AD51" i="4"/>
  <c r="AC51" i="4"/>
  <c r="AB51" i="4"/>
  <c r="AA51" i="4"/>
  <c r="H79" i="4"/>
  <c r="AH50" i="4"/>
  <c r="AG50" i="4"/>
  <c r="AF50" i="4"/>
  <c r="AE50" i="4"/>
  <c r="AD50" i="4"/>
  <c r="AC50" i="4"/>
  <c r="AB50" i="4"/>
  <c r="AA50" i="4"/>
  <c r="H78" i="4"/>
  <c r="Z49" i="4"/>
  <c r="Y49" i="4"/>
  <c r="X49" i="4"/>
  <c r="W49" i="4"/>
  <c r="K49" i="4"/>
  <c r="U49" i="4" s="1"/>
  <c r="H40" i="4"/>
  <c r="AH48" i="4"/>
  <c r="AG48" i="4"/>
  <c r="AF48" i="4"/>
  <c r="AE48" i="4"/>
  <c r="AD48" i="4"/>
  <c r="AC48" i="4"/>
  <c r="AB48" i="4"/>
  <c r="AA48" i="4"/>
  <c r="H8" i="4"/>
  <c r="AH47" i="4"/>
  <c r="AG47" i="4"/>
  <c r="AF47" i="4"/>
  <c r="AE47" i="4"/>
  <c r="AD47" i="4"/>
  <c r="AC47" i="4"/>
  <c r="AB47" i="4"/>
  <c r="AA47" i="4"/>
  <c r="H67" i="4"/>
  <c r="U46" i="4"/>
  <c r="Z46" i="4" s="1"/>
  <c r="H9" i="4"/>
  <c r="AH45" i="4"/>
  <c r="AG45" i="4"/>
  <c r="AF45" i="4"/>
  <c r="AE45" i="4"/>
  <c r="AD45" i="4"/>
  <c r="AC45" i="4"/>
  <c r="AB45" i="4"/>
  <c r="AA45" i="4"/>
  <c r="H6" i="4"/>
  <c r="AH44" i="4"/>
  <c r="AG44" i="4"/>
  <c r="AF44" i="4"/>
  <c r="AE44" i="4"/>
  <c r="AD44" i="4"/>
  <c r="AC44" i="4"/>
  <c r="AB44" i="4"/>
  <c r="AA44" i="4"/>
  <c r="H73" i="4"/>
  <c r="AH43" i="4"/>
  <c r="AG43" i="4"/>
  <c r="AF43" i="4"/>
  <c r="AE43" i="4"/>
  <c r="AD43" i="4"/>
  <c r="AC43" i="4"/>
  <c r="AB43" i="4"/>
  <c r="AA43" i="4"/>
  <c r="K43" i="4"/>
  <c r="H44" i="4"/>
  <c r="AH42" i="4"/>
  <c r="AG42" i="4"/>
  <c r="AF42" i="4"/>
  <c r="AE42" i="4"/>
  <c r="AD42" i="4"/>
  <c r="AC42" i="4"/>
  <c r="AB42" i="4"/>
  <c r="AA42" i="4"/>
  <c r="H43" i="4"/>
  <c r="U41" i="4"/>
  <c r="Z41" i="4" s="1"/>
  <c r="H76" i="4"/>
  <c r="AH40" i="4"/>
  <c r="AG40" i="4"/>
  <c r="AF40" i="4"/>
  <c r="AE40" i="4"/>
  <c r="AD40" i="4"/>
  <c r="AC40" i="4"/>
  <c r="AB40" i="4"/>
  <c r="AA40" i="4"/>
  <c r="H18" i="4"/>
  <c r="AH39" i="4"/>
  <c r="AG39" i="4"/>
  <c r="AF39" i="4"/>
  <c r="AE39" i="4"/>
  <c r="AD39" i="4"/>
  <c r="AC39" i="4"/>
  <c r="AB39" i="4"/>
  <c r="AA39" i="4"/>
  <c r="H77" i="4"/>
  <c r="AH38" i="4"/>
  <c r="AG38" i="4"/>
  <c r="AF38" i="4"/>
  <c r="AE38" i="4"/>
  <c r="AD38" i="4"/>
  <c r="AC38" i="4"/>
  <c r="AB38" i="4"/>
  <c r="AA38" i="4"/>
  <c r="K38" i="4"/>
  <c r="F41" i="4"/>
  <c r="H41" i="4" s="1"/>
  <c r="AH37" i="4"/>
  <c r="AG37" i="4"/>
  <c r="AF37" i="4"/>
  <c r="AE37" i="4"/>
  <c r="AD37" i="4"/>
  <c r="AC37" i="4"/>
  <c r="AB37" i="4"/>
  <c r="AA37" i="4"/>
  <c r="K37" i="4"/>
  <c r="F58" i="4"/>
  <c r="H58" i="4" s="1"/>
  <c r="AH36" i="4"/>
  <c r="AG36" i="4"/>
  <c r="AF36" i="4"/>
  <c r="AE36" i="4"/>
  <c r="AD36" i="4"/>
  <c r="AC36" i="4"/>
  <c r="AB36" i="4"/>
  <c r="AA36" i="4"/>
  <c r="K36" i="4"/>
  <c r="F57" i="4"/>
  <c r="H57" i="4" s="1"/>
  <c r="AH35" i="4"/>
  <c r="AG35" i="4"/>
  <c r="AF35" i="4"/>
  <c r="AE35" i="4"/>
  <c r="AD35" i="4"/>
  <c r="AC35" i="4"/>
  <c r="AB35" i="4"/>
  <c r="AA35" i="4"/>
  <c r="K35" i="4"/>
  <c r="F75" i="4"/>
  <c r="H75" i="4" s="1"/>
  <c r="AH34" i="4"/>
  <c r="AG34" i="4"/>
  <c r="AF34" i="4"/>
  <c r="AE34" i="4"/>
  <c r="AD34" i="4"/>
  <c r="AC34" i="4"/>
  <c r="AB34" i="4"/>
  <c r="AA34" i="4"/>
  <c r="K34" i="4"/>
  <c r="F74" i="4"/>
  <c r="H74" i="4" s="1"/>
  <c r="AH33" i="4"/>
  <c r="AG33" i="4"/>
  <c r="AF33" i="4"/>
  <c r="AE33" i="4"/>
  <c r="AD33" i="4"/>
  <c r="AC33" i="4"/>
  <c r="AB33" i="4"/>
  <c r="AA33" i="4"/>
  <c r="H100" i="4"/>
  <c r="AH32" i="4"/>
  <c r="AG32" i="4"/>
  <c r="AF32" i="4"/>
  <c r="AE32" i="4"/>
  <c r="AD32" i="4"/>
  <c r="AC32" i="4"/>
  <c r="AB32" i="4"/>
  <c r="AA32" i="4"/>
  <c r="H71" i="4"/>
  <c r="AH31" i="4"/>
  <c r="AG31" i="4"/>
  <c r="AF31" i="4"/>
  <c r="AE31" i="4"/>
  <c r="AD31" i="4"/>
  <c r="AC31" i="4"/>
  <c r="AB31" i="4"/>
  <c r="AA31" i="4"/>
  <c r="H103" i="4"/>
  <c r="AH30" i="4"/>
  <c r="AG30" i="4"/>
  <c r="AF30" i="4"/>
  <c r="AE30" i="4"/>
  <c r="AD30" i="4"/>
  <c r="AC30" i="4"/>
  <c r="AB30" i="4"/>
  <c r="AA30" i="4"/>
  <c r="Q30" i="4"/>
  <c r="M30" i="4"/>
  <c r="K30" i="4"/>
  <c r="H70" i="4"/>
  <c r="AH29" i="4"/>
  <c r="AG29" i="4"/>
  <c r="AF29" i="4"/>
  <c r="AE29" i="4"/>
  <c r="AD29" i="4"/>
  <c r="AC29" i="4"/>
  <c r="AB29" i="4"/>
  <c r="AA29" i="4"/>
  <c r="Q29" i="4"/>
  <c r="M29" i="4"/>
  <c r="H69" i="4"/>
  <c r="AH28" i="4"/>
  <c r="AG28" i="4"/>
  <c r="AF28" i="4"/>
  <c r="AE28" i="4"/>
  <c r="AD28" i="4"/>
  <c r="AC28" i="4"/>
  <c r="W28" i="4"/>
  <c r="AA28" i="4" s="1"/>
  <c r="H63" i="4"/>
  <c r="AH27" i="4"/>
  <c r="AG27" i="4"/>
  <c r="AF27" i="4"/>
  <c r="AE27" i="4"/>
  <c r="AD27" i="4"/>
  <c r="AC27" i="4"/>
  <c r="AB27" i="4"/>
  <c r="AA27" i="4"/>
  <c r="K27" i="4"/>
  <c r="H62" i="4"/>
  <c r="K26" i="4"/>
  <c r="U26" i="4" s="1"/>
  <c r="F21" i="4"/>
  <c r="H21" i="4" s="1"/>
  <c r="K25" i="4"/>
  <c r="U25" i="4" s="1"/>
  <c r="H42" i="4"/>
  <c r="U24" i="4"/>
  <c r="X24" i="4" s="1"/>
  <c r="H108" i="4"/>
  <c r="AH23" i="4"/>
  <c r="AG23" i="4"/>
  <c r="AF23" i="4"/>
  <c r="AE23" i="4"/>
  <c r="AD23" i="4"/>
  <c r="AC23" i="4"/>
  <c r="AB23" i="4"/>
  <c r="AA23" i="4"/>
  <c r="K23" i="4"/>
  <c r="H53" i="4"/>
  <c r="AH22" i="4"/>
  <c r="AG22" i="4"/>
  <c r="AF22" i="4"/>
  <c r="AE22" i="4"/>
  <c r="AD22" i="4"/>
  <c r="AC22" i="4"/>
  <c r="AB22" i="4"/>
  <c r="AA22" i="4"/>
  <c r="H59" i="4"/>
  <c r="AH21" i="4"/>
  <c r="AG21" i="4"/>
  <c r="AF21" i="4"/>
  <c r="AE21" i="4"/>
  <c r="AD21" i="4"/>
  <c r="AC21" i="4"/>
  <c r="AB21" i="4"/>
  <c r="AA21" i="4"/>
  <c r="H85" i="4"/>
  <c r="AH20" i="4"/>
  <c r="AG20" i="4"/>
  <c r="AF20" i="4"/>
  <c r="AE20" i="4"/>
  <c r="AD20" i="4"/>
  <c r="AC20" i="4"/>
  <c r="AB20" i="4"/>
  <c r="AA20" i="4"/>
  <c r="H29" i="4"/>
  <c r="AH19" i="4"/>
  <c r="AG19" i="4"/>
  <c r="AF19" i="4"/>
  <c r="AE19" i="4"/>
  <c r="AD19" i="4"/>
  <c r="AC19" i="4"/>
  <c r="AB19" i="4"/>
  <c r="AA19" i="4"/>
  <c r="H65" i="4"/>
  <c r="U18" i="4"/>
  <c r="Z18" i="4" s="1"/>
  <c r="H104" i="4"/>
  <c r="Z17" i="4"/>
  <c r="AH17" i="4" s="1"/>
  <c r="Y17" i="4"/>
  <c r="AF17" i="4" s="1"/>
  <c r="X17" i="4"/>
  <c r="AC17" i="4" s="1"/>
  <c r="W17" i="4"/>
  <c r="AA17" i="4" s="1"/>
  <c r="K17" i="4"/>
  <c r="H61" i="4"/>
  <c r="AH16" i="4"/>
  <c r="AG16" i="4"/>
  <c r="AF16" i="4"/>
  <c r="AE16" i="4"/>
  <c r="AD16" i="4"/>
  <c r="AC16" i="4"/>
  <c r="AB16" i="4"/>
  <c r="AA16" i="4"/>
  <c r="K16" i="4"/>
  <c r="H72" i="4"/>
  <c r="AH15" i="4"/>
  <c r="AG15" i="4"/>
  <c r="AF15" i="4"/>
  <c r="AE15" i="4"/>
  <c r="AD15" i="4"/>
  <c r="AC15" i="4"/>
  <c r="AB15" i="4"/>
  <c r="AA15" i="4"/>
  <c r="H45" i="4"/>
  <c r="Z14" i="4"/>
  <c r="Y14" i="4"/>
  <c r="X14" i="4"/>
  <c r="W14" i="4"/>
  <c r="U14" i="4"/>
  <c r="H37" i="4"/>
  <c r="AH13" i="4"/>
  <c r="AG13" i="4"/>
  <c r="AF13" i="4"/>
  <c r="AE13" i="4"/>
  <c r="AD13" i="4"/>
  <c r="AC13" i="4"/>
  <c r="AB13" i="4"/>
  <c r="AA13" i="4"/>
  <c r="H36" i="4"/>
  <c r="Z12" i="4"/>
  <c r="AH12" i="4" s="1"/>
  <c r="Y12" i="4"/>
  <c r="AE12" i="4" s="1"/>
  <c r="X12" i="4"/>
  <c r="AC12" i="4" s="1"/>
  <c r="W12" i="4"/>
  <c r="AA12" i="4" s="1"/>
  <c r="K12" i="4"/>
  <c r="H81" i="4"/>
  <c r="Z11" i="4"/>
  <c r="Y11" i="4"/>
  <c r="X11" i="4"/>
  <c r="W11" i="4"/>
  <c r="AB11" i="4" s="1"/>
  <c r="U11" i="4"/>
  <c r="H80" i="4"/>
  <c r="AH10" i="4"/>
  <c r="AG10" i="4"/>
  <c r="AF10" i="4"/>
  <c r="AE10" i="4"/>
  <c r="AD10" i="4"/>
  <c r="AC10" i="4"/>
  <c r="AB10" i="4"/>
  <c r="AA10" i="4"/>
  <c r="H106" i="4"/>
  <c r="AH9" i="4"/>
  <c r="AG9" i="4"/>
  <c r="AF9" i="4"/>
  <c r="AE9" i="4"/>
  <c r="AD9" i="4"/>
  <c r="AC9" i="4"/>
  <c r="AB9" i="4"/>
  <c r="AA9" i="4"/>
  <c r="H105" i="4"/>
  <c r="AH8" i="4"/>
  <c r="AG8" i="4"/>
  <c r="AF8" i="4"/>
  <c r="AE8" i="4"/>
  <c r="AD8" i="4"/>
  <c r="AC8" i="4"/>
  <c r="AB8" i="4"/>
  <c r="AA8" i="4"/>
  <c r="H98" i="4"/>
  <c r="AH7" i="4"/>
  <c r="AG7" i="4"/>
  <c r="AF7" i="4"/>
  <c r="AE7" i="4"/>
  <c r="AD7" i="4"/>
  <c r="AC7" i="4"/>
  <c r="AB7" i="4"/>
  <c r="AA7" i="4"/>
  <c r="H97" i="4"/>
  <c r="AH6" i="4"/>
  <c r="AG6" i="4"/>
  <c r="AF6" i="4"/>
  <c r="AE6" i="4"/>
  <c r="AD6" i="4"/>
  <c r="AC6" i="4"/>
  <c r="AB6" i="4"/>
  <c r="AA6" i="4"/>
  <c r="H96" i="4"/>
  <c r="AH5" i="4"/>
  <c r="AG5" i="4"/>
  <c r="AF5" i="4"/>
  <c r="AE5" i="4"/>
  <c r="AD5" i="4"/>
  <c r="AC5" i="4"/>
  <c r="AB5" i="4"/>
  <c r="AA5" i="4"/>
  <c r="H95" i="4"/>
  <c r="AH4" i="4"/>
  <c r="AG4" i="4"/>
  <c r="AF4" i="4"/>
  <c r="AE4" i="4"/>
  <c r="AD4" i="4"/>
  <c r="AC4" i="4"/>
  <c r="AB4" i="4"/>
  <c r="AA4" i="4"/>
  <c r="H92" i="4"/>
  <c r="AH3" i="4"/>
  <c r="AG3" i="4"/>
  <c r="AF3" i="4"/>
  <c r="AE3" i="4"/>
  <c r="AD3" i="4"/>
  <c r="AC3" i="4"/>
  <c r="AB3" i="4"/>
  <c r="AA3" i="4"/>
  <c r="H91" i="4"/>
  <c r="AH2" i="4"/>
  <c r="AG2" i="4"/>
  <c r="AF2" i="4"/>
  <c r="AE2" i="4"/>
  <c r="AD2" i="4"/>
  <c r="AC2" i="4"/>
  <c r="AB2" i="4"/>
  <c r="AA2" i="4"/>
  <c r="H90" i="4"/>
  <c r="Y207" i="1"/>
  <c r="L207" i="1"/>
  <c r="H207" i="1"/>
  <c r="AI111" i="1"/>
  <c r="AH111" i="1"/>
  <c r="AG111" i="1"/>
  <c r="AF111" i="1"/>
  <c r="AE111" i="1"/>
  <c r="AD111" i="1"/>
  <c r="AC111" i="1"/>
  <c r="AB111" i="1"/>
  <c r="H111" i="1"/>
  <c r="AA206" i="1"/>
  <c r="AH206" i="1" s="1"/>
  <c r="Z206" i="1"/>
  <c r="AG206" i="1" s="1"/>
  <c r="Y206" i="1"/>
  <c r="AE206" i="1" s="1"/>
  <c r="X206" i="1"/>
  <c r="AB206" i="1" s="1"/>
  <c r="H206" i="1"/>
  <c r="AI110" i="1"/>
  <c r="AH110" i="1"/>
  <c r="AG110" i="1"/>
  <c r="AF110" i="1"/>
  <c r="AE110" i="1"/>
  <c r="AD110" i="1"/>
  <c r="AC110" i="1"/>
  <c r="AB110" i="1"/>
  <c r="H110" i="1"/>
  <c r="AA330" i="1"/>
  <c r="Z330" i="1"/>
  <c r="Y330" i="1"/>
  <c r="X330" i="1"/>
  <c r="H330" i="1"/>
  <c r="AA286" i="1"/>
  <c r="Z286" i="1"/>
  <c r="Y286" i="1"/>
  <c r="X286" i="1"/>
  <c r="H286" i="1"/>
  <c r="AA205" i="1"/>
  <c r="Z205" i="1"/>
  <c r="Y205" i="1"/>
  <c r="X205" i="1"/>
  <c r="H205" i="1"/>
  <c r="AA109" i="1"/>
  <c r="Z109" i="1"/>
  <c r="Y109" i="1"/>
  <c r="X109" i="1"/>
  <c r="V109" i="1"/>
  <c r="AH109" i="1" s="1"/>
  <c r="H109" i="1"/>
  <c r="H329" i="1"/>
  <c r="H285" i="1"/>
  <c r="H204" i="1"/>
  <c r="AI108" i="1"/>
  <c r="AH108" i="1"/>
  <c r="AG108" i="1"/>
  <c r="AF108" i="1"/>
  <c r="AE108" i="1"/>
  <c r="AD108" i="1"/>
  <c r="AC108" i="1"/>
  <c r="AB108" i="1"/>
  <c r="H108" i="1"/>
  <c r="H328" i="1"/>
  <c r="Z284" i="1"/>
  <c r="H284" i="1"/>
  <c r="H203" i="1"/>
  <c r="AI107" i="1"/>
  <c r="AH107" i="1"/>
  <c r="AG107" i="1"/>
  <c r="AF107" i="1"/>
  <c r="AE107" i="1"/>
  <c r="AD107" i="1"/>
  <c r="AC107" i="1"/>
  <c r="AB107" i="1"/>
  <c r="H107" i="1"/>
  <c r="H327" i="1"/>
  <c r="H283" i="1"/>
  <c r="H202" i="1"/>
  <c r="Z106" i="1"/>
  <c r="Y106" i="1"/>
  <c r="X106" i="1"/>
  <c r="V106" i="1"/>
  <c r="AA106" i="1" s="1"/>
  <c r="AI106" i="1" s="1"/>
  <c r="H106" i="1"/>
  <c r="H326" i="1"/>
  <c r="Z282" i="1"/>
  <c r="AG282" i="1" s="1"/>
  <c r="H282" i="1"/>
  <c r="H201" i="1"/>
  <c r="AI105" i="1"/>
  <c r="AH105" i="1"/>
  <c r="AG105" i="1"/>
  <c r="AF105" i="1"/>
  <c r="AE105" i="1"/>
  <c r="AD105" i="1"/>
  <c r="AC105" i="1"/>
  <c r="AB105" i="1"/>
  <c r="H105" i="1"/>
  <c r="H325" i="1"/>
  <c r="AA281" i="1"/>
  <c r="AI281" i="1" s="1"/>
  <c r="H281" i="1"/>
  <c r="H200" i="1"/>
  <c r="AI104" i="1"/>
  <c r="AH104" i="1"/>
  <c r="AG104" i="1"/>
  <c r="AF104" i="1"/>
  <c r="AE104" i="1"/>
  <c r="AD104" i="1"/>
  <c r="AC104" i="1"/>
  <c r="AB104" i="1"/>
  <c r="H104" i="1"/>
  <c r="H199" i="1"/>
  <c r="AI103" i="1"/>
  <c r="AH103" i="1"/>
  <c r="AG103" i="1"/>
  <c r="AF103" i="1"/>
  <c r="AE103" i="1"/>
  <c r="AD103" i="1"/>
  <c r="AC103" i="1"/>
  <c r="AB103" i="1"/>
  <c r="H103" i="1"/>
  <c r="AA280" i="1"/>
  <c r="AH280" i="1" s="1"/>
  <c r="Z280" i="1"/>
  <c r="AG280" i="1" s="1"/>
  <c r="Y280" i="1"/>
  <c r="X280" i="1"/>
  <c r="AC280" i="1" s="1"/>
  <c r="H280" i="1"/>
  <c r="L198" i="1"/>
  <c r="H198" i="1"/>
  <c r="AI102" i="1"/>
  <c r="AH102" i="1"/>
  <c r="AG102" i="1"/>
  <c r="AF102" i="1"/>
  <c r="AE102" i="1"/>
  <c r="AD102" i="1"/>
  <c r="AC102" i="1"/>
  <c r="AB102" i="1"/>
  <c r="H102" i="1"/>
  <c r="V363" i="1"/>
  <c r="L363" i="1"/>
  <c r="H363" i="1"/>
  <c r="AA279" i="1"/>
  <c r="Z279" i="1"/>
  <c r="Y279" i="1"/>
  <c r="Y281" i="1" s="1"/>
  <c r="X279" i="1"/>
  <c r="X281" i="1" s="1"/>
  <c r="L279" i="1"/>
  <c r="H279" i="1"/>
  <c r="AA197" i="1"/>
  <c r="AI197" i="1" s="1"/>
  <c r="Z197" i="1"/>
  <c r="AG197" i="1" s="1"/>
  <c r="Y197" i="1"/>
  <c r="Y198" i="1" s="1"/>
  <c r="X197" i="1"/>
  <c r="X198" i="1" s="1"/>
  <c r="X199" i="1" s="1"/>
  <c r="X200" i="1" s="1"/>
  <c r="X201" i="1" s="1"/>
  <c r="AB201" i="1" s="1"/>
  <c r="L197" i="1"/>
  <c r="H197" i="1"/>
  <c r="AI101" i="1"/>
  <c r="AH101" i="1"/>
  <c r="AG101" i="1"/>
  <c r="AF101" i="1"/>
  <c r="AE101" i="1"/>
  <c r="AD101" i="1"/>
  <c r="AC101" i="1"/>
  <c r="AB101" i="1"/>
  <c r="L101" i="1"/>
  <c r="H101" i="1"/>
  <c r="H278" i="1"/>
  <c r="H277" i="1"/>
  <c r="H196" i="1"/>
  <c r="AI100" i="1"/>
  <c r="AH100" i="1"/>
  <c r="AG100" i="1"/>
  <c r="AF100" i="1"/>
  <c r="AE100" i="1"/>
  <c r="AD100" i="1"/>
  <c r="AC100" i="1"/>
  <c r="AB100" i="1"/>
  <c r="H100" i="1"/>
  <c r="AI99" i="1"/>
  <c r="AH99" i="1"/>
  <c r="AG99" i="1"/>
  <c r="AF99" i="1"/>
  <c r="AE99" i="1"/>
  <c r="AD99" i="1"/>
  <c r="AC99" i="1"/>
  <c r="AB99" i="1"/>
  <c r="H99" i="1"/>
  <c r="AI98" i="1"/>
  <c r="AH98" i="1"/>
  <c r="AG98" i="1"/>
  <c r="AF98" i="1"/>
  <c r="AE98" i="1"/>
  <c r="AD98" i="1"/>
  <c r="AC98" i="1"/>
  <c r="AB98" i="1"/>
  <c r="H98" i="1"/>
  <c r="AI97" i="1"/>
  <c r="AH97" i="1"/>
  <c r="AG97" i="1"/>
  <c r="AF97" i="1"/>
  <c r="AE97" i="1"/>
  <c r="AD97" i="1"/>
  <c r="AC97" i="1"/>
  <c r="AB97" i="1"/>
  <c r="H97" i="1"/>
  <c r="AI96" i="1"/>
  <c r="AH96" i="1"/>
  <c r="AG96" i="1"/>
  <c r="AF96" i="1"/>
  <c r="AE96" i="1"/>
  <c r="AD96" i="1"/>
  <c r="AC96" i="1"/>
  <c r="AB96" i="1"/>
  <c r="H96" i="1"/>
  <c r="AI95" i="1"/>
  <c r="AH95" i="1"/>
  <c r="AG95" i="1"/>
  <c r="AF95" i="1"/>
  <c r="AE95" i="1"/>
  <c r="AD95" i="1"/>
  <c r="AC95" i="1"/>
  <c r="AB95" i="1"/>
  <c r="H95" i="1"/>
  <c r="H276" i="1"/>
  <c r="H195" i="1"/>
  <c r="AI94" i="1"/>
  <c r="AH94" i="1"/>
  <c r="AG94" i="1"/>
  <c r="AF94" i="1"/>
  <c r="AE94" i="1"/>
  <c r="AD94" i="1"/>
  <c r="AC94" i="1"/>
  <c r="AB94" i="1"/>
  <c r="H94" i="1"/>
  <c r="H275" i="1"/>
  <c r="H194" i="1"/>
  <c r="AI93" i="1"/>
  <c r="AH93" i="1"/>
  <c r="AG93" i="1"/>
  <c r="AF93" i="1"/>
  <c r="AE93" i="1"/>
  <c r="AD93" i="1"/>
  <c r="AC93" i="1"/>
  <c r="AB93" i="1"/>
  <c r="H93" i="1"/>
  <c r="H274" i="1"/>
  <c r="H193" i="1"/>
  <c r="AI92" i="1"/>
  <c r="AH92" i="1"/>
  <c r="AG92" i="1"/>
  <c r="AF92" i="1"/>
  <c r="AE92" i="1"/>
  <c r="AD92" i="1"/>
  <c r="AC92" i="1"/>
  <c r="AB92" i="1"/>
  <c r="H92" i="1"/>
  <c r="H273" i="1"/>
  <c r="H192" i="1"/>
  <c r="AI91" i="1"/>
  <c r="AH91" i="1"/>
  <c r="AG91" i="1"/>
  <c r="AF91" i="1"/>
  <c r="AE91" i="1"/>
  <c r="AD91" i="1"/>
  <c r="AC91" i="1"/>
  <c r="AB91" i="1"/>
  <c r="H91" i="1"/>
  <c r="H272" i="1"/>
  <c r="H191" i="1"/>
  <c r="AI90" i="1"/>
  <c r="AH90" i="1"/>
  <c r="AG90" i="1"/>
  <c r="AF90" i="1"/>
  <c r="AE90" i="1"/>
  <c r="AD90" i="1"/>
  <c r="AC90" i="1"/>
  <c r="AB90" i="1"/>
  <c r="H90" i="1"/>
  <c r="H271" i="1"/>
  <c r="H190" i="1"/>
  <c r="AI89" i="1"/>
  <c r="AH89" i="1"/>
  <c r="AG89" i="1"/>
  <c r="AF89" i="1"/>
  <c r="AE89" i="1"/>
  <c r="AD89" i="1"/>
  <c r="AC89" i="1"/>
  <c r="AB89" i="1"/>
  <c r="H89" i="1"/>
  <c r="H270" i="1"/>
  <c r="H189" i="1"/>
  <c r="AI88" i="1"/>
  <c r="AH88" i="1"/>
  <c r="AG88" i="1"/>
  <c r="AF88" i="1"/>
  <c r="AE88" i="1"/>
  <c r="AD88" i="1"/>
  <c r="AC88" i="1"/>
  <c r="AB88" i="1"/>
  <c r="H88" i="1"/>
  <c r="H269" i="1"/>
  <c r="H188" i="1"/>
  <c r="AI87" i="1"/>
  <c r="AH87" i="1"/>
  <c r="AG87" i="1"/>
  <c r="AF87" i="1"/>
  <c r="AE87" i="1"/>
  <c r="AD87" i="1"/>
  <c r="AC87" i="1"/>
  <c r="AB87" i="1"/>
  <c r="H87" i="1"/>
  <c r="H268" i="1"/>
  <c r="H187" i="1"/>
  <c r="AI86" i="1"/>
  <c r="AH86" i="1"/>
  <c r="AG86" i="1"/>
  <c r="AF86" i="1"/>
  <c r="AE86" i="1"/>
  <c r="AD86" i="1"/>
  <c r="AC86" i="1"/>
  <c r="AB86" i="1"/>
  <c r="H86" i="1"/>
  <c r="H267" i="1"/>
  <c r="H186" i="1"/>
  <c r="AI85" i="1"/>
  <c r="AH85" i="1"/>
  <c r="AG85" i="1"/>
  <c r="AF85" i="1"/>
  <c r="AE85" i="1"/>
  <c r="AD85" i="1"/>
  <c r="AC85" i="1"/>
  <c r="AB85" i="1"/>
  <c r="H85" i="1"/>
  <c r="AA266" i="1"/>
  <c r="H266" i="1"/>
  <c r="H185" i="1"/>
  <c r="H84" i="1"/>
  <c r="H265" i="1"/>
  <c r="H184" i="1"/>
  <c r="AA83" i="1"/>
  <c r="Z83" i="1"/>
  <c r="Y83" i="1"/>
  <c r="X83" i="1"/>
  <c r="AC83" i="1" s="1"/>
  <c r="H83" i="1"/>
  <c r="H264" i="1"/>
  <c r="L183" i="1"/>
  <c r="H183" i="1"/>
  <c r="V82" i="1"/>
  <c r="AA82" i="1" s="1"/>
  <c r="AH82" i="1" s="1"/>
  <c r="H82" i="1"/>
  <c r="H263" i="1"/>
  <c r="L182" i="1"/>
  <c r="H182" i="1"/>
  <c r="V81" i="1"/>
  <c r="AA81" i="1" s="1"/>
  <c r="H81" i="1"/>
  <c r="H262" i="1"/>
  <c r="L181" i="1"/>
  <c r="V181" i="1" s="1"/>
  <c r="H181" i="1"/>
  <c r="V80" i="1"/>
  <c r="H80" i="1"/>
  <c r="X261" i="1"/>
  <c r="AB261" i="1" s="1"/>
  <c r="V261" i="1"/>
  <c r="H261" i="1"/>
  <c r="V180" i="1"/>
  <c r="AA180" i="1" s="1"/>
  <c r="H180" i="1"/>
  <c r="V79" i="1"/>
  <c r="H79" i="1"/>
  <c r="V260" i="1"/>
  <c r="H260" i="1"/>
  <c r="Y179" i="1"/>
  <c r="V179" i="1"/>
  <c r="H179" i="1"/>
  <c r="V78" i="1"/>
  <c r="H78" i="1"/>
  <c r="AA259" i="1"/>
  <c r="Z259" i="1"/>
  <c r="AG259" i="1" s="1"/>
  <c r="Y259" i="1"/>
  <c r="AE259" i="1" s="1"/>
  <c r="X259" i="1"/>
  <c r="AC259" i="1" s="1"/>
  <c r="H259" i="1"/>
  <c r="L178" i="1"/>
  <c r="L259" i="1" s="1"/>
  <c r="H178" i="1"/>
  <c r="AI77" i="1"/>
  <c r="AH77" i="1"/>
  <c r="AG77" i="1"/>
  <c r="AF77" i="1"/>
  <c r="AE77" i="1"/>
  <c r="AD77" i="1"/>
  <c r="AC77" i="1"/>
  <c r="AB77" i="1"/>
  <c r="H77" i="1"/>
  <c r="H258" i="1"/>
  <c r="L177" i="1"/>
  <c r="L258" i="1" s="1"/>
  <c r="V258" i="1" s="1"/>
  <c r="Y258" i="1" s="1"/>
  <c r="H177" i="1"/>
  <c r="AI76" i="1"/>
  <c r="AH76" i="1"/>
  <c r="AG76" i="1"/>
  <c r="AF76" i="1"/>
  <c r="AE76" i="1"/>
  <c r="AD76" i="1"/>
  <c r="X76" i="1"/>
  <c r="AB76" i="1" s="1"/>
  <c r="H76" i="1"/>
  <c r="V176" i="1"/>
  <c r="L176" i="1"/>
  <c r="H176" i="1"/>
  <c r="V257" i="1"/>
  <c r="H257" i="1"/>
  <c r="Z75" i="1"/>
  <c r="Y75" i="1"/>
  <c r="V75" i="1"/>
  <c r="AA75" i="1" s="1"/>
  <c r="AI75" i="1" s="1"/>
  <c r="H75" i="1"/>
  <c r="V74" i="1"/>
  <c r="H74" i="1"/>
  <c r="H256" i="1"/>
  <c r="H175" i="1"/>
  <c r="AI73" i="1"/>
  <c r="AH73" i="1"/>
  <c r="AG73" i="1"/>
  <c r="AF73" i="1"/>
  <c r="AE73" i="1"/>
  <c r="AD73" i="1"/>
  <c r="AC73" i="1"/>
  <c r="AB73" i="1"/>
  <c r="H73" i="1"/>
  <c r="H255" i="1"/>
  <c r="H174" i="1"/>
  <c r="AI72" i="1"/>
  <c r="AH72" i="1"/>
  <c r="AG72" i="1"/>
  <c r="AF72" i="1"/>
  <c r="AE72" i="1"/>
  <c r="AD72" i="1"/>
  <c r="AC72" i="1"/>
  <c r="AB72" i="1"/>
  <c r="H72" i="1"/>
  <c r="H173" i="1"/>
  <c r="AI71" i="1"/>
  <c r="AH71" i="1"/>
  <c r="AG71" i="1"/>
  <c r="AF71" i="1"/>
  <c r="AE71" i="1"/>
  <c r="AD71" i="1"/>
  <c r="AC71" i="1"/>
  <c r="AB71" i="1"/>
  <c r="H71" i="1"/>
  <c r="H254" i="1"/>
  <c r="H172" i="1"/>
  <c r="AI70" i="1"/>
  <c r="AH70" i="1"/>
  <c r="AG70" i="1"/>
  <c r="AF70" i="1"/>
  <c r="AE70" i="1"/>
  <c r="AD70" i="1"/>
  <c r="AC70" i="1"/>
  <c r="AB70" i="1"/>
  <c r="H70" i="1"/>
  <c r="H171" i="1"/>
  <c r="H69" i="1"/>
  <c r="H253" i="1"/>
  <c r="H170" i="1"/>
  <c r="AI68" i="1"/>
  <c r="AH68" i="1"/>
  <c r="AG68" i="1"/>
  <c r="AF68" i="1"/>
  <c r="AE68" i="1"/>
  <c r="AD68" i="1"/>
  <c r="AC68" i="1"/>
  <c r="AB68" i="1"/>
  <c r="H68" i="1"/>
  <c r="H169" i="1"/>
  <c r="AI67" i="1"/>
  <c r="AH67" i="1"/>
  <c r="AG67" i="1"/>
  <c r="AF67" i="1"/>
  <c r="AE67" i="1"/>
  <c r="AD67" i="1"/>
  <c r="AC67" i="1"/>
  <c r="AB67" i="1"/>
  <c r="H67" i="1"/>
  <c r="H252" i="1"/>
  <c r="AI66" i="1"/>
  <c r="AH66" i="1"/>
  <c r="AG66" i="1"/>
  <c r="AF66" i="1"/>
  <c r="AE66" i="1"/>
  <c r="AD66" i="1"/>
  <c r="AC66" i="1"/>
  <c r="AB66" i="1"/>
  <c r="H66" i="1"/>
  <c r="V393" i="1"/>
  <c r="AI392" i="1"/>
  <c r="AH392" i="1"/>
  <c r="AG392" i="1"/>
  <c r="AF392" i="1"/>
  <c r="AE392" i="1"/>
  <c r="AD392" i="1"/>
  <c r="AC392" i="1"/>
  <c r="AB392" i="1"/>
  <c r="H167" i="1"/>
  <c r="V65" i="1"/>
  <c r="H65" i="1"/>
  <c r="H166" i="1"/>
  <c r="AI64" i="1"/>
  <c r="AH64" i="1"/>
  <c r="AG64" i="1"/>
  <c r="AF64" i="1"/>
  <c r="AE64" i="1"/>
  <c r="AD64" i="1"/>
  <c r="AC64" i="1"/>
  <c r="AB64" i="1"/>
  <c r="H64" i="1"/>
  <c r="AI165" i="1"/>
  <c r="AH165" i="1"/>
  <c r="AG165" i="1"/>
  <c r="AE165" i="1"/>
  <c r="AD165" i="1"/>
  <c r="AC165" i="1"/>
  <c r="AA165" i="1"/>
  <c r="Z165" i="1"/>
  <c r="AF165" i="1" s="1"/>
  <c r="Y165" i="1"/>
  <c r="X165" i="1"/>
  <c r="AB165" i="1" s="1"/>
  <c r="H165" i="1"/>
  <c r="AI63" i="1"/>
  <c r="AH63" i="1"/>
  <c r="AG63" i="1"/>
  <c r="AF63" i="1"/>
  <c r="AE63" i="1"/>
  <c r="AD63" i="1"/>
  <c r="AC63" i="1"/>
  <c r="AB63" i="1"/>
  <c r="H63" i="1"/>
  <c r="AA164" i="1"/>
  <c r="AI164" i="1" s="1"/>
  <c r="Z164" i="1"/>
  <c r="Y164" i="1"/>
  <c r="AE164" i="1" s="1"/>
  <c r="X164" i="1"/>
  <c r="H164" i="1"/>
  <c r="AI62" i="1"/>
  <c r="AH62" i="1"/>
  <c r="AG62" i="1"/>
  <c r="AF62" i="1"/>
  <c r="AE62" i="1"/>
  <c r="AD62" i="1"/>
  <c r="AC62" i="1"/>
  <c r="AB62" i="1"/>
  <c r="H62" i="1"/>
  <c r="AI163" i="1"/>
  <c r="AG163" i="1"/>
  <c r="AF163" i="1"/>
  <c r="AB163" i="1"/>
  <c r="AA163" i="1"/>
  <c r="AH163" i="1" s="1"/>
  <c r="Z163" i="1"/>
  <c r="Y163" i="1"/>
  <c r="X163" i="1"/>
  <c r="AC163" i="1" s="1"/>
  <c r="H163" i="1"/>
  <c r="AI61" i="1"/>
  <c r="AH61" i="1"/>
  <c r="AG61" i="1"/>
  <c r="AF61" i="1"/>
  <c r="AE61" i="1"/>
  <c r="AD61" i="1"/>
  <c r="AC61" i="1"/>
  <c r="AB61" i="1"/>
  <c r="H61" i="1"/>
  <c r="H162" i="1"/>
  <c r="AI60" i="1"/>
  <c r="AH60" i="1"/>
  <c r="AG60" i="1"/>
  <c r="AF60" i="1"/>
  <c r="AE60" i="1"/>
  <c r="AD60" i="1"/>
  <c r="AC60" i="1"/>
  <c r="AB60" i="1"/>
  <c r="H60" i="1"/>
  <c r="AC161" i="1"/>
  <c r="AB161" i="1"/>
  <c r="AA161" i="1"/>
  <c r="Z161" i="1"/>
  <c r="Y161" i="1"/>
  <c r="X161" i="1"/>
  <c r="H161" i="1"/>
  <c r="AI59" i="1"/>
  <c r="AH59" i="1"/>
  <c r="AG59" i="1"/>
  <c r="AF59" i="1"/>
  <c r="AE59" i="1"/>
  <c r="AD59" i="1"/>
  <c r="AC59" i="1"/>
  <c r="AB59" i="1"/>
  <c r="H59" i="1"/>
  <c r="AH160" i="1"/>
  <c r="AG160" i="1"/>
  <c r="AF160" i="1"/>
  <c r="AD160" i="1"/>
  <c r="AA160" i="1"/>
  <c r="AI160" i="1" s="1"/>
  <c r="Z160" i="1"/>
  <c r="Y160" i="1"/>
  <c r="AE160" i="1" s="1"/>
  <c r="X160" i="1"/>
  <c r="H160" i="1"/>
  <c r="AI58" i="1"/>
  <c r="AH58" i="1"/>
  <c r="AG58" i="1"/>
  <c r="AF58" i="1"/>
  <c r="AE58" i="1"/>
  <c r="AD58" i="1"/>
  <c r="AC58" i="1"/>
  <c r="AB58" i="1"/>
  <c r="H58" i="1"/>
  <c r="H251" i="1"/>
  <c r="H159" i="1"/>
  <c r="AI57" i="1"/>
  <c r="AH57" i="1"/>
  <c r="AG57" i="1"/>
  <c r="AF57" i="1"/>
  <c r="AE57" i="1"/>
  <c r="AD57" i="1"/>
  <c r="AC57" i="1"/>
  <c r="AB57" i="1"/>
  <c r="H57" i="1"/>
  <c r="H250" i="1"/>
  <c r="H158" i="1"/>
  <c r="AI56" i="1"/>
  <c r="AH56" i="1"/>
  <c r="AG56" i="1"/>
  <c r="AF56" i="1"/>
  <c r="AE56" i="1"/>
  <c r="AD56" i="1"/>
  <c r="AC56" i="1"/>
  <c r="AB56" i="1"/>
  <c r="H56" i="1"/>
  <c r="H249" i="1"/>
  <c r="H157" i="1"/>
  <c r="AI55" i="1"/>
  <c r="AH55" i="1"/>
  <c r="AG55" i="1"/>
  <c r="AF55" i="1"/>
  <c r="AE55" i="1"/>
  <c r="AD55" i="1"/>
  <c r="AC55" i="1"/>
  <c r="AB55" i="1"/>
  <c r="H55" i="1"/>
  <c r="H248" i="1"/>
  <c r="H156" i="1"/>
  <c r="V54" i="1"/>
  <c r="H54" i="1"/>
  <c r="H155" i="1"/>
  <c r="AI53" i="1"/>
  <c r="AH53" i="1"/>
  <c r="AG53" i="1"/>
  <c r="AF53" i="1"/>
  <c r="AE53" i="1"/>
  <c r="AD53" i="1"/>
  <c r="AC53" i="1"/>
  <c r="AB53" i="1"/>
  <c r="H53" i="1"/>
  <c r="H247" i="1"/>
  <c r="H154" i="1"/>
  <c r="AI52" i="1"/>
  <c r="AH52" i="1"/>
  <c r="AG52" i="1"/>
  <c r="AF52" i="1"/>
  <c r="AE52" i="1"/>
  <c r="AD52" i="1"/>
  <c r="AC52" i="1"/>
  <c r="AB52" i="1"/>
  <c r="H52" i="1"/>
  <c r="AI51" i="1"/>
  <c r="AH51" i="1"/>
  <c r="AG51" i="1"/>
  <c r="AF51" i="1"/>
  <c r="AE51" i="1"/>
  <c r="AD51" i="1"/>
  <c r="AC51" i="1"/>
  <c r="AB51" i="1"/>
  <c r="H51" i="1"/>
  <c r="AI50" i="1"/>
  <c r="AH50" i="1"/>
  <c r="AG50" i="1"/>
  <c r="AF50" i="1"/>
  <c r="AE50" i="1"/>
  <c r="AD50" i="1"/>
  <c r="AC50" i="1"/>
  <c r="AB50" i="1"/>
  <c r="H50" i="1"/>
  <c r="H324" i="1"/>
  <c r="Y246" i="1"/>
  <c r="H246" i="1"/>
  <c r="H153" i="1"/>
  <c r="V49" i="1"/>
  <c r="AA49" i="1" s="1"/>
  <c r="L49" i="1"/>
  <c r="H49" i="1"/>
  <c r="H362" i="1"/>
  <c r="H346" i="1"/>
  <c r="H323" i="1"/>
  <c r="H245" i="1"/>
  <c r="H152" i="1"/>
  <c r="AI48" i="1"/>
  <c r="AH48" i="1"/>
  <c r="AG48" i="1"/>
  <c r="AF48" i="1"/>
  <c r="AE48" i="1"/>
  <c r="AD48" i="1"/>
  <c r="AC48" i="1"/>
  <c r="AB48" i="1"/>
  <c r="H48" i="1"/>
  <c r="H361" i="1"/>
  <c r="H345" i="1"/>
  <c r="H322" i="1"/>
  <c r="H244" i="1"/>
  <c r="H151" i="1"/>
  <c r="AI47" i="1"/>
  <c r="AH47" i="1"/>
  <c r="AG47" i="1"/>
  <c r="AF47" i="1"/>
  <c r="AE47" i="1"/>
  <c r="AD47" i="1"/>
  <c r="AC47" i="1"/>
  <c r="AB47" i="1"/>
  <c r="H47" i="1"/>
  <c r="H360" i="1"/>
  <c r="H344" i="1"/>
  <c r="H321" i="1"/>
  <c r="H243" i="1"/>
  <c r="H150" i="1"/>
  <c r="V46" i="1"/>
  <c r="H46" i="1"/>
  <c r="H359" i="1"/>
  <c r="H343" i="1"/>
  <c r="H320" i="1"/>
  <c r="H242" i="1"/>
  <c r="L149" i="1"/>
  <c r="H149" i="1"/>
  <c r="AI45" i="1"/>
  <c r="AH45" i="1"/>
  <c r="AG45" i="1"/>
  <c r="AF45" i="1"/>
  <c r="AE45" i="1"/>
  <c r="AD45" i="1"/>
  <c r="AC45" i="1"/>
  <c r="AB45" i="1"/>
  <c r="H45" i="1"/>
  <c r="V358" i="1"/>
  <c r="L358" i="1"/>
  <c r="H358" i="1"/>
  <c r="L342" i="1"/>
  <c r="V342" i="1" s="1"/>
  <c r="H342" i="1"/>
  <c r="V319" i="1"/>
  <c r="L319" i="1"/>
  <c r="H319" i="1"/>
  <c r="L241" i="1"/>
  <c r="V241" i="1" s="1"/>
  <c r="H241" i="1"/>
  <c r="L148" i="1"/>
  <c r="H148" i="1"/>
  <c r="AI44" i="1"/>
  <c r="AH44" i="1"/>
  <c r="AG44" i="1"/>
  <c r="AF44" i="1"/>
  <c r="AE44" i="1"/>
  <c r="AD44" i="1"/>
  <c r="AC44" i="1"/>
  <c r="AB44" i="1"/>
  <c r="H44" i="1"/>
  <c r="L357" i="1"/>
  <c r="H357" i="1"/>
  <c r="L341" i="1"/>
  <c r="H341" i="1"/>
  <c r="L318" i="1"/>
  <c r="H318" i="1"/>
  <c r="L240" i="1"/>
  <c r="H240" i="1"/>
  <c r="L147" i="1"/>
  <c r="H147" i="1"/>
  <c r="AI43" i="1"/>
  <c r="AH43" i="1"/>
  <c r="AG43" i="1"/>
  <c r="AF43" i="1"/>
  <c r="AE43" i="1"/>
  <c r="AD43" i="1"/>
  <c r="AC43" i="1"/>
  <c r="AB43" i="1"/>
  <c r="L43" i="1"/>
  <c r="H43" i="1"/>
  <c r="H356" i="1"/>
  <c r="H340" i="1"/>
  <c r="H317" i="1"/>
  <c r="AA239" i="1"/>
  <c r="AH239" i="1" s="1"/>
  <c r="H239" i="1"/>
  <c r="H146" i="1"/>
  <c r="AI42" i="1"/>
  <c r="AH42" i="1"/>
  <c r="AG42" i="1"/>
  <c r="AF42" i="1"/>
  <c r="AE42" i="1"/>
  <c r="AD42" i="1"/>
  <c r="AC42" i="1"/>
  <c r="AB42" i="1"/>
  <c r="H42" i="1"/>
  <c r="V316" i="1"/>
  <c r="AA316" i="1" s="1"/>
  <c r="AI316" i="1" s="1"/>
  <c r="L316" i="1"/>
  <c r="H316" i="1"/>
  <c r="L238" i="1"/>
  <c r="V238" i="1" s="1"/>
  <c r="H238" i="1"/>
  <c r="V145" i="1"/>
  <c r="L145" i="1"/>
  <c r="H145" i="1"/>
  <c r="V41" i="1"/>
  <c r="H41" i="1"/>
  <c r="AI40" i="1"/>
  <c r="AH40" i="1"/>
  <c r="AG40" i="1"/>
  <c r="AF40" i="1"/>
  <c r="AE40" i="1"/>
  <c r="AD40" i="1"/>
  <c r="AC40" i="1"/>
  <c r="AB40" i="1"/>
  <c r="H40" i="1"/>
  <c r="AI39" i="1"/>
  <c r="AH39" i="1"/>
  <c r="AG39" i="1"/>
  <c r="AF39" i="1"/>
  <c r="AE39" i="1"/>
  <c r="AD39" i="1"/>
  <c r="AC39" i="1"/>
  <c r="AB39" i="1"/>
  <c r="H39" i="1"/>
  <c r="L315" i="1"/>
  <c r="V315" i="1" s="1"/>
  <c r="Y315" i="1" s="1"/>
  <c r="Y318" i="1" s="1"/>
  <c r="AE318" i="1" s="1"/>
  <c r="H315" i="1"/>
  <c r="F315" i="1"/>
  <c r="V237" i="1"/>
  <c r="AA237" i="1" s="1"/>
  <c r="AH237" i="1" s="1"/>
  <c r="L237" i="1"/>
  <c r="F237" i="1"/>
  <c r="H237" i="1" s="1"/>
  <c r="L144" i="1"/>
  <c r="F144" i="1"/>
  <c r="H144" i="1" s="1"/>
  <c r="AI38" i="1"/>
  <c r="AH38" i="1"/>
  <c r="AG38" i="1"/>
  <c r="AF38" i="1"/>
  <c r="AE38" i="1"/>
  <c r="AD38" i="1"/>
  <c r="AC38" i="1"/>
  <c r="AB38" i="1"/>
  <c r="L38" i="1"/>
  <c r="H38" i="1"/>
  <c r="F38" i="1"/>
  <c r="L314" i="1"/>
  <c r="F314" i="1"/>
  <c r="H314" i="1" s="1"/>
  <c r="L236" i="1"/>
  <c r="H236" i="1"/>
  <c r="F236" i="1"/>
  <c r="L143" i="1"/>
  <c r="H143" i="1"/>
  <c r="F143" i="1"/>
  <c r="AI37" i="1"/>
  <c r="AH37" i="1"/>
  <c r="AG37" i="1"/>
  <c r="AF37" i="1"/>
  <c r="AE37" i="1"/>
  <c r="AD37" i="1"/>
  <c r="AC37" i="1"/>
  <c r="AB37" i="1"/>
  <c r="L37" i="1"/>
  <c r="H37" i="1"/>
  <c r="F37" i="1"/>
  <c r="L313" i="1"/>
  <c r="F313" i="1"/>
  <c r="H313" i="1" s="1"/>
  <c r="L235" i="1"/>
  <c r="H235" i="1"/>
  <c r="F235" i="1"/>
  <c r="L142" i="1"/>
  <c r="H142" i="1"/>
  <c r="F142" i="1"/>
  <c r="AI36" i="1"/>
  <c r="AH36" i="1"/>
  <c r="AG36" i="1"/>
  <c r="AF36" i="1"/>
  <c r="AE36" i="1"/>
  <c r="AD36" i="1"/>
  <c r="AC36" i="1"/>
  <c r="AB36" i="1"/>
  <c r="L36" i="1"/>
  <c r="H36" i="1"/>
  <c r="F36" i="1"/>
  <c r="L312" i="1"/>
  <c r="F312" i="1"/>
  <c r="H312" i="1" s="1"/>
  <c r="L234" i="1"/>
  <c r="H234" i="1"/>
  <c r="F234" i="1"/>
  <c r="L141" i="1"/>
  <c r="H141" i="1"/>
  <c r="F141" i="1"/>
  <c r="AI35" i="1"/>
  <c r="AH35" i="1"/>
  <c r="AG35" i="1"/>
  <c r="AF35" i="1"/>
  <c r="AE35" i="1"/>
  <c r="AD35" i="1"/>
  <c r="AC35" i="1"/>
  <c r="AB35" i="1"/>
  <c r="L35" i="1"/>
  <c r="H35" i="1"/>
  <c r="F35" i="1"/>
  <c r="L311" i="1"/>
  <c r="F311" i="1"/>
  <c r="H311" i="1" s="1"/>
  <c r="L233" i="1"/>
  <c r="H233" i="1"/>
  <c r="F233" i="1"/>
  <c r="X140" i="1"/>
  <c r="X141" i="1" s="1"/>
  <c r="X142" i="1" s="1"/>
  <c r="X143" i="1" s="1"/>
  <c r="X144" i="1" s="1"/>
  <c r="AC144" i="1" s="1"/>
  <c r="L140" i="1"/>
  <c r="H140" i="1"/>
  <c r="F140" i="1"/>
  <c r="AI34" i="1"/>
  <c r="AH34" i="1"/>
  <c r="AG34" i="1"/>
  <c r="AF34" i="1"/>
  <c r="AE34" i="1"/>
  <c r="AD34" i="1"/>
  <c r="AC34" i="1"/>
  <c r="AB34" i="1"/>
  <c r="L34" i="1"/>
  <c r="H34" i="1"/>
  <c r="F34" i="1"/>
  <c r="AI33" i="1"/>
  <c r="AH33" i="1"/>
  <c r="AG33" i="1"/>
  <c r="AF33" i="1"/>
  <c r="AE33" i="1"/>
  <c r="AD33" i="1"/>
  <c r="AC33" i="1"/>
  <c r="AB33" i="1"/>
  <c r="H33" i="1"/>
  <c r="AI32" i="1"/>
  <c r="AH32" i="1"/>
  <c r="AG32" i="1"/>
  <c r="AF32" i="1"/>
  <c r="AE32" i="1"/>
  <c r="AD32" i="1"/>
  <c r="AC32" i="1"/>
  <c r="AB32" i="1"/>
  <c r="H32" i="1"/>
  <c r="AA139" i="1"/>
  <c r="V139" i="1"/>
  <c r="X139" i="1" s="1"/>
  <c r="AC139" i="1" s="1"/>
  <c r="L139" i="1"/>
  <c r="H139" i="1"/>
  <c r="AI31" i="1"/>
  <c r="AH31" i="1"/>
  <c r="AG31" i="1"/>
  <c r="AF31" i="1"/>
  <c r="AE31" i="1"/>
  <c r="AD31" i="1"/>
  <c r="AC31" i="1"/>
  <c r="AB31" i="1"/>
  <c r="H31" i="1"/>
  <c r="R310" i="1"/>
  <c r="N310" i="1"/>
  <c r="L310" i="1"/>
  <c r="H310" i="1"/>
  <c r="F310" i="1"/>
  <c r="R232" i="1"/>
  <c r="N232" i="1"/>
  <c r="L232" i="1"/>
  <c r="F232" i="1"/>
  <c r="H232" i="1" s="1"/>
  <c r="R138" i="1"/>
  <c r="N138" i="1"/>
  <c r="L138" i="1"/>
  <c r="H138" i="1"/>
  <c r="F138" i="1"/>
  <c r="AI30" i="1"/>
  <c r="AH30" i="1"/>
  <c r="AG30" i="1"/>
  <c r="AF30" i="1"/>
  <c r="AE30" i="1"/>
  <c r="AD30" i="1"/>
  <c r="AC30" i="1"/>
  <c r="AB30" i="1"/>
  <c r="R30" i="1"/>
  <c r="N30" i="1"/>
  <c r="L30" i="1"/>
  <c r="H30" i="1"/>
  <c r="R309" i="1"/>
  <c r="N309" i="1"/>
  <c r="L309" i="1"/>
  <c r="H309" i="1"/>
  <c r="R231" i="1"/>
  <c r="N231" i="1"/>
  <c r="L231" i="1"/>
  <c r="H231" i="1"/>
  <c r="R137" i="1"/>
  <c r="N137" i="1"/>
  <c r="L137" i="1"/>
  <c r="H137" i="1"/>
  <c r="AI29" i="1"/>
  <c r="AH29" i="1"/>
  <c r="AG29" i="1"/>
  <c r="AF29" i="1"/>
  <c r="AE29" i="1"/>
  <c r="AD29" i="1"/>
  <c r="AC29" i="1"/>
  <c r="AB29" i="1"/>
  <c r="R29" i="1"/>
  <c r="N29" i="1"/>
  <c r="H29" i="1"/>
  <c r="L308" i="1"/>
  <c r="V308" i="1" s="1"/>
  <c r="H308" i="1"/>
  <c r="L230" i="1"/>
  <c r="V230" i="1" s="1"/>
  <c r="H230" i="1"/>
  <c r="V136" i="1"/>
  <c r="L136" i="1"/>
  <c r="H136" i="1"/>
  <c r="AI28" i="1"/>
  <c r="AH28" i="1"/>
  <c r="AG28" i="1"/>
  <c r="AF28" i="1"/>
  <c r="AE28" i="1"/>
  <c r="AD28" i="1"/>
  <c r="X28" i="1"/>
  <c r="H28" i="1"/>
  <c r="L307" i="1"/>
  <c r="V307" i="1" s="1"/>
  <c r="H307" i="1"/>
  <c r="H229" i="1"/>
  <c r="H135" i="1"/>
  <c r="AI27" i="1"/>
  <c r="AH27" i="1"/>
  <c r="AG27" i="1"/>
  <c r="AF27" i="1"/>
  <c r="AE27" i="1"/>
  <c r="AD27" i="1"/>
  <c r="AC27" i="1"/>
  <c r="AB27" i="1"/>
  <c r="L27" i="1"/>
  <c r="L135" i="1" s="1"/>
  <c r="H27" i="1"/>
  <c r="L306" i="1"/>
  <c r="V306" i="1" s="1"/>
  <c r="Y306" i="1" s="1"/>
  <c r="Y309" i="1" s="1"/>
  <c r="Y312" i="1" s="1"/>
  <c r="F306" i="1"/>
  <c r="H306" i="1" s="1"/>
  <c r="L228" i="1"/>
  <c r="V228" i="1" s="1"/>
  <c r="AA228" i="1" s="1"/>
  <c r="F228" i="1"/>
  <c r="H228" i="1" s="1"/>
  <c r="L134" i="1"/>
  <c r="V134" i="1" s="1"/>
  <c r="F134" i="1"/>
  <c r="H134" i="1" s="1"/>
  <c r="L26" i="1"/>
  <c r="V26" i="1" s="1"/>
  <c r="Y26" i="1" s="1"/>
  <c r="F26" i="1"/>
  <c r="H26" i="1" s="1"/>
  <c r="L305" i="1"/>
  <c r="V305" i="1" s="1"/>
  <c r="AA305" i="1" s="1"/>
  <c r="H305" i="1"/>
  <c r="V227" i="1"/>
  <c r="Y227" i="1" s="1"/>
  <c r="L227" i="1"/>
  <c r="H227" i="1"/>
  <c r="V133" i="1"/>
  <c r="Z133" i="1" s="1"/>
  <c r="L133" i="1"/>
  <c r="H133" i="1"/>
  <c r="L25" i="1"/>
  <c r="V25" i="1" s="1"/>
  <c r="Y25" i="1" s="1"/>
  <c r="H25" i="1"/>
  <c r="V304" i="1"/>
  <c r="X304" i="1" s="1"/>
  <c r="AB304" i="1" s="1"/>
  <c r="L304" i="1"/>
  <c r="H304" i="1"/>
  <c r="L226" i="1"/>
  <c r="V226" i="1" s="1"/>
  <c r="AA328" i="1" s="1"/>
  <c r="AA336" i="1" s="1"/>
  <c r="AI336" i="1" s="1"/>
  <c r="H226" i="1"/>
  <c r="L132" i="1"/>
  <c r="V132" i="1" s="1"/>
  <c r="AA132" i="1" s="1"/>
  <c r="H132" i="1"/>
  <c r="V24" i="1"/>
  <c r="X24" i="1" s="1"/>
  <c r="AC24" i="1" s="1"/>
  <c r="H24" i="1"/>
  <c r="V303" i="1"/>
  <c r="Y303" i="1" s="1"/>
  <c r="L303" i="1"/>
  <c r="H303" i="1"/>
  <c r="V225" i="1"/>
  <c r="Z225" i="1" s="1"/>
  <c r="L225" i="1"/>
  <c r="H225" i="1"/>
  <c r="L131" i="1"/>
  <c r="V131" i="1" s="1"/>
  <c r="H131" i="1"/>
  <c r="AI23" i="1"/>
  <c r="AH23" i="1"/>
  <c r="AG23" i="1"/>
  <c r="AF23" i="1"/>
  <c r="AE23" i="1"/>
  <c r="AD23" i="1"/>
  <c r="AC23" i="1"/>
  <c r="AB23" i="1"/>
  <c r="L23" i="1"/>
  <c r="H23" i="1"/>
  <c r="V302" i="1"/>
  <c r="Y302" i="1" s="1"/>
  <c r="AD302" i="1" s="1"/>
  <c r="L302" i="1"/>
  <c r="H302" i="1"/>
  <c r="L224" i="1"/>
  <c r="H224" i="1"/>
  <c r="L130" i="1"/>
  <c r="H130" i="1"/>
  <c r="AI22" i="1"/>
  <c r="AH22" i="1"/>
  <c r="AG22" i="1"/>
  <c r="AF22" i="1"/>
  <c r="AE22" i="1"/>
  <c r="AD22" i="1"/>
  <c r="AC22" i="1"/>
  <c r="AB22" i="1"/>
  <c r="H22" i="1"/>
  <c r="L301" i="1"/>
  <c r="H301" i="1"/>
  <c r="L223" i="1"/>
  <c r="H223" i="1"/>
  <c r="L129" i="1"/>
  <c r="H129" i="1"/>
  <c r="AI21" i="1"/>
  <c r="AH21" i="1"/>
  <c r="AG21" i="1"/>
  <c r="AF21" i="1"/>
  <c r="AE21" i="1"/>
  <c r="AD21" i="1"/>
  <c r="AC21" i="1"/>
  <c r="AB21" i="1"/>
  <c r="H21" i="1"/>
  <c r="L300" i="1"/>
  <c r="V300" i="1" s="1"/>
  <c r="Y300" i="1" s="1"/>
  <c r="H300" i="1"/>
  <c r="L222" i="1"/>
  <c r="H222" i="1"/>
  <c r="X128" i="1"/>
  <c r="AC128" i="1" s="1"/>
  <c r="L128" i="1"/>
  <c r="H128" i="1"/>
  <c r="AI20" i="1"/>
  <c r="AH20" i="1"/>
  <c r="AG20" i="1"/>
  <c r="AF20" i="1"/>
  <c r="AE20" i="1"/>
  <c r="AD20" i="1"/>
  <c r="AC20" i="1"/>
  <c r="AB20" i="1"/>
  <c r="H20" i="1"/>
  <c r="V299" i="1"/>
  <c r="L299" i="1"/>
  <c r="H299" i="1"/>
  <c r="L221" i="1"/>
  <c r="H221" i="1"/>
  <c r="L127" i="1"/>
  <c r="H127" i="1"/>
  <c r="AI19" i="1"/>
  <c r="AH19" i="1"/>
  <c r="AG19" i="1"/>
  <c r="AF19" i="1"/>
  <c r="AE19" i="1"/>
  <c r="AD19" i="1"/>
  <c r="AC19" i="1"/>
  <c r="AB19" i="1"/>
  <c r="H19" i="1"/>
  <c r="H220" i="1"/>
  <c r="X126" i="1"/>
  <c r="X127" i="1" s="1"/>
  <c r="AC127" i="1" s="1"/>
  <c r="H126" i="1"/>
  <c r="V18" i="1"/>
  <c r="AA18" i="1" s="1"/>
  <c r="AH18" i="1" s="1"/>
  <c r="H18" i="1"/>
  <c r="H125" i="1"/>
  <c r="AA17" i="1"/>
  <c r="AH17" i="1" s="1"/>
  <c r="Z17" i="1"/>
  <c r="Y17" i="1"/>
  <c r="X17" i="1"/>
  <c r="AC17" i="1" s="1"/>
  <c r="L17" i="1"/>
  <c r="H17" i="1"/>
  <c r="L124" i="1"/>
  <c r="H124" i="1"/>
  <c r="AI16" i="1"/>
  <c r="AH16" i="1"/>
  <c r="AG16" i="1"/>
  <c r="AF16" i="1"/>
  <c r="AE16" i="1"/>
  <c r="AD16" i="1"/>
  <c r="AC16" i="1"/>
  <c r="AB16" i="1"/>
  <c r="L16" i="1"/>
  <c r="H16" i="1"/>
  <c r="L298" i="1"/>
  <c r="H298" i="1"/>
  <c r="L219" i="1"/>
  <c r="H219" i="1"/>
  <c r="L123" i="1"/>
  <c r="H123" i="1"/>
  <c r="AI15" i="1"/>
  <c r="AH15" i="1"/>
  <c r="AG15" i="1"/>
  <c r="AF15" i="1"/>
  <c r="AE15" i="1"/>
  <c r="AD15" i="1"/>
  <c r="AC15" i="1"/>
  <c r="AB15" i="1"/>
  <c r="H15" i="1"/>
  <c r="AA14" i="1"/>
  <c r="Z14" i="1"/>
  <c r="AF14" i="1" s="1"/>
  <c r="Y14" i="1"/>
  <c r="X14" i="1"/>
  <c r="AB14" i="1" s="1"/>
  <c r="V14" i="1"/>
  <c r="H14" i="1"/>
  <c r="AI13" i="1"/>
  <c r="AH13" i="1"/>
  <c r="AG13" i="1"/>
  <c r="AF13" i="1"/>
  <c r="AE13" i="1"/>
  <c r="AD13" i="1"/>
  <c r="AC13" i="1"/>
  <c r="AB13" i="1"/>
  <c r="H13" i="1"/>
  <c r="H355" i="1"/>
  <c r="AA339" i="1"/>
  <c r="AH339" i="1" s="1"/>
  <c r="Z339" i="1"/>
  <c r="Y339" i="1"/>
  <c r="AE339" i="1" s="1"/>
  <c r="X339" i="1"/>
  <c r="V339" i="1"/>
  <c r="L339" i="1"/>
  <c r="H339" i="1"/>
  <c r="H297" i="1"/>
  <c r="H218" i="1"/>
  <c r="H122" i="1"/>
  <c r="AA12" i="1"/>
  <c r="AH12" i="1" s="1"/>
  <c r="Z12" i="1"/>
  <c r="AF12" i="1" s="1"/>
  <c r="Y12" i="1"/>
  <c r="X12" i="1"/>
  <c r="AC12" i="1" s="1"/>
  <c r="L12" i="1"/>
  <c r="H12" i="1"/>
  <c r="AA354" i="1"/>
  <c r="Z354" i="1"/>
  <c r="AG354" i="1" s="1"/>
  <c r="Y354" i="1"/>
  <c r="V354" i="1"/>
  <c r="L354" i="1"/>
  <c r="X354" i="1" s="1"/>
  <c r="H354" i="1"/>
  <c r="AA338" i="1"/>
  <c r="Z338" i="1"/>
  <c r="AF338" i="1" s="1"/>
  <c r="Y338" i="1"/>
  <c r="X338" i="1"/>
  <c r="L338" i="1"/>
  <c r="V338" i="1" s="1"/>
  <c r="H338" i="1"/>
  <c r="AA296" i="1"/>
  <c r="Z296" i="1"/>
  <c r="Y296" i="1"/>
  <c r="X296" i="1"/>
  <c r="V296" i="1"/>
  <c r="L296" i="1"/>
  <c r="H296" i="1"/>
  <c r="L217" i="1"/>
  <c r="H217" i="1"/>
  <c r="L121" i="1"/>
  <c r="Y121" i="1" s="1"/>
  <c r="H121" i="1"/>
  <c r="AA11" i="1"/>
  <c r="Z11" i="1"/>
  <c r="Y11" i="1"/>
  <c r="X11" i="1"/>
  <c r="V11" i="1"/>
  <c r="H11" i="1"/>
  <c r="L391" i="1"/>
  <c r="H391" i="1"/>
  <c r="L390" i="1"/>
  <c r="H390" i="1"/>
  <c r="L384" i="1"/>
  <c r="H384" i="1"/>
  <c r="L383" i="1"/>
  <c r="H383" i="1"/>
  <c r="L377" i="1"/>
  <c r="H377" i="1"/>
  <c r="H376" i="1"/>
  <c r="L370" i="1"/>
  <c r="H370" i="1"/>
  <c r="L369" i="1"/>
  <c r="H369" i="1"/>
  <c r="H353" i="1"/>
  <c r="L352" i="1"/>
  <c r="H352" i="1"/>
  <c r="H337" i="1"/>
  <c r="H336" i="1"/>
  <c r="L295" i="1"/>
  <c r="H295" i="1"/>
  <c r="L294" i="1"/>
  <c r="H294" i="1"/>
  <c r="L216" i="1"/>
  <c r="H216" i="1"/>
  <c r="L215" i="1"/>
  <c r="H215" i="1"/>
  <c r="L120" i="1"/>
  <c r="H120" i="1"/>
  <c r="L119" i="1"/>
  <c r="H119" i="1"/>
  <c r="AI10" i="1"/>
  <c r="AH10" i="1"/>
  <c r="AG10" i="1"/>
  <c r="AF10" i="1"/>
  <c r="AE10" i="1"/>
  <c r="AD10" i="1"/>
  <c r="AC10" i="1"/>
  <c r="AB10" i="1"/>
  <c r="H10" i="1"/>
  <c r="AI9" i="1"/>
  <c r="AH9" i="1"/>
  <c r="AG9" i="1"/>
  <c r="AF9" i="1"/>
  <c r="AE9" i="1"/>
  <c r="AD9" i="1"/>
  <c r="AC9" i="1"/>
  <c r="AB9" i="1"/>
  <c r="H9" i="1"/>
  <c r="L389" i="1"/>
  <c r="H389" i="1"/>
  <c r="L388" i="1"/>
  <c r="H388" i="1"/>
  <c r="L382" i="1"/>
  <c r="H382" i="1"/>
  <c r="L381" i="1"/>
  <c r="H381" i="1"/>
  <c r="L375" i="1"/>
  <c r="H375" i="1"/>
  <c r="L374" i="1"/>
  <c r="H374" i="1"/>
  <c r="L368" i="1"/>
  <c r="H368" i="1"/>
  <c r="L367" i="1"/>
  <c r="H367" i="1"/>
  <c r="L351" i="1"/>
  <c r="H351" i="1"/>
  <c r="L350" i="1"/>
  <c r="H350" i="1"/>
  <c r="L335" i="1"/>
  <c r="H335" i="1"/>
  <c r="L334" i="1"/>
  <c r="H334" i="1"/>
  <c r="Z293" i="1"/>
  <c r="L293" i="1"/>
  <c r="H293" i="1"/>
  <c r="AH292" i="1"/>
  <c r="AD292" i="1"/>
  <c r="AA292" i="1"/>
  <c r="AI292" i="1" s="1"/>
  <c r="Z292" i="1"/>
  <c r="AG292" i="1" s="1"/>
  <c r="Y292" i="1"/>
  <c r="AE292" i="1" s="1"/>
  <c r="X292" i="1"/>
  <c r="AC292" i="1" s="1"/>
  <c r="L292" i="1"/>
  <c r="H292" i="1"/>
  <c r="L214" i="1"/>
  <c r="H214" i="1"/>
  <c r="L213" i="1"/>
  <c r="H213" i="1"/>
  <c r="L118" i="1"/>
  <c r="H118" i="1"/>
  <c r="L117" i="1"/>
  <c r="H117" i="1"/>
  <c r="AI8" i="1"/>
  <c r="AH8" i="1"/>
  <c r="AG8" i="1"/>
  <c r="AF8" i="1"/>
  <c r="AE8" i="1"/>
  <c r="AD8" i="1"/>
  <c r="AC8" i="1"/>
  <c r="AB8" i="1"/>
  <c r="H8" i="1"/>
  <c r="AI7" i="1"/>
  <c r="AH7" i="1"/>
  <c r="AG7" i="1"/>
  <c r="AF7" i="1"/>
  <c r="AE7" i="1"/>
  <c r="AD7" i="1"/>
  <c r="AC7" i="1"/>
  <c r="AB7" i="1"/>
  <c r="H7" i="1"/>
  <c r="L291" i="1"/>
  <c r="H291" i="1"/>
  <c r="AG290" i="1"/>
  <c r="Z290" i="1"/>
  <c r="AF290" i="1" s="1"/>
  <c r="L290" i="1"/>
  <c r="H290" i="1"/>
  <c r="L212" i="1"/>
  <c r="H212" i="1"/>
  <c r="Y211" i="1"/>
  <c r="Y215" i="1" s="1"/>
  <c r="L211" i="1"/>
  <c r="H211" i="1"/>
  <c r="L116" i="1"/>
  <c r="H116" i="1"/>
  <c r="AA115" i="1"/>
  <c r="AI115" i="1" s="1"/>
  <c r="L115" i="1"/>
  <c r="H115" i="1"/>
  <c r="AI6" i="1"/>
  <c r="AH6" i="1"/>
  <c r="AG6" i="1"/>
  <c r="AF6" i="1"/>
  <c r="AE6" i="1"/>
  <c r="AD6" i="1"/>
  <c r="AC6" i="1"/>
  <c r="AB6" i="1"/>
  <c r="H6" i="1"/>
  <c r="AI5" i="1"/>
  <c r="AH5" i="1"/>
  <c r="AG5" i="1"/>
  <c r="AF5" i="1"/>
  <c r="AE5" i="1"/>
  <c r="AD5" i="1"/>
  <c r="AC5" i="1"/>
  <c r="AB5" i="1"/>
  <c r="H5" i="1"/>
  <c r="L387" i="1"/>
  <c r="H387" i="1"/>
  <c r="L386" i="1"/>
  <c r="H386" i="1"/>
  <c r="L385" i="1"/>
  <c r="H385" i="1"/>
  <c r="L380" i="1"/>
  <c r="H380" i="1"/>
  <c r="L379" i="1"/>
  <c r="H379" i="1"/>
  <c r="L378" i="1"/>
  <c r="H378" i="1"/>
  <c r="L373" i="1"/>
  <c r="H373" i="1"/>
  <c r="L372" i="1"/>
  <c r="H372" i="1"/>
  <c r="L371" i="1"/>
  <c r="H371" i="1"/>
  <c r="L366" i="1"/>
  <c r="H366" i="1"/>
  <c r="L365" i="1"/>
  <c r="H365" i="1"/>
  <c r="L364" i="1"/>
  <c r="H364" i="1"/>
  <c r="L349" i="1"/>
  <c r="H349" i="1"/>
  <c r="L348" i="1"/>
  <c r="H348" i="1"/>
  <c r="L347" i="1"/>
  <c r="H347" i="1"/>
  <c r="L333" i="1"/>
  <c r="H333" i="1"/>
  <c r="L332" i="1"/>
  <c r="H332" i="1"/>
  <c r="L331" i="1"/>
  <c r="H331" i="1"/>
  <c r="AA289" i="1"/>
  <c r="Z289" i="1"/>
  <c r="X289" i="1"/>
  <c r="L289" i="1"/>
  <c r="H289" i="1"/>
  <c r="AA288" i="1"/>
  <c r="Z288" i="1"/>
  <c r="AG288" i="1" s="1"/>
  <c r="Y288" i="1"/>
  <c r="X288" i="1"/>
  <c r="X294" i="1" s="1"/>
  <c r="AC294" i="1" s="1"/>
  <c r="L288" i="1"/>
  <c r="H288" i="1"/>
  <c r="AA287" i="1"/>
  <c r="AI287" i="1" s="1"/>
  <c r="Z287" i="1"/>
  <c r="AG287" i="1" s="1"/>
  <c r="X287" i="1"/>
  <c r="AC287" i="1" s="1"/>
  <c r="L287" i="1"/>
  <c r="H287" i="1"/>
  <c r="L210" i="1"/>
  <c r="H210" i="1"/>
  <c r="L209" i="1"/>
  <c r="H209" i="1"/>
  <c r="L208" i="1"/>
  <c r="H208" i="1"/>
  <c r="AA114" i="1"/>
  <c r="AH114" i="1" s="1"/>
  <c r="Z114" i="1"/>
  <c r="AG114" i="1" s="1"/>
  <c r="Y114" i="1"/>
  <c r="AE114" i="1" s="1"/>
  <c r="X114" i="1"/>
  <c r="AC114" i="1" s="1"/>
  <c r="L114" i="1"/>
  <c r="H114" i="1"/>
  <c r="AA113" i="1"/>
  <c r="AI113" i="1" s="1"/>
  <c r="Z113" i="1"/>
  <c r="AF113" i="1" s="1"/>
  <c r="Y113" i="1"/>
  <c r="AD113" i="1" s="1"/>
  <c r="X113" i="1"/>
  <c r="AC113" i="1" s="1"/>
  <c r="L113" i="1"/>
  <c r="H113" i="1"/>
  <c r="AF112" i="1"/>
  <c r="AA112" i="1"/>
  <c r="AI112" i="1" s="1"/>
  <c r="Z112" i="1"/>
  <c r="AG112" i="1" s="1"/>
  <c r="Y112" i="1"/>
  <c r="AD112" i="1" s="1"/>
  <c r="X112" i="1"/>
  <c r="AC112" i="1" s="1"/>
  <c r="L112" i="1"/>
  <c r="H112" i="1"/>
  <c r="AI4" i="1"/>
  <c r="AH4" i="1"/>
  <c r="AG4" i="1"/>
  <c r="AF4" i="1"/>
  <c r="AE4" i="1"/>
  <c r="AD4" i="1"/>
  <c r="AC4" i="1"/>
  <c r="AB4" i="1"/>
  <c r="H4" i="1"/>
  <c r="AI3" i="1"/>
  <c r="AH3" i="1"/>
  <c r="AG3" i="1"/>
  <c r="AF3" i="1"/>
  <c r="AE3" i="1"/>
  <c r="AD3" i="1"/>
  <c r="AC3" i="1"/>
  <c r="AB3" i="1"/>
  <c r="H3" i="1"/>
  <c r="AI2" i="1"/>
  <c r="AH2" i="1"/>
  <c r="AG2" i="1"/>
  <c r="AF2" i="1"/>
  <c r="AE2" i="1"/>
  <c r="AD2" i="1"/>
  <c r="AC2" i="1"/>
  <c r="AB2" i="1"/>
  <c r="H2" i="1"/>
  <c r="AB69" i="4" l="1"/>
  <c r="AB14" i="4"/>
  <c r="AD14" i="4"/>
  <c r="AF11" i="4"/>
  <c r="AB109" i="4"/>
  <c r="AE106" i="4"/>
  <c r="AF109" i="4"/>
  <c r="AD109" i="4"/>
  <c r="AA11" i="4"/>
  <c r="AF14" i="4"/>
  <c r="AB81" i="4"/>
  <c r="AC82" i="4"/>
  <c r="AG106" i="4"/>
  <c r="AH109" i="4"/>
  <c r="AC11" i="4"/>
  <c r="AH14" i="4"/>
  <c r="AG11" i="4"/>
  <c r="Y24" i="4"/>
  <c r="AF24" i="4" s="1"/>
  <c r="AC78" i="4"/>
  <c r="AD82" i="4"/>
  <c r="Y18" i="4"/>
  <c r="AE18" i="4" s="1"/>
  <c r="AD12" i="4"/>
  <c r="Z24" i="4"/>
  <c r="AG24" i="4" s="1"/>
  <c r="AD65" i="4"/>
  <c r="AC84" i="4"/>
  <c r="AB54" i="4"/>
  <c r="AE65" i="4"/>
  <c r="AC109" i="4"/>
  <c r="AE17" i="4"/>
  <c r="AG65" i="4"/>
  <c r="AG83" i="4"/>
  <c r="AG84" i="4"/>
  <c r="AD17" i="4"/>
  <c r="AA65" i="4"/>
  <c r="AF54" i="4"/>
  <c r="AG81" i="4"/>
  <c r="X41" i="4"/>
  <c r="AC41" i="4" s="1"/>
  <c r="AF49" i="4"/>
  <c r="AC75" i="4"/>
  <c r="AD79" i="4"/>
  <c r="AF12" i="4"/>
  <c r="AE14" i="4"/>
  <c r="Y41" i="4"/>
  <c r="AG49" i="4"/>
  <c r="AD54" i="4"/>
  <c r="AD80" i="4"/>
  <c r="AF81" i="4"/>
  <c r="AB82" i="4"/>
  <c r="AD106" i="4"/>
  <c r="AG109" i="4"/>
  <c r="AA49" i="4"/>
  <c r="AA75" i="4"/>
  <c r="AB79" i="4"/>
  <c r="AB80" i="4"/>
  <c r="AE109" i="4"/>
  <c r="AD11" i="4"/>
  <c r="X18" i="4"/>
  <c r="AC18" i="4" s="1"/>
  <c r="AF65" i="4"/>
  <c r="AH75" i="4"/>
  <c r="AH79" i="4"/>
  <c r="AF80" i="4"/>
  <c r="AH81" i="4"/>
  <c r="AF106" i="4"/>
  <c r="AB76" i="4"/>
  <c r="AB106" i="4"/>
  <c r="AG14" i="4"/>
  <c r="AH54" i="4"/>
  <c r="AH65" i="4"/>
  <c r="AD75" i="4"/>
  <c r="AH78" i="4"/>
  <c r="AE79" i="4"/>
  <c r="AH80" i="4"/>
  <c r="AA81" i="4"/>
  <c r="AA83" i="4"/>
  <c r="AA84" i="4"/>
  <c r="AH106" i="4"/>
  <c r="AB78" i="4"/>
  <c r="AG80" i="4"/>
  <c r="AH82" i="4"/>
  <c r="AF83" i="4"/>
  <c r="AC106" i="4"/>
  <c r="AB49" i="4"/>
  <c r="AC49" i="4"/>
  <c r="AD49" i="4"/>
  <c r="AG41" i="4"/>
  <c r="AH41" i="4"/>
  <c r="Z25" i="4"/>
  <c r="Y25" i="4"/>
  <c r="W25" i="4"/>
  <c r="X25" i="4"/>
  <c r="AH18" i="4"/>
  <c r="AG18" i="4"/>
  <c r="AH46" i="4"/>
  <c r="AG46" i="4"/>
  <c r="Z26" i="4"/>
  <c r="Y26" i="4"/>
  <c r="W26" i="4"/>
  <c r="X26" i="4"/>
  <c r="AD24" i="4"/>
  <c r="AC24" i="4"/>
  <c r="AH11" i="4"/>
  <c r="AB12" i="4"/>
  <c r="AC14" i="4"/>
  <c r="AB17" i="4"/>
  <c r="AH24" i="4"/>
  <c r="AH49" i="4"/>
  <c r="AB75" i="4"/>
  <c r="AA78" i="4"/>
  <c r="AC79" i="4"/>
  <c r="AE80" i="4"/>
  <c r="AA82" i="4"/>
  <c r="AD83" i="4"/>
  <c r="W18" i="4"/>
  <c r="W41" i="4"/>
  <c r="AG54" i="4"/>
  <c r="AG69" i="4"/>
  <c r="W46" i="4"/>
  <c r="AF75" i="4"/>
  <c r="AE78" i="4"/>
  <c r="AA80" i="4"/>
  <c r="AE82" i="4"/>
  <c r="AE75" i="4"/>
  <c r="AD78" i="4"/>
  <c r="AE11" i="4"/>
  <c r="AG12" i="4"/>
  <c r="AG17" i="4"/>
  <c r="W24" i="4"/>
  <c r="AB28" i="4"/>
  <c r="X46" i="4"/>
  <c r="AE49" i="4"/>
  <c r="AC54" i="4"/>
  <c r="AC65" i="4"/>
  <c r="AC69" i="4"/>
  <c r="AF82" i="4"/>
  <c r="AA14" i="4"/>
  <c r="Y46" i="4"/>
  <c r="AG78" i="4"/>
  <c r="AA79" i="4"/>
  <c r="AC80" i="4"/>
  <c r="AE81" i="4"/>
  <c r="AG82" i="4"/>
  <c r="AE84" i="4"/>
  <c r="AA106" i="4"/>
  <c r="AA109" i="4"/>
  <c r="X299" i="1"/>
  <c r="AB299" i="1" s="1"/>
  <c r="AA299" i="1"/>
  <c r="Z299" i="1"/>
  <c r="Y299" i="1"/>
  <c r="AE299" i="1" s="1"/>
  <c r="AE280" i="1"/>
  <c r="Y282" i="1"/>
  <c r="AA293" i="1"/>
  <c r="Y46" i="1"/>
  <c r="AD46" i="1" s="1"/>
  <c r="X46" i="1"/>
  <c r="AA117" i="1"/>
  <c r="L184" i="1"/>
  <c r="L185" i="1" s="1"/>
  <c r="V183" i="1"/>
  <c r="AB289" i="1"/>
  <c r="X295" i="1"/>
  <c r="X298" i="1" s="1"/>
  <c r="Y289" i="1"/>
  <c r="AH288" i="1"/>
  <c r="AA294" i="1"/>
  <c r="AH294" i="1" s="1"/>
  <c r="AG289" i="1"/>
  <c r="Z295" i="1"/>
  <c r="Z298" i="1" s="1"/>
  <c r="X116" i="1"/>
  <c r="AD215" i="1"/>
  <c r="AE215" i="1"/>
  <c r="AI139" i="1"/>
  <c r="AA140" i="1"/>
  <c r="AH139" i="1"/>
  <c r="AA153" i="1"/>
  <c r="L242" i="1"/>
  <c r="V242" i="1" s="1"/>
  <c r="L150" i="1"/>
  <c r="AD288" i="1"/>
  <c r="Y294" i="1"/>
  <c r="AE294" i="1" s="1"/>
  <c r="AB288" i="1"/>
  <c r="AI289" i="1"/>
  <c r="AA295" i="1"/>
  <c r="X115" i="1"/>
  <c r="Y116" i="1"/>
  <c r="AD12" i="1"/>
  <c r="AE12" i="1"/>
  <c r="L280" i="1"/>
  <c r="L199" i="1"/>
  <c r="L200" i="1" s="1"/>
  <c r="Y287" i="1"/>
  <c r="AF287" i="1"/>
  <c r="AC288" i="1"/>
  <c r="Y115" i="1"/>
  <c r="Z116" i="1"/>
  <c r="X293" i="1"/>
  <c r="X129" i="1"/>
  <c r="AA340" i="1"/>
  <c r="AB198" i="1"/>
  <c r="AC198" i="1"/>
  <c r="AG279" i="1"/>
  <c r="Z281" i="1"/>
  <c r="AG281" i="1" s="1"/>
  <c r="AE288" i="1"/>
  <c r="Z115" i="1"/>
  <c r="AA116" i="1"/>
  <c r="Z294" i="1"/>
  <c r="AG294" i="1" s="1"/>
  <c r="AD312" i="1"/>
  <c r="AE312" i="1"/>
  <c r="AE198" i="1"/>
  <c r="Y199" i="1"/>
  <c r="Y200" i="1" s="1"/>
  <c r="AC11" i="1"/>
  <c r="Y261" i="1"/>
  <c r="X81" i="1"/>
  <c r="AA282" i="1"/>
  <c r="AC106" i="1"/>
  <c r="X207" i="1"/>
  <c r="X211" i="1" s="1"/>
  <c r="AA80" i="1"/>
  <c r="Z207" i="1"/>
  <c r="AA24" i="1"/>
  <c r="AI24" i="1" s="1"/>
  <c r="Z227" i="1"/>
  <c r="AG227" i="1" s="1"/>
  <c r="AH316" i="1"/>
  <c r="Z342" i="1"/>
  <c r="V177" i="1"/>
  <c r="AA177" i="1" s="1"/>
  <c r="AA178" i="1" s="1"/>
  <c r="AI178" i="1" s="1"/>
  <c r="X84" i="1"/>
  <c r="AA207" i="1"/>
  <c r="L125" i="1"/>
  <c r="Z248" i="1"/>
  <c r="Y84" i="1"/>
  <c r="Z198" i="1"/>
  <c r="Z199" i="1" s="1"/>
  <c r="AC206" i="1"/>
  <c r="AF296" i="1"/>
  <c r="Z145" i="1"/>
  <c r="Z84" i="1"/>
  <c r="AF84" i="1" s="1"/>
  <c r="AA198" i="1"/>
  <c r="AA199" i="1" s="1"/>
  <c r="X282" i="1"/>
  <c r="AF109" i="1"/>
  <c r="AI296" i="1"/>
  <c r="Z49" i="1"/>
  <c r="AA261" i="1"/>
  <c r="AA84" i="1"/>
  <c r="AI84" i="1" s="1"/>
  <c r="AI49" i="1"/>
  <c r="AH49" i="1"/>
  <c r="AG338" i="1"/>
  <c r="AI354" i="1"/>
  <c r="AB12" i="1"/>
  <c r="Z180" i="1"/>
  <c r="Z82" i="1"/>
  <c r="AH338" i="1"/>
  <c r="AB139" i="1"/>
  <c r="AE113" i="1"/>
  <c r="AF114" i="1"/>
  <c r="AA41" i="1"/>
  <c r="AH41" i="1" s="1"/>
  <c r="AD318" i="1"/>
  <c r="V149" i="1"/>
  <c r="Z46" i="1"/>
  <c r="AG46" i="1" s="1"/>
  <c r="X177" i="1"/>
  <c r="X178" i="1" s="1"/>
  <c r="Z80" i="1"/>
  <c r="Y81" i="1"/>
  <c r="AH112" i="1"/>
  <c r="AG113" i="1"/>
  <c r="AI114" i="1"/>
  <c r="AC289" i="1"/>
  <c r="AC354" i="1"/>
  <c r="AF219" i="1"/>
  <c r="AA342" i="1"/>
  <c r="Z81" i="1"/>
  <c r="AG81" i="1" s="1"/>
  <c r="AG84" i="1"/>
  <c r="AC201" i="1"/>
  <c r="AC282" i="1"/>
  <c r="AB106" i="1"/>
  <c r="Z316" i="1"/>
  <c r="X154" i="1"/>
  <c r="AD259" i="1"/>
  <c r="AF279" i="1"/>
  <c r="AD116" i="1"/>
  <c r="AB211" i="1"/>
  <c r="AB292" i="1"/>
  <c r="AC14" i="1"/>
  <c r="AB17" i="1"/>
  <c r="AC222" i="1"/>
  <c r="Z303" i="1"/>
  <c r="AG303" i="1" s="1"/>
  <c r="AA227" i="1"/>
  <c r="AI227" i="1" s="1"/>
  <c r="Y139" i="1"/>
  <c r="X180" i="1"/>
  <c r="Z261" i="1"/>
  <c r="AB280" i="1"/>
  <c r="AE200" i="1"/>
  <c r="AF281" i="1"/>
  <c r="AF354" i="1"/>
  <c r="AI17" i="1"/>
  <c r="AC299" i="1"/>
  <c r="AA303" i="1"/>
  <c r="AH303" i="1" s="1"/>
  <c r="AF227" i="1"/>
  <c r="Z139" i="1"/>
  <c r="Z140" i="1" s="1"/>
  <c r="X75" i="1"/>
  <c r="AH178" i="1"/>
  <c r="Y180" i="1"/>
  <c r="AD180" i="1" s="1"/>
  <c r="AH281" i="1"/>
  <c r="AH113" i="1"/>
  <c r="AE81" i="1"/>
  <c r="AD81" i="1"/>
  <c r="AD197" i="1"/>
  <c r="AE197" i="1"/>
  <c r="AE199" i="1"/>
  <c r="AD199" i="1"/>
  <c r="AI80" i="1"/>
  <c r="AH80" i="1"/>
  <c r="AB112" i="1"/>
  <c r="AH293" i="1"/>
  <c r="AI293" i="1"/>
  <c r="AI18" i="1"/>
  <c r="AF133" i="1"/>
  <c r="AG133" i="1"/>
  <c r="AH305" i="1"/>
  <c r="AI305" i="1"/>
  <c r="AC164" i="1"/>
  <c r="AB164" i="1"/>
  <c r="AI81" i="1"/>
  <c r="AH81" i="1"/>
  <c r="AE84" i="1"/>
  <c r="AD84" i="1"/>
  <c r="AE289" i="1"/>
  <c r="AF289" i="1"/>
  <c r="AG17" i="1"/>
  <c r="AF17" i="1"/>
  <c r="AD222" i="1"/>
  <c r="AG293" i="1"/>
  <c r="AF293" i="1"/>
  <c r="AE112" i="1"/>
  <c r="AD211" i="1"/>
  <c r="AE211" i="1"/>
  <c r="AC295" i="1"/>
  <c r="AB295" i="1"/>
  <c r="AI14" i="1"/>
  <c r="AH14" i="1"/>
  <c r="AI261" i="1"/>
  <c r="AH261" i="1"/>
  <c r="V182" i="1"/>
  <c r="V184" i="1"/>
  <c r="AE207" i="1"/>
  <c r="AD207" i="1"/>
  <c r="AH259" i="1"/>
  <c r="AI259" i="1"/>
  <c r="AH289" i="1"/>
  <c r="AE300" i="1"/>
  <c r="AD300" i="1"/>
  <c r="AG295" i="1"/>
  <c r="AF295" i="1"/>
  <c r="AE25" i="1"/>
  <c r="AD25" i="1"/>
  <c r="X136" i="1"/>
  <c r="X137" i="1" s="1"/>
  <c r="AA136" i="1"/>
  <c r="AA137" i="1" s="1"/>
  <c r="Z136" i="1"/>
  <c r="Z137" i="1" s="1"/>
  <c r="Y136" i="1"/>
  <c r="AB309" i="1"/>
  <c r="AH354" i="1"/>
  <c r="AH227" i="1"/>
  <c r="Y156" i="1"/>
  <c r="AB259" i="1"/>
  <c r="AC261" i="1"/>
  <c r="AI339" i="1"/>
  <c r="AG14" i="1"/>
  <c r="AB128" i="1"/>
  <c r="AI239" i="1"/>
  <c r="AF318" i="1"/>
  <c r="AC177" i="1"/>
  <c r="AH336" i="1"/>
  <c r="AE296" i="1"/>
  <c r="AC338" i="1"/>
  <c r="AG12" i="1"/>
  <c r="X342" i="1"/>
  <c r="X352" i="1" s="1"/>
  <c r="AA46" i="1"/>
  <c r="AB177" i="1"/>
  <c r="AD280" i="1"/>
  <c r="AF282" i="1"/>
  <c r="AD206" i="1"/>
  <c r="AI294" i="1"/>
  <c r="AI12" i="1"/>
  <c r="Y24" i="1"/>
  <c r="AE24" i="1" s="1"/>
  <c r="X227" i="1"/>
  <c r="AB144" i="1"/>
  <c r="Y342" i="1"/>
  <c r="AE46" i="1"/>
  <c r="AG339" i="1"/>
  <c r="X303" i="1"/>
  <c r="AC303" i="1" s="1"/>
  <c r="Z24" i="1"/>
  <c r="X316" i="1"/>
  <c r="AB316" i="1" s="1"/>
  <c r="AF46" i="1"/>
  <c r="AH164" i="1"/>
  <c r="AI82" i="1"/>
  <c r="AF197" i="1"/>
  <c r="AG109" i="1"/>
  <c r="AF199" i="1"/>
  <c r="AI109" i="1"/>
  <c r="AF207" i="1"/>
  <c r="AF225" i="1"/>
  <c r="AG225" i="1"/>
  <c r="AH132" i="1"/>
  <c r="AI132" i="1"/>
  <c r="AA226" i="1"/>
  <c r="Z226" i="1"/>
  <c r="Y226" i="1"/>
  <c r="X226" i="1"/>
  <c r="AH228" i="1"/>
  <c r="AI228" i="1"/>
  <c r="AE315" i="1"/>
  <c r="AD315" i="1"/>
  <c r="AI116" i="1"/>
  <c r="AH11" i="1"/>
  <c r="AD11" i="1"/>
  <c r="AF11" i="1"/>
  <c r="AE338" i="1"/>
  <c r="AD338" i="1"/>
  <c r="AC339" i="1"/>
  <c r="AB339" i="1"/>
  <c r="AD223" i="1"/>
  <c r="AA308" i="1"/>
  <c r="AA311" i="1" s="1"/>
  <c r="Z308" i="1"/>
  <c r="Z311" i="1" s="1"/>
  <c r="Y308" i="1"/>
  <c r="Y311" i="1" s="1"/>
  <c r="X308" i="1"/>
  <c r="X311" i="1" s="1"/>
  <c r="X314" i="1" s="1"/>
  <c r="X317" i="1" s="1"/>
  <c r="AC317" i="1" s="1"/>
  <c r="AC311" i="1"/>
  <c r="AB311" i="1"/>
  <c r="AC312" i="1"/>
  <c r="AB314" i="1"/>
  <c r="AC314" i="1"/>
  <c r="AC316" i="1"/>
  <c r="AH287" i="1"/>
  <c r="AH115" i="1"/>
  <c r="AD339" i="1"/>
  <c r="AG299" i="1"/>
  <c r="AF299" i="1"/>
  <c r="AA302" i="1"/>
  <c r="X302" i="1"/>
  <c r="AC304" i="1"/>
  <c r="X306" i="1"/>
  <c r="X309" i="1" s="1"/>
  <c r="X312" i="1" s="1"/>
  <c r="AB312" i="1" s="1"/>
  <c r="Z306" i="1"/>
  <c r="Z309" i="1" s="1"/>
  <c r="AG139" i="1"/>
  <c r="AF139" i="1"/>
  <c r="AG316" i="1"/>
  <c r="AF316" i="1"/>
  <c r="AA217" i="1"/>
  <c r="AA219" i="1" s="1"/>
  <c r="X217" i="1"/>
  <c r="X219" i="1" s="1"/>
  <c r="L355" i="1"/>
  <c r="L122" i="1"/>
  <c r="AA131" i="1"/>
  <c r="Z131" i="1"/>
  <c r="AE306" i="1"/>
  <c r="AD306" i="1"/>
  <c r="AB114" i="1"/>
  <c r="AB287" i="1"/>
  <c r="AB115" i="1"/>
  <c r="AB294" i="1"/>
  <c r="AB352" i="1"/>
  <c r="AG11" i="1"/>
  <c r="X121" i="1"/>
  <c r="V217" i="1"/>
  <c r="AH296" i="1"/>
  <c r="AB338" i="1"/>
  <c r="AG298" i="1"/>
  <c r="Z18" i="1"/>
  <c r="Y18" i="1"/>
  <c r="X18" i="1"/>
  <c r="AA126" i="1"/>
  <c r="AA127" i="1" s="1"/>
  <c r="Z126" i="1"/>
  <c r="Z127" i="1" s="1"/>
  <c r="Y126" i="1"/>
  <c r="Y127" i="1" s="1"/>
  <c r="AE127" i="1" s="1"/>
  <c r="X220" i="1"/>
  <c r="X222" i="1" s="1"/>
  <c r="Z302" i="1"/>
  <c r="X131" i="1"/>
  <c r="Y225" i="1"/>
  <c r="X134" i="1"/>
  <c r="X135" i="1" s="1"/>
  <c r="Z134" i="1"/>
  <c r="Z135" i="1" s="1"/>
  <c r="AG135" i="1" s="1"/>
  <c r="Y228" i="1"/>
  <c r="AA306" i="1"/>
  <c r="AA309" i="1" s="1"/>
  <c r="AI309" i="1" s="1"/>
  <c r="AC28" i="1"/>
  <c r="AB28" i="1"/>
  <c r="Z230" i="1"/>
  <c r="Z232" i="1" s="1"/>
  <c r="Y230" i="1"/>
  <c r="Y232" i="1" s="1"/>
  <c r="AD232" i="1" s="1"/>
  <c r="X230" i="1"/>
  <c r="X232" i="1" s="1"/>
  <c r="X234" i="1" s="1"/>
  <c r="AE309" i="1"/>
  <c r="AD309" i="1"/>
  <c r="AE342" i="1"/>
  <c r="AD294" i="1"/>
  <c r="AI11" i="1"/>
  <c r="Y217" i="1"/>
  <c r="Y219" i="1" s="1"/>
  <c r="Y221" i="1" s="1"/>
  <c r="Y223" i="1" s="1"/>
  <c r="AE223" i="1" s="1"/>
  <c r="AE14" i="1"/>
  <c r="AD14" i="1"/>
  <c r="AE17" i="1"/>
  <c r="AD17" i="1"/>
  <c r="AE302" i="1"/>
  <c r="Y131" i="1"/>
  <c r="AG24" i="1"/>
  <c r="AF24" i="1"/>
  <c r="X26" i="1"/>
  <c r="Z26" i="1"/>
  <c r="Y134" i="1"/>
  <c r="Y135" i="1" s="1"/>
  <c r="AA230" i="1"/>
  <c r="AA232" i="1" s="1"/>
  <c r="AA319" i="1"/>
  <c r="Z319" i="1"/>
  <c r="X319" i="1"/>
  <c r="AI288" i="1"/>
  <c r="AI117" i="1"/>
  <c r="AA220" i="1"/>
  <c r="AA222" i="1" s="1"/>
  <c r="Z220" i="1"/>
  <c r="Z222" i="1" s="1"/>
  <c r="AA225" i="1"/>
  <c r="X225" i="1"/>
  <c r="Z132" i="1"/>
  <c r="Y132" i="1"/>
  <c r="X132" i="1"/>
  <c r="Z315" i="1"/>
  <c r="Z318" i="1" s="1"/>
  <c r="AG318" i="1" s="1"/>
  <c r="X315" i="1"/>
  <c r="X318" i="1" s="1"/>
  <c r="AA315" i="1"/>
  <c r="AA318" i="1" s="1"/>
  <c r="Z238" i="1"/>
  <c r="Z240" i="1" s="1"/>
  <c r="AG240" i="1" s="1"/>
  <c r="AA238" i="1"/>
  <c r="AA240" i="1" s="1"/>
  <c r="AI240" i="1" s="1"/>
  <c r="Y238" i="1"/>
  <c r="Y240" i="1" s="1"/>
  <c r="AE240" i="1" s="1"/>
  <c r="X238" i="1"/>
  <c r="X240" i="1" s="1"/>
  <c r="AC240" i="1" s="1"/>
  <c r="AF292" i="1"/>
  <c r="AB113" i="1"/>
  <c r="AD114" i="1"/>
  <c r="AD115" i="1"/>
  <c r="AF116" i="1"/>
  <c r="AF294" i="1"/>
  <c r="AB11" i="1"/>
  <c r="Z217" i="1"/>
  <c r="Z219" i="1" s="1"/>
  <c r="AC296" i="1"/>
  <c r="AB296" i="1"/>
  <c r="AB354" i="1"/>
  <c r="L218" i="1"/>
  <c r="L220" i="1" s="1"/>
  <c r="V220" i="1" s="1"/>
  <c r="Y220" i="1" s="1"/>
  <c r="Y222" i="1" s="1"/>
  <c r="Y224" i="1" s="1"/>
  <c r="AE224" i="1" s="1"/>
  <c r="L297" i="1"/>
  <c r="AF339" i="1"/>
  <c r="AA300" i="1"/>
  <c r="Z300" i="1"/>
  <c r="AA25" i="1"/>
  <c r="Z25" i="1"/>
  <c r="AA133" i="1"/>
  <c r="X133" i="1"/>
  <c r="AE227" i="1"/>
  <c r="AD227" i="1"/>
  <c r="X305" i="1"/>
  <c r="Z305" i="1"/>
  <c r="AE26" i="1"/>
  <c r="AD26" i="1"/>
  <c r="AA134" i="1"/>
  <c r="AA135" i="1" s="1"/>
  <c r="AH135" i="1" s="1"/>
  <c r="AC140" i="1"/>
  <c r="AB140" i="1"/>
  <c r="AF311" i="1"/>
  <c r="AC141" i="1"/>
  <c r="AB141" i="1"/>
  <c r="AC142" i="1"/>
  <c r="AB142" i="1"/>
  <c r="AF313" i="1"/>
  <c r="AC143" i="1"/>
  <c r="AB143" i="1"/>
  <c r="AI161" i="1"/>
  <c r="AH161" i="1"/>
  <c r="Z179" i="1"/>
  <c r="AA179" i="1"/>
  <c r="X179" i="1"/>
  <c r="AE179" i="1"/>
  <c r="AA121" i="1"/>
  <c r="Z121" i="1"/>
  <c r="V121" i="1"/>
  <c r="AE121" i="1" s="1"/>
  <c r="X228" i="1"/>
  <c r="Z228" i="1"/>
  <c r="AE135" i="1"/>
  <c r="AD135" i="1"/>
  <c r="AD287" i="1"/>
  <c r="AF288" i="1"/>
  <c r="AD296" i="1"/>
  <c r="AI338" i="1"/>
  <c r="AE221" i="1"/>
  <c r="AD221" i="1"/>
  <c r="X300" i="1"/>
  <c r="AF303" i="1"/>
  <c r="AB24" i="1"/>
  <c r="X25" i="1"/>
  <c r="Y133" i="1"/>
  <c r="AC227" i="1"/>
  <c r="AB227" i="1"/>
  <c r="Y305" i="1"/>
  <c r="AA26" i="1"/>
  <c r="Y307" i="1"/>
  <c r="Y310" i="1" s="1"/>
  <c r="X307" i="1"/>
  <c r="X310" i="1" s="1"/>
  <c r="AG136" i="1"/>
  <c r="AF136" i="1"/>
  <c r="AA145" i="1"/>
  <c r="AA146" i="1" s="1"/>
  <c r="Y145" i="1"/>
  <c r="Y146" i="1" s="1"/>
  <c r="X145" i="1"/>
  <c r="X146" i="1" s="1"/>
  <c r="AA324" i="1"/>
  <c r="Y324" i="1"/>
  <c r="X324" i="1"/>
  <c r="Z324" i="1"/>
  <c r="AE354" i="1"/>
  <c r="AD354" i="1"/>
  <c r="AE303" i="1"/>
  <c r="AD303" i="1"/>
  <c r="AE11" i="1"/>
  <c r="AG296" i="1"/>
  <c r="AA304" i="1"/>
  <c r="AA307" i="1" s="1"/>
  <c r="Z304" i="1"/>
  <c r="Z307" i="1" s="1"/>
  <c r="Z310" i="1" s="1"/>
  <c r="Z313" i="1" s="1"/>
  <c r="AG313" i="1" s="1"/>
  <c r="Y304" i="1"/>
  <c r="AI232" i="1"/>
  <c r="AF310" i="1"/>
  <c r="AG145" i="1"/>
  <c r="AA241" i="1"/>
  <c r="X241" i="1"/>
  <c r="AA54" i="1"/>
  <c r="Z54" i="1"/>
  <c r="Y54" i="1"/>
  <c r="X54" i="1"/>
  <c r="Y316" i="1"/>
  <c r="Y319" i="1" s="1"/>
  <c r="X166" i="1"/>
  <c r="AA166" i="1"/>
  <c r="Y166" i="1"/>
  <c r="AH180" i="1"/>
  <c r="AI180" i="1"/>
  <c r="AE75" i="1"/>
  <c r="AD75" i="1"/>
  <c r="AD258" i="1"/>
  <c r="AE258" i="1"/>
  <c r="AD299" i="1"/>
  <c r="AD24" i="1"/>
  <c r="L229" i="1"/>
  <c r="V229" i="1" s="1"/>
  <c r="AD136" i="1"/>
  <c r="AD310" i="1"/>
  <c r="AD139" i="1"/>
  <c r="AH140" i="1"/>
  <c r="AH340" i="1"/>
  <c r="AG164" i="1"/>
  <c r="AF164" i="1"/>
  <c r="AB298" i="1"/>
  <c r="AB127" i="1"/>
  <c r="AB129" i="1"/>
  <c r="AF232" i="1"/>
  <c r="AB234" i="1"/>
  <c r="Z237" i="1"/>
  <c r="Z239" i="1" s="1"/>
  <c r="AG239" i="1" s="1"/>
  <c r="X237" i="1"/>
  <c r="X239" i="1" s="1"/>
  <c r="AC239" i="1" s="1"/>
  <c r="AI237" i="1"/>
  <c r="Z41" i="1"/>
  <c r="X41" i="1"/>
  <c r="AI41" i="1"/>
  <c r="AB317" i="1"/>
  <c r="AB240" i="1"/>
  <c r="AF342" i="1"/>
  <c r="Y242" i="1"/>
  <c r="X242" i="1"/>
  <c r="L320" i="1"/>
  <c r="AC46" i="1"/>
  <c r="AB46" i="1"/>
  <c r="Y237" i="1"/>
  <c r="Y239" i="1" s="1"/>
  <c r="AD239" i="1" s="1"/>
  <c r="Y41" i="1"/>
  <c r="Z242" i="1"/>
  <c r="X248" i="1"/>
  <c r="Y248" i="1"/>
  <c r="AE161" i="1"/>
  <c r="AD161" i="1"/>
  <c r="AB146" i="1"/>
  <c r="AA79" i="1"/>
  <c r="Z79" i="1"/>
  <c r="Y79" i="1"/>
  <c r="X79" i="1"/>
  <c r="AF161" i="1"/>
  <c r="AG161" i="1"/>
  <c r="AG75" i="1"/>
  <c r="AF75" i="1"/>
  <c r="Z181" i="1"/>
  <c r="Y181" i="1"/>
  <c r="X181" i="1"/>
  <c r="AA181" i="1"/>
  <c r="AD186" i="1"/>
  <c r="AA264" i="1"/>
  <c r="Z264" i="1"/>
  <c r="Y264" i="1"/>
  <c r="L243" i="1"/>
  <c r="Y49" i="1"/>
  <c r="X49" i="1"/>
  <c r="Z154" i="1"/>
  <c r="Z155" i="1" s="1"/>
  <c r="AC160" i="1"/>
  <c r="AB160" i="1"/>
  <c r="AH177" i="1"/>
  <c r="AI177" i="1"/>
  <c r="Z183" i="1"/>
  <c r="Y183" i="1"/>
  <c r="AA183" i="1"/>
  <c r="X183" i="1"/>
  <c r="AG83" i="1"/>
  <c r="AF83" i="1"/>
  <c r="AG284" i="1"/>
  <c r="AF284" i="1"/>
  <c r="AG49" i="1"/>
  <c r="AF49" i="1"/>
  <c r="Z153" i="1"/>
  <c r="Y153" i="1"/>
  <c r="Y154" i="1" s="1"/>
  <c r="Y155" i="1" s="1"/>
  <c r="AH83" i="1"/>
  <c r="AI83" i="1"/>
  <c r="AI198" i="1"/>
  <c r="AH198" i="1"/>
  <c r="AB199" i="1"/>
  <c r="AC199" i="1"/>
  <c r="X153" i="1"/>
  <c r="AD163" i="1"/>
  <c r="AE163" i="1"/>
  <c r="Y266" i="1"/>
  <c r="X266" i="1"/>
  <c r="Z266" i="1"/>
  <c r="AC279" i="1"/>
  <c r="AB279" i="1"/>
  <c r="L244" i="1"/>
  <c r="AA246" i="1"/>
  <c r="Z246" i="1"/>
  <c r="X246" i="1"/>
  <c r="AB178" i="1"/>
  <c r="AC178" i="1"/>
  <c r="AG82" i="1"/>
  <c r="AF82" i="1"/>
  <c r="X264" i="1"/>
  <c r="AA258" i="1"/>
  <c r="Z258" i="1"/>
  <c r="AA185" i="1"/>
  <c r="AA186" i="1" s="1"/>
  <c r="X185" i="1"/>
  <c r="X186" i="1" s="1"/>
  <c r="X187" i="1" s="1"/>
  <c r="X258" i="1"/>
  <c r="AA182" i="1"/>
  <c r="Z182" i="1"/>
  <c r="AD83" i="1"/>
  <c r="AE83" i="1"/>
  <c r="Y185" i="1"/>
  <c r="Y186" i="1" s="1"/>
  <c r="Y187" i="1" s="1"/>
  <c r="AF198" i="1"/>
  <c r="AG198" i="1"/>
  <c r="AF106" i="1"/>
  <c r="AG106" i="1"/>
  <c r="AD109" i="1"/>
  <c r="AE109" i="1"/>
  <c r="AD164" i="1"/>
  <c r="AA176" i="1"/>
  <c r="Z176" i="1"/>
  <c r="X260" i="1"/>
  <c r="Y260" i="1"/>
  <c r="AF81" i="1"/>
  <c r="AD279" i="1"/>
  <c r="AE279" i="1"/>
  <c r="X176" i="1"/>
  <c r="AF259" i="1"/>
  <c r="Z260" i="1"/>
  <c r="AE261" i="1"/>
  <c r="AD261" i="1"/>
  <c r="L262" i="1"/>
  <c r="AD281" i="1"/>
  <c r="AE281" i="1"/>
  <c r="Y176" i="1"/>
  <c r="AC76" i="1"/>
  <c r="AA260" i="1"/>
  <c r="AI279" i="1"/>
  <c r="AH279" i="1"/>
  <c r="X328" i="1"/>
  <c r="X336" i="1" s="1"/>
  <c r="Z328" i="1"/>
  <c r="Z336" i="1" s="1"/>
  <c r="AF336" i="1" s="1"/>
  <c r="AH75" i="1"/>
  <c r="Z177" i="1"/>
  <c r="Z178" i="1" s="1"/>
  <c r="Y177" i="1"/>
  <c r="Y178" i="1" s="1"/>
  <c r="Y328" i="1"/>
  <c r="Y336" i="1" s="1"/>
  <c r="Y82" i="1"/>
  <c r="X82" i="1"/>
  <c r="AE106" i="1"/>
  <c r="AD106" i="1"/>
  <c r="AC207" i="1"/>
  <c r="AB207" i="1"/>
  <c r="Y283" i="1"/>
  <c r="Y285" i="1" s="1"/>
  <c r="X283" i="1"/>
  <c r="X285" i="1" s="1"/>
  <c r="Z283" i="1"/>
  <c r="Z285" i="1" s="1"/>
  <c r="AD179" i="1"/>
  <c r="Y80" i="1"/>
  <c r="X80" i="1"/>
  <c r="AB83" i="1"/>
  <c r="AB197" i="1"/>
  <c r="AC197" i="1"/>
  <c r="AB200" i="1"/>
  <c r="AC200" i="1"/>
  <c r="AA283" i="1"/>
  <c r="AA285" i="1" s="1"/>
  <c r="AC180" i="1"/>
  <c r="AB180" i="1"/>
  <c r="AG80" i="1"/>
  <c r="AF80" i="1"/>
  <c r="AC81" i="1"/>
  <c r="AB81" i="1"/>
  <c r="AC281" i="1"/>
  <c r="AB281" i="1"/>
  <c r="AH106" i="1"/>
  <c r="AC109" i="1"/>
  <c r="AB109" i="1"/>
  <c r="AI280" i="1"/>
  <c r="AI206" i="1"/>
  <c r="AH84" i="1"/>
  <c r="AH197" i="1"/>
  <c r="AD198" i="1"/>
  <c r="AF280" i="1"/>
  <c r="AF206" i="1"/>
  <c r="AH199" i="1"/>
  <c r="AH282" i="1"/>
  <c r="AF285" i="1"/>
  <c r="AH207" i="1"/>
  <c r="AD41" i="4" l="1"/>
  <c r="AE24" i="4"/>
  <c r="AD18" i="4"/>
  <c r="AF18" i="4"/>
  <c r="AE41" i="4"/>
  <c r="AF41" i="4"/>
  <c r="AE26" i="4"/>
  <c r="AF26" i="4"/>
  <c r="AE25" i="4"/>
  <c r="AF25" i="4"/>
  <c r="AB46" i="4"/>
  <c r="AA46" i="4"/>
  <c r="AH26" i="4"/>
  <c r="AG26" i="4"/>
  <c r="AH25" i="4"/>
  <c r="AG25" i="4"/>
  <c r="AB25" i="4"/>
  <c r="AA25" i="4"/>
  <c r="AD46" i="4"/>
  <c r="AC46" i="4"/>
  <c r="AB41" i="4"/>
  <c r="AA41" i="4"/>
  <c r="AA24" i="4"/>
  <c r="AB24" i="4"/>
  <c r="AF46" i="4"/>
  <c r="AE46" i="4"/>
  <c r="AB18" i="4"/>
  <c r="AA18" i="4"/>
  <c r="AB26" i="4"/>
  <c r="AA26" i="4"/>
  <c r="AC26" i="4"/>
  <c r="AD26" i="4"/>
  <c r="AC25" i="4"/>
  <c r="AD25" i="4"/>
  <c r="AA310" i="1"/>
  <c r="AH307" i="1"/>
  <c r="AI307" i="1"/>
  <c r="AE155" i="1"/>
  <c r="AD155" i="1"/>
  <c r="AE285" i="1"/>
  <c r="Y291" i="1"/>
  <c r="AD285" i="1"/>
  <c r="AE282" i="1"/>
  <c r="Y284" i="1"/>
  <c r="AD282" i="1"/>
  <c r="X155" i="1"/>
  <c r="AG285" i="1"/>
  <c r="Z291" i="1"/>
  <c r="AE178" i="1"/>
  <c r="AD178" i="1"/>
  <c r="AB336" i="1"/>
  <c r="X340" i="1"/>
  <c r="AC336" i="1"/>
  <c r="AD187" i="1"/>
  <c r="Y188" i="1"/>
  <c r="AE187" i="1"/>
  <c r="AI303" i="1"/>
  <c r="AD336" i="1"/>
  <c r="AE336" i="1"/>
  <c r="Y340" i="1"/>
  <c r="AC293" i="1"/>
  <c r="AB293" i="1"/>
  <c r="X291" i="1"/>
  <c r="AC285" i="1"/>
  <c r="AB285" i="1"/>
  <c r="AG178" i="1"/>
  <c r="AF178" i="1"/>
  <c r="L246" i="1"/>
  <c r="L245" i="1"/>
  <c r="AG309" i="1"/>
  <c r="AF309" i="1"/>
  <c r="Z312" i="1"/>
  <c r="AG115" i="1"/>
  <c r="Z117" i="1"/>
  <c r="AF115" i="1"/>
  <c r="V262" i="1"/>
  <c r="L263" i="1"/>
  <c r="AE186" i="1"/>
  <c r="AH318" i="1"/>
  <c r="AI318" i="1"/>
  <c r="AG222" i="1"/>
  <c r="AF222" i="1"/>
  <c r="Z224" i="1"/>
  <c r="AE232" i="1"/>
  <c r="Y234" i="1"/>
  <c r="AI207" i="1"/>
  <c r="AA211" i="1"/>
  <c r="AG116" i="1"/>
  <c r="Z118" i="1"/>
  <c r="V150" i="1"/>
  <c r="L151" i="1"/>
  <c r="AC116" i="1"/>
  <c r="X118" i="1"/>
  <c r="AB116" i="1"/>
  <c r="AE239" i="1"/>
  <c r="Y241" i="1"/>
  <c r="AB187" i="1"/>
  <c r="X188" i="1"/>
  <c r="AC187" i="1"/>
  <c r="AG155" i="1"/>
  <c r="AF155" i="1"/>
  <c r="AF239" i="1"/>
  <c r="Z241" i="1"/>
  <c r="AG241" i="1" s="1"/>
  <c r="AI146" i="1"/>
  <c r="AH146" i="1"/>
  <c r="AA147" i="1"/>
  <c r="AC318" i="1"/>
  <c r="AB318" i="1"/>
  <c r="AI222" i="1"/>
  <c r="AA224" i="1"/>
  <c r="AH222" i="1"/>
  <c r="AG232" i="1"/>
  <c r="Z234" i="1"/>
  <c r="AC219" i="1"/>
  <c r="X221" i="1"/>
  <c r="AB219" i="1"/>
  <c r="Z146" i="1"/>
  <c r="AF145" i="1"/>
  <c r="AC84" i="1"/>
  <c r="AB84" i="1"/>
  <c r="AB186" i="1"/>
  <c r="AI186" i="1"/>
  <c r="AA187" i="1"/>
  <c r="AH186" i="1"/>
  <c r="AG310" i="1"/>
  <c r="AI219" i="1"/>
  <c r="AA221" i="1"/>
  <c r="AH219" i="1"/>
  <c r="AH342" i="1"/>
  <c r="AA352" i="1"/>
  <c r="AI342" i="1"/>
  <c r="AH285" i="1"/>
  <c r="AA291" i="1"/>
  <c r="AI285" i="1"/>
  <c r="AG336" i="1"/>
  <c r="Z340" i="1"/>
  <c r="AC186" i="1"/>
  <c r="AE180" i="1"/>
  <c r="AC146" i="1"/>
  <c r="X147" i="1"/>
  <c r="AF127" i="1"/>
  <c r="Z128" i="1"/>
  <c r="AD240" i="1"/>
  <c r="AI311" i="1"/>
  <c r="AA314" i="1"/>
  <c r="AH311" i="1"/>
  <c r="AC352" i="1"/>
  <c r="X357" i="1"/>
  <c r="X372" i="1"/>
  <c r="X371" i="1"/>
  <c r="X373" i="1"/>
  <c r="AF240" i="1"/>
  <c r="AC137" i="1"/>
  <c r="AB137" i="1"/>
  <c r="X138" i="1"/>
  <c r="AC232" i="1"/>
  <c r="AI135" i="1"/>
  <c r="AB282" i="1"/>
  <c r="X284" i="1"/>
  <c r="AI340" i="1"/>
  <c r="AA350" i="1"/>
  <c r="L281" i="1"/>
  <c r="L201" i="1"/>
  <c r="AD289" i="1"/>
  <c r="Y295" i="1"/>
  <c r="AE146" i="1"/>
  <c r="Y147" i="1"/>
  <c r="AC234" i="1"/>
  <c r="X236" i="1"/>
  <c r="AC135" i="1"/>
  <c r="AB135" i="1"/>
  <c r="AI127" i="1"/>
  <c r="AA128" i="1"/>
  <c r="AF140" i="1"/>
  <c r="Z141" i="1"/>
  <c r="AG140" i="1"/>
  <c r="AF135" i="1"/>
  <c r="AH127" i="1"/>
  <c r="AI199" i="1"/>
  <c r="AA200" i="1"/>
  <c r="V125" i="1"/>
  <c r="L126" i="1"/>
  <c r="V126" i="1" s="1"/>
  <c r="AG126" i="1" s="1"/>
  <c r="AG207" i="1"/>
  <c r="Z211" i="1"/>
  <c r="AH116" i="1"/>
  <c r="AA118" i="1"/>
  <c r="AC129" i="1"/>
  <c r="X130" i="1"/>
  <c r="AC298" i="1"/>
  <c r="X301" i="1"/>
  <c r="AG219" i="1"/>
  <c r="Z221" i="1"/>
  <c r="AH232" i="1"/>
  <c r="AA234" i="1"/>
  <c r="AC309" i="1"/>
  <c r="AE222" i="1"/>
  <c r="AD219" i="1"/>
  <c r="AH240" i="1"/>
  <c r="AD200" i="1"/>
  <c r="Y201" i="1"/>
  <c r="AE115" i="1"/>
  <c r="Y117" i="1"/>
  <c r="AE116" i="1"/>
  <c r="Y118" i="1"/>
  <c r="AA242" i="1"/>
  <c r="AF298" i="1"/>
  <c r="Z301" i="1"/>
  <c r="L186" i="1"/>
  <c r="V185" i="1"/>
  <c r="Z185" i="1" s="1"/>
  <c r="AB310" i="1"/>
  <c r="X313" i="1"/>
  <c r="AC310" i="1"/>
  <c r="AE136" i="1"/>
  <c r="Y137" i="1"/>
  <c r="AE219" i="1"/>
  <c r="AB239" i="1"/>
  <c r="AG342" i="1"/>
  <c r="Z352" i="1"/>
  <c r="AC211" i="1"/>
  <c r="X215" i="1"/>
  <c r="AC115" i="1"/>
  <c r="X117" i="1"/>
  <c r="AE310" i="1"/>
  <c r="Y313" i="1"/>
  <c r="AH309" i="1"/>
  <c r="AA312" i="1"/>
  <c r="AB222" i="1"/>
  <c r="X224" i="1"/>
  <c r="AD311" i="1"/>
  <c r="Y314" i="1"/>
  <c r="AD220" i="1"/>
  <c r="AD342" i="1"/>
  <c r="Y352" i="1"/>
  <c r="AG137" i="1"/>
  <c r="Z138" i="1"/>
  <c r="AD224" i="1"/>
  <c r="AE139" i="1"/>
  <c r="Y140" i="1"/>
  <c r="AD146" i="1"/>
  <c r="AH24" i="1"/>
  <c r="AG127" i="1"/>
  <c r="AG199" i="1"/>
  <c r="Z200" i="1"/>
  <c r="AI295" i="1"/>
  <c r="AA298" i="1"/>
  <c r="AH295" i="1"/>
  <c r="AH117" i="1"/>
  <c r="AA119" i="1"/>
  <c r="AI299" i="1"/>
  <c r="AH299" i="1"/>
  <c r="AD127" i="1"/>
  <c r="Y128" i="1"/>
  <c r="AG311" i="1"/>
  <c r="Z314" i="1"/>
  <c r="AE220" i="1"/>
  <c r="AH137" i="1"/>
  <c r="AI137" i="1"/>
  <c r="AA138" i="1"/>
  <c r="AB232" i="1"/>
  <c r="AE311" i="1"/>
  <c r="AF137" i="1"/>
  <c r="AI282" i="1"/>
  <c r="AA284" i="1"/>
  <c r="AE287" i="1"/>
  <c r="Y293" i="1"/>
  <c r="AI140" i="1"/>
  <c r="AA141" i="1"/>
  <c r="Y184" i="1"/>
  <c r="X184" i="1"/>
  <c r="AB184" i="1" s="1"/>
  <c r="AA184" i="1"/>
  <c r="Z184" i="1"/>
  <c r="AG184" i="1" s="1"/>
  <c r="AB75" i="1"/>
  <c r="AC75" i="1"/>
  <c r="X202" i="1"/>
  <c r="X203" i="1" s="1"/>
  <c r="Z202" i="1"/>
  <c r="Z203" i="1" s="1"/>
  <c r="Y202" i="1"/>
  <c r="Y203" i="1" s="1"/>
  <c r="AA202" i="1"/>
  <c r="AA265" i="1"/>
  <c r="AA267" i="1" s="1"/>
  <c r="Z265" i="1"/>
  <c r="Z267" i="1" s="1"/>
  <c r="Y265" i="1"/>
  <c r="Z156" i="1"/>
  <c r="Z157" i="1" s="1"/>
  <c r="Z158" i="1" s="1"/>
  <c r="X156" i="1"/>
  <c r="AG261" i="1"/>
  <c r="AF261" i="1"/>
  <c r="Y182" i="1"/>
  <c r="X182" i="1"/>
  <c r="Z263" i="1"/>
  <c r="Y263" i="1"/>
  <c r="X263" i="1"/>
  <c r="AG180" i="1"/>
  <c r="AF180" i="1"/>
  <c r="AC136" i="1"/>
  <c r="AB136" i="1"/>
  <c r="AH184" i="1"/>
  <c r="AB303" i="1"/>
  <c r="AD121" i="1"/>
  <c r="AH46" i="1"/>
  <c r="AI46" i="1"/>
  <c r="X265" i="1"/>
  <c r="X267" i="1" s="1"/>
  <c r="AC342" i="1"/>
  <c r="AB342" i="1"/>
  <c r="AC184" i="1"/>
  <c r="AA263" i="1"/>
  <c r="AI136" i="1"/>
  <c r="AH136" i="1"/>
  <c r="AI184" i="1"/>
  <c r="AG177" i="1"/>
  <c r="AF177" i="1"/>
  <c r="L343" i="1"/>
  <c r="L353" i="1" s="1"/>
  <c r="V320" i="1"/>
  <c r="AE230" i="1"/>
  <c r="AD230" i="1"/>
  <c r="AI302" i="1"/>
  <c r="AH302" i="1"/>
  <c r="AE308" i="1"/>
  <c r="AD308" i="1"/>
  <c r="Z327" i="1"/>
  <c r="Z335" i="1" s="1"/>
  <c r="Y327" i="1"/>
  <c r="Y335" i="1" s="1"/>
  <c r="X327" i="1"/>
  <c r="X335" i="1" s="1"/>
  <c r="AA327" i="1"/>
  <c r="AA335" i="1" s="1"/>
  <c r="AH182" i="1"/>
  <c r="AI182" i="1"/>
  <c r="AG183" i="1"/>
  <c r="AF183" i="1"/>
  <c r="AC181" i="1"/>
  <c r="AB181" i="1"/>
  <c r="AE237" i="1"/>
  <c r="AD237" i="1"/>
  <c r="AB242" i="1"/>
  <c r="AC242" i="1"/>
  <c r="AD133" i="1"/>
  <c r="AE133" i="1"/>
  <c r="AC228" i="1"/>
  <c r="AB228" i="1"/>
  <c r="AI179" i="1"/>
  <c r="AH179" i="1"/>
  <c r="AH134" i="1"/>
  <c r="AI134" i="1"/>
  <c r="AI133" i="1"/>
  <c r="AH133" i="1"/>
  <c r="AF217" i="1"/>
  <c r="AG217" i="1"/>
  <c r="AF315" i="1"/>
  <c r="AG315" i="1"/>
  <c r="AH230" i="1"/>
  <c r="AI230" i="1"/>
  <c r="AG230" i="1"/>
  <c r="AF230" i="1"/>
  <c r="AB121" i="1"/>
  <c r="AC121" i="1"/>
  <c r="V355" i="1"/>
  <c r="Z355" i="1"/>
  <c r="Z367" i="1" s="1"/>
  <c r="Y355" i="1"/>
  <c r="Y367" i="1" s="1"/>
  <c r="AA355" i="1"/>
  <c r="AA367" i="1" s="1"/>
  <c r="X355" i="1"/>
  <c r="X367" i="1" s="1"/>
  <c r="AG308" i="1"/>
  <c r="AF308" i="1"/>
  <c r="AI226" i="1"/>
  <c r="AH226" i="1"/>
  <c r="AC179" i="1"/>
  <c r="AB179" i="1"/>
  <c r="AC315" i="1"/>
  <c r="AB315" i="1"/>
  <c r="AE181" i="1"/>
  <c r="AD181" i="1"/>
  <c r="AB79" i="1"/>
  <c r="AC79" i="1"/>
  <c r="AE242" i="1"/>
  <c r="AD242" i="1"/>
  <c r="AC41" i="1"/>
  <c r="AB41" i="1"/>
  <c r="Y229" i="1"/>
  <c r="Y231" i="1" s="1"/>
  <c r="X229" i="1"/>
  <c r="X231" i="1" s="1"/>
  <c r="AA229" i="1"/>
  <c r="AA231" i="1" s="1"/>
  <c r="Z229" i="1"/>
  <c r="Z231" i="1" s="1"/>
  <c r="AB307" i="1"/>
  <c r="AC307" i="1"/>
  <c r="AC25" i="1"/>
  <c r="AB25" i="1"/>
  <c r="AF179" i="1"/>
  <c r="AG179" i="1"/>
  <c r="AG25" i="1"/>
  <c r="AF25" i="1"/>
  <c r="AB132" i="1"/>
  <c r="AC132" i="1"/>
  <c r="AE134" i="1"/>
  <c r="AD134" i="1"/>
  <c r="AD225" i="1"/>
  <c r="AE225" i="1"/>
  <c r="AC18" i="1"/>
  <c r="AB18" i="1"/>
  <c r="AC217" i="1"/>
  <c r="AB217" i="1"/>
  <c r="AI308" i="1"/>
  <c r="AH308" i="1"/>
  <c r="V244" i="1"/>
  <c r="AD183" i="1"/>
  <c r="AE183" i="1"/>
  <c r="AH181" i="1"/>
  <c r="AI181" i="1"/>
  <c r="AE41" i="1"/>
  <c r="AD41" i="1"/>
  <c r="AC133" i="1"/>
  <c r="AB133" i="1"/>
  <c r="AA122" i="1"/>
  <c r="AA123" i="1" s="1"/>
  <c r="Z122" i="1"/>
  <c r="Z123" i="1" s="1"/>
  <c r="Y122" i="1"/>
  <c r="Y123" i="1" s="1"/>
  <c r="X122" i="1"/>
  <c r="X123" i="1" s="1"/>
  <c r="V122" i="1"/>
  <c r="AC80" i="1"/>
  <c r="AB80" i="1"/>
  <c r="AI260" i="1"/>
  <c r="AH260" i="1"/>
  <c r="AG260" i="1"/>
  <c r="AF260" i="1"/>
  <c r="AD80" i="1"/>
  <c r="AE80" i="1"/>
  <c r="AD260" i="1"/>
  <c r="AE260" i="1"/>
  <c r="AC258" i="1"/>
  <c r="AB258" i="1"/>
  <c r="AB185" i="1"/>
  <c r="AC185" i="1"/>
  <c r="AG181" i="1"/>
  <c r="AF181" i="1"/>
  <c r="AE79" i="1"/>
  <c r="AD79" i="1"/>
  <c r="AF41" i="1"/>
  <c r="AG41" i="1"/>
  <c r="X157" i="1"/>
  <c r="X158" i="1" s="1"/>
  <c r="Y157" i="1"/>
  <c r="Y158" i="1" s="1"/>
  <c r="AC241" i="1"/>
  <c r="AB241" i="1"/>
  <c r="AE307" i="1"/>
  <c r="AD307" i="1"/>
  <c r="AF121" i="1"/>
  <c r="AG121" i="1"/>
  <c r="AI25" i="1"/>
  <c r="AH25" i="1"/>
  <c r="AB238" i="1"/>
  <c r="AC238" i="1"/>
  <c r="AE132" i="1"/>
  <c r="AD132" i="1"/>
  <c r="AF26" i="1"/>
  <c r="AG26" i="1"/>
  <c r="AC131" i="1"/>
  <c r="AB131" i="1"/>
  <c r="AE18" i="1"/>
  <c r="AD18" i="1"/>
  <c r="AI217" i="1"/>
  <c r="AH217" i="1"/>
  <c r="AF182" i="1"/>
  <c r="AG182" i="1"/>
  <c r="V243" i="1"/>
  <c r="L321" i="1"/>
  <c r="L324" i="1" s="1"/>
  <c r="V324" i="1" s="1"/>
  <c r="AB324" i="1" s="1"/>
  <c r="AI220" i="1"/>
  <c r="AH220" i="1"/>
  <c r="AG226" i="1"/>
  <c r="AF226" i="1"/>
  <c r="AD176" i="1"/>
  <c r="AE176" i="1"/>
  <c r="AB176" i="1"/>
  <c r="AC176" i="1"/>
  <c r="AC260" i="1"/>
  <c r="AB260" i="1"/>
  <c r="AI185" i="1"/>
  <c r="AH185" i="1"/>
  <c r="AF79" i="1"/>
  <c r="AG79" i="1"/>
  <c r="AG242" i="1"/>
  <c r="AF242" i="1"/>
  <c r="AC54" i="1"/>
  <c r="AB54" i="1"/>
  <c r="AI241" i="1"/>
  <c r="AH241" i="1"/>
  <c r="AD304" i="1"/>
  <c r="AE304" i="1"/>
  <c r="AG307" i="1"/>
  <c r="AF307" i="1"/>
  <c r="AI121" i="1"/>
  <c r="AH121" i="1"/>
  <c r="AF305" i="1"/>
  <c r="AG305" i="1"/>
  <c r="AG300" i="1"/>
  <c r="AF300" i="1"/>
  <c r="AA297" i="1"/>
  <c r="X297" i="1"/>
  <c r="Y297" i="1"/>
  <c r="V297" i="1"/>
  <c r="Z297" i="1"/>
  <c r="AE238" i="1"/>
  <c r="AD238" i="1"/>
  <c r="AG132" i="1"/>
  <c r="AF132" i="1"/>
  <c r="AB319" i="1"/>
  <c r="AC319" i="1"/>
  <c r="AC26" i="1"/>
  <c r="AB26" i="1"/>
  <c r="AH306" i="1"/>
  <c r="AI306" i="1"/>
  <c r="AF302" i="1"/>
  <c r="AG302" i="1"/>
  <c r="AG18" i="1"/>
  <c r="AF18" i="1"/>
  <c r="AF306" i="1"/>
  <c r="AG306" i="1"/>
  <c r="AI79" i="1"/>
  <c r="AH79" i="1"/>
  <c r="AC237" i="1"/>
  <c r="AB237" i="1"/>
  <c r="AE316" i="1"/>
  <c r="AD316" i="1"/>
  <c r="AD54" i="1"/>
  <c r="AE54" i="1"/>
  <c r="AG304" i="1"/>
  <c r="AF304" i="1"/>
  <c r="AC145" i="1"/>
  <c r="AB145" i="1"/>
  <c r="AH26" i="1"/>
  <c r="AI26" i="1"/>
  <c r="AC305" i="1"/>
  <c r="AB305" i="1"/>
  <c r="AI300" i="1"/>
  <c r="AH300" i="1"/>
  <c r="AA218" i="1"/>
  <c r="Z218" i="1"/>
  <c r="V218" i="1"/>
  <c r="Y218" i="1"/>
  <c r="X218" i="1"/>
  <c r="AH238" i="1"/>
  <c r="AI238" i="1"/>
  <c r="AC225" i="1"/>
  <c r="AB225" i="1"/>
  <c r="AD319" i="1"/>
  <c r="AE319" i="1"/>
  <c r="AE228" i="1"/>
  <c r="AD228" i="1"/>
  <c r="AC306" i="1"/>
  <c r="AB306" i="1"/>
  <c r="AC82" i="1"/>
  <c r="AB82" i="1"/>
  <c r="AG176" i="1"/>
  <c r="AF176" i="1"/>
  <c r="AE185" i="1"/>
  <c r="AD185" i="1"/>
  <c r="AG258" i="1"/>
  <c r="AF258" i="1"/>
  <c r="AC183" i="1"/>
  <c r="AB183" i="1"/>
  <c r="AB49" i="1"/>
  <c r="AC49" i="1"/>
  <c r="AF237" i="1"/>
  <c r="AG237" i="1"/>
  <c r="AG54" i="1"/>
  <c r="AF54" i="1"/>
  <c r="AI304" i="1"/>
  <c r="AH304" i="1"/>
  <c r="AE145" i="1"/>
  <c r="AD145" i="1"/>
  <c r="AE305" i="1"/>
  <c r="AD305" i="1"/>
  <c r="AC300" i="1"/>
  <c r="AB300" i="1"/>
  <c r="AG238" i="1"/>
  <c r="AF238" i="1"/>
  <c r="AI225" i="1"/>
  <c r="AH225" i="1"/>
  <c r="AF319" i="1"/>
  <c r="AG319" i="1"/>
  <c r="AE217" i="1"/>
  <c r="AD217" i="1"/>
  <c r="AF134" i="1"/>
  <c r="AG134" i="1"/>
  <c r="AB220" i="1"/>
  <c r="AC220" i="1"/>
  <c r="AG131" i="1"/>
  <c r="AF131" i="1"/>
  <c r="AC226" i="1"/>
  <c r="AB226" i="1"/>
  <c r="AF228" i="1"/>
  <c r="AG228" i="1"/>
  <c r="AD82" i="1"/>
  <c r="AE82" i="1"/>
  <c r="AI176" i="1"/>
  <c r="AH176" i="1"/>
  <c r="AE177" i="1"/>
  <c r="AD177" i="1"/>
  <c r="AA262" i="1"/>
  <c r="Z262" i="1"/>
  <c r="Y262" i="1"/>
  <c r="X262" i="1"/>
  <c r="AI258" i="1"/>
  <c r="AH258" i="1"/>
  <c r="AH183" i="1"/>
  <c r="AI183" i="1"/>
  <c r="AD49" i="1"/>
  <c r="AE49" i="1"/>
  <c r="AI54" i="1"/>
  <c r="AH54" i="1"/>
  <c r="AI145" i="1"/>
  <c r="AH145" i="1"/>
  <c r="AH315" i="1"/>
  <c r="AI315" i="1"/>
  <c r="AF220" i="1"/>
  <c r="AG220" i="1"/>
  <c r="AI319" i="1"/>
  <c r="AH319" i="1"/>
  <c r="AE131" i="1"/>
  <c r="AD131" i="1"/>
  <c r="AB230" i="1"/>
  <c r="AC230" i="1"/>
  <c r="AC134" i="1"/>
  <c r="AB134" i="1"/>
  <c r="AI131" i="1"/>
  <c r="AH131" i="1"/>
  <c r="AC302" i="1"/>
  <c r="AB302" i="1"/>
  <c r="AC308" i="1"/>
  <c r="AB308" i="1"/>
  <c r="AE226" i="1"/>
  <c r="AD226" i="1"/>
  <c r="AG158" i="1" l="1"/>
  <c r="AF158" i="1"/>
  <c r="AB224" i="1"/>
  <c r="AC224" i="1"/>
  <c r="AI138" i="1"/>
  <c r="AH138" i="1"/>
  <c r="AB215" i="1"/>
  <c r="AC215" i="1"/>
  <c r="Y125" i="1"/>
  <c r="X125" i="1"/>
  <c r="AA125" i="1"/>
  <c r="Z125" i="1"/>
  <c r="AE126" i="1"/>
  <c r="AI123" i="1"/>
  <c r="AA124" i="1"/>
  <c r="AH123" i="1"/>
  <c r="L322" i="1"/>
  <c r="AG324" i="1"/>
  <c r="Z383" i="1"/>
  <c r="AG367" i="1"/>
  <c r="AF367" i="1"/>
  <c r="AC335" i="1"/>
  <c r="AB335" i="1"/>
  <c r="Z269" i="1"/>
  <c r="AF267" i="1"/>
  <c r="AG267" i="1"/>
  <c r="AE293" i="1"/>
  <c r="AD293" i="1"/>
  <c r="AI312" i="1"/>
  <c r="AH312" i="1"/>
  <c r="AB313" i="1"/>
  <c r="AC313" i="1"/>
  <c r="AD118" i="1"/>
  <c r="Y120" i="1"/>
  <c r="AE118" i="1"/>
  <c r="AB130" i="1"/>
  <c r="AC130" i="1"/>
  <c r="AI200" i="1"/>
  <c r="AA201" i="1"/>
  <c r="AH200" i="1"/>
  <c r="X369" i="1"/>
  <c r="AC357" i="1"/>
  <c r="AB357" i="1"/>
  <c r="X148" i="1"/>
  <c r="AC147" i="1"/>
  <c r="AB147" i="1"/>
  <c r="AG146" i="1"/>
  <c r="Z147" i="1"/>
  <c r="AF146" i="1"/>
  <c r="X120" i="1"/>
  <c r="AC118" i="1"/>
  <c r="AB118" i="1"/>
  <c r="AD234" i="1"/>
  <c r="Y236" i="1"/>
  <c r="AE234" i="1"/>
  <c r="V263" i="1"/>
  <c r="AE263" i="1" s="1"/>
  <c r="L264" i="1"/>
  <c r="L323" i="1"/>
  <c r="V323" i="1" s="1"/>
  <c r="V245" i="1"/>
  <c r="AI367" i="1"/>
  <c r="AA383" i="1"/>
  <c r="AH367" i="1"/>
  <c r="AC371" i="1"/>
  <c r="X389" i="1"/>
  <c r="AB371" i="1"/>
  <c r="AC158" i="1"/>
  <c r="AB158" i="1"/>
  <c r="AE367" i="1"/>
  <c r="Y383" i="1"/>
  <c r="AD367" i="1"/>
  <c r="AF200" i="1"/>
  <c r="Z201" i="1"/>
  <c r="AG200" i="1"/>
  <c r="AF126" i="1"/>
  <c r="AF241" i="1"/>
  <c r="AG231" i="1"/>
  <c r="Z233" i="1"/>
  <c r="AF231" i="1"/>
  <c r="AE335" i="1"/>
  <c r="AD335" i="1"/>
  <c r="AA269" i="1"/>
  <c r="AI267" i="1"/>
  <c r="AH267" i="1"/>
  <c r="AE352" i="1"/>
  <c r="Y371" i="1"/>
  <c r="Y372" i="1"/>
  <c r="Y357" i="1"/>
  <c r="Y373" i="1"/>
  <c r="AD352" i="1"/>
  <c r="AG352" i="1"/>
  <c r="Z357" i="1"/>
  <c r="Z371" i="1"/>
  <c r="Z373" i="1"/>
  <c r="Z372" i="1"/>
  <c r="AF352" i="1"/>
  <c r="L282" i="1"/>
  <c r="L326" i="1" s="1"/>
  <c r="L327" i="1" s="1"/>
  <c r="V327" i="1" s="1"/>
  <c r="AD327" i="1" s="1"/>
  <c r="L202" i="1"/>
  <c r="AB138" i="1"/>
  <c r="AC138" i="1"/>
  <c r="AA65" i="1"/>
  <c r="Y65" i="1"/>
  <c r="Z65" i="1"/>
  <c r="X65" i="1"/>
  <c r="V246" i="1"/>
  <c r="L247" i="1"/>
  <c r="V247" i="1" s="1"/>
  <c r="AD340" i="1"/>
  <c r="Y350" i="1"/>
  <c r="AE340" i="1"/>
  <c r="AC340" i="1"/>
  <c r="AB340" i="1"/>
  <c r="X350" i="1"/>
  <c r="AB155" i="1"/>
  <c r="AC155" i="1"/>
  <c r="AI141" i="1"/>
  <c r="AA142" i="1"/>
  <c r="AH141" i="1"/>
  <c r="AB291" i="1"/>
  <c r="AC291" i="1"/>
  <c r="AI335" i="1"/>
  <c r="AH335" i="1"/>
  <c r="Y267" i="1"/>
  <c r="AF138" i="1"/>
  <c r="AG138" i="1"/>
  <c r="AA129" i="1"/>
  <c r="AH128" i="1"/>
  <c r="AI128" i="1"/>
  <c r="AI224" i="1"/>
  <c r="AH224" i="1"/>
  <c r="AH231" i="1"/>
  <c r="AA233" i="1"/>
  <c r="AI231" i="1"/>
  <c r="AH324" i="1"/>
  <c r="AG335" i="1"/>
  <c r="AF335" i="1"/>
  <c r="AC263" i="1"/>
  <c r="AA203" i="1"/>
  <c r="AI284" i="1"/>
  <c r="AA290" i="1"/>
  <c r="AH284" i="1"/>
  <c r="AH119" i="1"/>
  <c r="AI119" i="1"/>
  <c r="AD313" i="1"/>
  <c r="AE313" i="1"/>
  <c r="Z186" i="1"/>
  <c r="AG185" i="1"/>
  <c r="AF185" i="1"/>
  <c r="Y119" i="1"/>
  <c r="AD117" i="1"/>
  <c r="AE117" i="1"/>
  <c r="AI234" i="1"/>
  <c r="AA236" i="1"/>
  <c r="AH234" i="1"/>
  <c r="AI118" i="1"/>
  <c r="AA120" i="1"/>
  <c r="AH118" i="1"/>
  <c r="L325" i="1"/>
  <c r="AH352" i="1"/>
  <c r="AI352" i="1"/>
  <c r="AA371" i="1"/>
  <c r="AA372" i="1"/>
  <c r="AA357" i="1"/>
  <c r="AA373" i="1"/>
  <c r="AI187" i="1"/>
  <c r="AA188" i="1"/>
  <c r="AH187" i="1"/>
  <c r="AC221" i="1"/>
  <c r="X223" i="1"/>
  <c r="AB221" i="1"/>
  <c r="L152" i="1"/>
  <c r="V151" i="1"/>
  <c r="AF224" i="1"/>
  <c r="AG224" i="1"/>
  <c r="AC126" i="1"/>
  <c r="AB126" i="1"/>
  <c r="X250" i="1"/>
  <c r="Z250" i="1"/>
  <c r="Y250" i="1"/>
  <c r="AA250" i="1"/>
  <c r="AI242" i="1"/>
  <c r="AH242" i="1"/>
  <c r="AE295" i="1"/>
  <c r="Y298" i="1"/>
  <c r="AD295" i="1"/>
  <c r="AH291" i="1"/>
  <c r="AI291" i="1"/>
  <c r="AD126" i="1"/>
  <c r="AE324" i="1"/>
  <c r="AC231" i="1"/>
  <c r="X233" i="1"/>
  <c r="AB231" i="1"/>
  <c r="AI324" i="1"/>
  <c r="AE203" i="1"/>
  <c r="Y204" i="1"/>
  <c r="AD203" i="1"/>
  <c r="AF314" i="1"/>
  <c r="Z317" i="1"/>
  <c r="AG314" i="1"/>
  <c r="L187" i="1"/>
  <c r="AC236" i="1"/>
  <c r="AB236" i="1"/>
  <c r="AI350" i="1"/>
  <c r="AH350" i="1"/>
  <c r="AH314" i="1"/>
  <c r="AA317" i="1"/>
  <c r="AI314" i="1"/>
  <c r="AI147" i="1"/>
  <c r="AA148" i="1"/>
  <c r="AH147" i="1"/>
  <c r="AC188" i="1"/>
  <c r="AB188" i="1"/>
  <c r="Z150" i="1"/>
  <c r="AA150" i="1"/>
  <c r="X150" i="1"/>
  <c r="Y150" i="1"/>
  <c r="AG117" i="1"/>
  <c r="Z119" i="1"/>
  <c r="AF117" i="1"/>
  <c r="AD284" i="1"/>
  <c r="Y290" i="1"/>
  <c r="AE284" i="1"/>
  <c r="AE291" i="1"/>
  <c r="AD291" i="1"/>
  <c r="Z124" i="1"/>
  <c r="AG123" i="1"/>
  <c r="AF123" i="1"/>
  <c r="AF324" i="1"/>
  <c r="X269" i="1"/>
  <c r="AB267" i="1"/>
  <c r="AC267" i="1"/>
  <c r="AC324" i="1"/>
  <c r="AE158" i="1"/>
  <c r="AD158" i="1"/>
  <c r="Y233" i="1"/>
  <c r="AE231" i="1"/>
  <c r="AD231" i="1"/>
  <c r="AH126" i="1"/>
  <c r="AG203" i="1"/>
  <c r="Z204" i="1"/>
  <c r="AF203" i="1"/>
  <c r="AE140" i="1"/>
  <c r="Y141" i="1"/>
  <c r="AD140" i="1"/>
  <c r="AE314" i="1"/>
  <c r="Y317" i="1"/>
  <c r="AD314" i="1"/>
  <c r="AE201" i="1"/>
  <c r="AD201" i="1"/>
  <c r="AG221" i="1"/>
  <c r="AF221" i="1"/>
  <c r="Z223" i="1"/>
  <c r="Z215" i="1"/>
  <c r="AG211" i="1"/>
  <c r="AF211" i="1"/>
  <c r="AF340" i="1"/>
  <c r="Z350" i="1"/>
  <c r="AG340" i="1"/>
  <c r="AF234" i="1"/>
  <c r="Z236" i="1"/>
  <c r="AG234" i="1"/>
  <c r="AG118" i="1"/>
  <c r="Z120" i="1"/>
  <c r="AF118" i="1"/>
  <c r="AE123" i="1"/>
  <c r="Y124" i="1"/>
  <c r="AD123" i="1"/>
  <c r="AB301" i="1"/>
  <c r="AC301" i="1"/>
  <c r="AG128" i="1"/>
  <c r="Z129" i="1"/>
  <c r="AF128" i="1"/>
  <c r="AI211" i="1"/>
  <c r="AA215" i="1"/>
  <c r="AH211" i="1"/>
  <c r="AE188" i="1"/>
  <c r="AD188" i="1"/>
  <c r="Y78" i="1"/>
  <c r="X78" i="1"/>
  <c r="AA78" i="1"/>
  <c r="Z78" i="1"/>
  <c r="AC372" i="1"/>
  <c r="X390" i="1"/>
  <c r="AB372" i="1"/>
  <c r="AD324" i="1"/>
  <c r="X124" i="1"/>
  <c r="AB123" i="1"/>
  <c r="AC123" i="1"/>
  <c r="X383" i="1"/>
  <c r="AC367" i="1"/>
  <c r="AB367" i="1"/>
  <c r="AI126" i="1"/>
  <c r="AB203" i="1"/>
  <c r="X204" i="1"/>
  <c r="AC203" i="1"/>
  <c r="Y129" i="1"/>
  <c r="AE128" i="1"/>
  <c r="AD128" i="1"/>
  <c r="AI298" i="1"/>
  <c r="AA301" i="1"/>
  <c r="AH298" i="1"/>
  <c r="AC117" i="1"/>
  <c r="X119" i="1"/>
  <c r="AB117" i="1"/>
  <c r="Y138" i="1"/>
  <c r="AD137" i="1"/>
  <c r="AE137" i="1"/>
  <c r="AG301" i="1"/>
  <c r="AF301" i="1"/>
  <c r="AG141" i="1"/>
  <c r="AF141" i="1"/>
  <c r="Z142" i="1"/>
  <c r="AE147" i="1"/>
  <c r="Y148" i="1"/>
  <c r="AD147" i="1"/>
  <c r="X290" i="1"/>
  <c r="AB284" i="1"/>
  <c r="AC284" i="1"/>
  <c r="X391" i="1"/>
  <c r="AC373" i="1"/>
  <c r="AB373" i="1"/>
  <c r="AH221" i="1"/>
  <c r="AA223" i="1"/>
  <c r="AI221" i="1"/>
  <c r="AE241" i="1"/>
  <c r="AD241" i="1"/>
  <c r="AG312" i="1"/>
  <c r="AF312" i="1"/>
  <c r="AG291" i="1"/>
  <c r="AF291" i="1"/>
  <c r="AI310" i="1"/>
  <c r="AA313" i="1"/>
  <c r="AH310" i="1"/>
  <c r="AC182" i="1"/>
  <c r="AB182" i="1"/>
  <c r="AE182" i="1"/>
  <c r="AD182" i="1"/>
  <c r="AE184" i="1"/>
  <c r="AD184" i="1"/>
  <c r="AF184" i="1"/>
  <c r="X346" i="1"/>
  <c r="Z346" i="1"/>
  <c r="AA346" i="1"/>
  <c r="Y346" i="1"/>
  <c r="AG229" i="1"/>
  <c r="AF229" i="1"/>
  <c r="AI262" i="1"/>
  <c r="AH262" i="1"/>
  <c r="AI245" i="1"/>
  <c r="AI218" i="1"/>
  <c r="AH218" i="1"/>
  <c r="AC122" i="1"/>
  <c r="AB122" i="1"/>
  <c r="AC229" i="1"/>
  <c r="AB229" i="1"/>
  <c r="AE355" i="1"/>
  <c r="AD355" i="1"/>
  <c r="AD245" i="1"/>
  <c r="AE245" i="1"/>
  <c r="AF297" i="1"/>
  <c r="AG297" i="1"/>
  <c r="AI229" i="1"/>
  <c r="AH229" i="1"/>
  <c r="AG355" i="1"/>
  <c r="AF355" i="1"/>
  <c r="AG245" i="1"/>
  <c r="AE297" i="1"/>
  <c r="AD297" i="1"/>
  <c r="V321" i="1"/>
  <c r="L344" i="1"/>
  <c r="AD122" i="1"/>
  <c r="AE122" i="1"/>
  <c r="AE229" i="1"/>
  <c r="AD229" i="1"/>
  <c r="AC245" i="1"/>
  <c r="AB245" i="1"/>
  <c r="AF218" i="1"/>
  <c r="AG218" i="1"/>
  <c r="AC297" i="1"/>
  <c r="AB297" i="1"/>
  <c r="Y243" i="1"/>
  <c r="Y245" i="1" s="1"/>
  <c r="Y247" i="1" s="1"/>
  <c r="X243" i="1"/>
  <c r="X245" i="1" s="1"/>
  <c r="X247" i="1" s="1"/>
  <c r="AA243" i="1"/>
  <c r="AA245" i="1" s="1"/>
  <c r="AA247" i="1" s="1"/>
  <c r="Z243" i="1"/>
  <c r="Z245" i="1" s="1"/>
  <c r="Z247" i="1" s="1"/>
  <c r="AG122" i="1"/>
  <c r="AF122" i="1"/>
  <c r="X244" i="1"/>
  <c r="AA244" i="1"/>
  <c r="Z244" i="1"/>
  <c r="Y244" i="1"/>
  <c r="Z320" i="1"/>
  <c r="Y320" i="1"/>
  <c r="X320" i="1"/>
  <c r="AE262" i="1"/>
  <c r="AD262" i="1"/>
  <c r="AI297" i="1"/>
  <c r="AH297" i="1"/>
  <c r="AI122" i="1"/>
  <c r="AH122" i="1"/>
  <c r="V322" i="1"/>
  <c r="L345" i="1"/>
  <c r="L346" i="1" s="1"/>
  <c r="V346" i="1" s="1"/>
  <c r="V343" i="1"/>
  <c r="L359" i="1"/>
  <c r="V359" i="1" s="1"/>
  <c r="AB218" i="1"/>
  <c r="AC218" i="1"/>
  <c r="AC355" i="1"/>
  <c r="AB355" i="1"/>
  <c r="AG262" i="1"/>
  <c r="AF262" i="1"/>
  <c r="AB262" i="1"/>
  <c r="AC262" i="1"/>
  <c r="AE218" i="1"/>
  <c r="AD218" i="1"/>
  <c r="X362" i="1"/>
  <c r="X376" i="1" s="1"/>
  <c r="AA362" i="1"/>
  <c r="AA376" i="1" s="1"/>
  <c r="Y362" i="1"/>
  <c r="Y376" i="1" s="1"/>
  <c r="Z362" i="1"/>
  <c r="Z376" i="1" s="1"/>
  <c r="AH355" i="1"/>
  <c r="AI355" i="1"/>
  <c r="AI317" i="1" l="1"/>
  <c r="AH317" i="1"/>
  <c r="AD246" i="1"/>
  <c r="AE246" i="1"/>
  <c r="Z159" i="1"/>
  <c r="AG246" i="1"/>
  <c r="AI246" i="1"/>
  <c r="AA159" i="1"/>
  <c r="Y159" i="1"/>
  <c r="AH246" i="1"/>
  <c r="X159" i="1"/>
  <c r="AB246" i="1"/>
  <c r="AF246" i="1"/>
  <c r="AC246" i="1"/>
  <c r="AD373" i="1"/>
  <c r="Y391" i="1"/>
  <c r="AE373" i="1"/>
  <c r="AC389" i="1"/>
  <c r="AB389" i="1"/>
  <c r="AF269" i="1"/>
  <c r="Z271" i="1"/>
  <c r="AG269" i="1"/>
  <c r="AF245" i="1"/>
  <c r="AH245" i="1"/>
  <c r="AH223" i="1"/>
  <c r="AI223" i="1"/>
  <c r="AG236" i="1"/>
  <c r="AF236" i="1"/>
  <c r="AF223" i="1"/>
  <c r="AG223" i="1"/>
  <c r="X271" i="1"/>
  <c r="AC269" i="1"/>
  <c r="AB269" i="1"/>
  <c r="AE290" i="1"/>
  <c r="AD290" i="1"/>
  <c r="AF150" i="1"/>
  <c r="AG150" i="1"/>
  <c r="Z151" i="1"/>
  <c r="AG317" i="1"/>
  <c r="AF317" i="1"/>
  <c r="AC233" i="1"/>
  <c r="X235" i="1"/>
  <c r="AB233" i="1"/>
  <c r="AC350" i="1"/>
  <c r="AB350" i="1"/>
  <c r="AB65" i="1"/>
  <c r="AC65" i="1"/>
  <c r="AD357" i="1"/>
  <c r="AE357" i="1"/>
  <c r="Y369" i="1"/>
  <c r="AH201" i="1"/>
  <c r="AI201" i="1"/>
  <c r="AI124" i="1"/>
  <c r="AH124" i="1"/>
  <c r="AC290" i="1"/>
  <c r="AB290" i="1"/>
  <c r="AB327" i="1"/>
  <c r="AI327" i="1"/>
  <c r="AD148" i="1"/>
  <c r="AE148" i="1"/>
  <c r="Y149" i="1"/>
  <c r="AC390" i="1"/>
  <c r="AB390" i="1"/>
  <c r="AE141" i="1"/>
  <c r="Y142" i="1"/>
  <c r="AD141" i="1"/>
  <c r="AI188" i="1"/>
  <c r="AH188" i="1"/>
  <c r="AF65" i="1"/>
  <c r="AG65" i="1"/>
  <c r="AG372" i="1"/>
  <c r="Z390" i="1"/>
  <c r="AF372" i="1"/>
  <c r="Y390" i="1"/>
  <c r="AE372" i="1"/>
  <c r="AD372" i="1"/>
  <c r="AD236" i="1"/>
  <c r="AE236" i="1"/>
  <c r="AI313" i="1"/>
  <c r="AH313" i="1"/>
  <c r="AC327" i="1"/>
  <c r="AH327" i="1"/>
  <c r="AI263" i="1"/>
  <c r="AD263" i="1"/>
  <c r="AE138" i="1"/>
  <c r="AD138" i="1"/>
  <c r="AI215" i="1"/>
  <c r="AH215" i="1"/>
  <c r="AE124" i="1"/>
  <c r="AD124" i="1"/>
  <c r="AD233" i="1"/>
  <c r="Y235" i="1"/>
  <c r="AE233" i="1"/>
  <c r="AE119" i="1"/>
  <c r="AD119" i="1"/>
  <c r="AI129" i="1"/>
  <c r="AA130" i="1"/>
  <c r="AH129" i="1"/>
  <c r="AD65" i="1"/>
  <c r="AE65" i="1"/>
  <c r="AG373" i="1"/>
  <c r="Z391" i="1"/>
  <c r="AF373" i="1"/>
  <c r="AE371" i="1"/>
  <c r="Y389" i="1"/>
  <c r="AD371" i="1"/>
  <c r="AF233" i="1"/>
  <c r="Z235" i="1"/>
  <c r="AG233" i="1"/>
  <c r="AE383" i="1"/>
  <c r="AD383" i="1"/>
  <c r="AI383" i="1"/>
  <c r="AH383" i="1"/>
  <c r="AH301" i="1"/>
  <c r="AI301" i="1"/>
  <c r="AA320" i="1"/>
  <c r="Z249" i="1"/>
  <c r="AF247" i="1"/>
  <c r="AG247" i="1"/>
  <c r="AH263" i="1"/>
  <c r="Z143" i="1"/>
  <c r="AF142" i="1"/>
  <c r="AG142" i="1"/>
  <c r="Y130" i="1"/>
  <c r="AD129" i="1"/>
  <c r="AE129" i="1"/>
  <c r="AC383" i="1"/>
  <c r="AB383" i="1"/>
  <c r="AF78" i="1"/>
  <c r="AG78" i="1"/>
  <c r="AG350" i="1"/>
  <c r="AF350" i="1"/>
  <c r="AG119" i="1"/>
  <c r="AF119" i="1"/>
  <c r="Y208" i="1"/>
  <c r="Y209" i="1"/>
  <c r="Y210" i="1"/>
  <c r="AE204" i="1"/>
  <c r="AD204" i="1"/>
  <c r="AA252" i="1"/>
  <c r="AA391" i="1"/>
  <c r="AI373" i="1"/>
  <c r="AH373" i="1"/>
  <c r="AH120" i="1"/>
  <c r="AI120" i="1"/>
  <c r="AI290" i="1"/>
  <c r="AH290" i="1"/>
  <c r="AH65" i="1"/>
  <c r="AI65" i="1"/>
  <c r="AF371" i="1"/>
  <c r="Z389" i="1"/>
  <c r="AG371" i="1"/>
  <c r="AB148" i="1"/>
  <c r="X149" i="1"/>
  <c r="AC148" i="1"/>
  <c r="AG125" i="1"/>
  <c r="AF125" i="1"/>
  <c r="X167" i="1"/>
  <c r="Y167" i="1"/>
  <c r="Z167" i="1"/>
  <c r="AF263" i="1"/>
  <c r="AG376" i="1"/>
  <c r="AF376" i="1"/>
  <c r="X331" i="1"/>
  <c r="X323" i="1"/>
  <c r="AA249" i="1"/>
  <c r="AI247" i="1"/>
  <c r="AH247" i="1"/>
  <c r="AB391" i="1"/>
  <c r="AC391" i="1"/>
  <c r="AC119" i="1"/>
  <c r="AB119" i="1"/>
  <c r="AI78" i="1"/>
  <c r="AH78" i="1"/>
  <c r="AF204" i="1"/>
  <c r="Z209" i="1"/>
  <c r="Z210" i="1"/>
  <c r="Z208" i="1"/>
  <c r="AG204" i="1"/>
  <c r="AF124" i="1"/>
  <c r="AG124" i="1"/>
  <c r="AH148" i="1"/>
  <c r="AI148" i="1"/>
  <c r="AA149" i="1"/>
  <c r="Y252" i="1"/>
  <c r="V152" i="1"/>
  <c r="L153" i="1"/>
  <c r="AI357" i="1"/>
  <c r="AH357" i="1"/>
  <c r="AA369" i="1"/>
  <c r="AI233" i="1"/>
  <c r="AH233" i="1"/>
  <c r="AA235" i="1"/>
  <c r="AI142" i="1"/>
  <c r="AA143" i="1"/>
  <c r="AH142" i="1"/>
  <c r="AD350" i="1"/>
  <c r="AE350" i="1"/>
  <c r="AG357" i="1"/>
  <c r="Z369" i="1"/>
  <c r="AF357" i="1"/>
  <c r="AG383" i="1"/>
  <c r="AF383" i="1"/>
  <c r="AI125" i="1"/>
  <c r="AH125" i="1"/>
  <c r="AG215" i="1"/>
  <c r="AF215" i="1"/>
  <c r="AH150" i="1"/>
  <c r="AI150" i="1"/>
  <c r="AA151" i="1"/>
  <c r="AD298" i="1"/>
  <c r="Y301" i="1"/>
  <c r="AE298" i="1"/>
  <c r="AG201" i="1"/>
  <c r="AF201" i="1"/>
  <c r="AG147" i="1"/>
  <c r="Z148" i="1"/>
  <c r="AF147" i="1"/>
  <c r="AE376" i="1"/>
  <c r="AD376" i="1"/>
  <c r="AI376" i="1"/>
  <c r="AH376" i="1"/>
  <c r="Y331" i="1"/>
  <c r="Y323" i="1"/>
  <c r="AC247" i="1"/>
  <c r="AB247" i="1"/>
  <c r="X249" i="1"/>
  <c r="AF327" i="1"/>
  <c r="AE327" i="1"/>
  <c r="X208" i="1"/>
  <c r="X209" i="1"/>
  <c r="X210" i="1"/>
  <c r="AC204" i="1"/>
  <c r="AB204" i="1"/>
  <c r="AC78" i="1"/>
  <c r="AB78" i="1"/>
  <c r="AF129" i="1"/>
  <c r="Z130" i="1"/>
  <c r="AG129" i="1"/>
  <c r="AG120" i="1"/>
  <c r="AF120" i="1"/>
  <c r="AE150" i="1"/>
  <c r="AD150" i="1"/>
  <c r="Y151" i="1"/>
  <c r="L188" i="1"/>
  <c r="AB263" i="1"/>
  <c r="Z252" i="1"/>
  <c r="AH372" i="1"/>
  <c r="AA390" i="1"/>
  <c r="AI372" i="1"/>
  <c r="Z187" i="1"/>
  <c r="AF186" i="1"/>
  <c r="AG186" i="1"/>
  <c r="AI203" i="1"/>
  <c r="AA204" i="1"/>
  <c r="AH203" i="1"/>
  <c r="AE267" i="1"/>
  <c r="Y269" i="1"/>
  <c r="AD267" i="1"/>
  <c r="AC120" i="1"/>
  <c r="AB120" i="1"/>
  <c r="AD120" i="1"/>
  <c r="AE120" i="1"/>
  <c r="AC125" i="1"/>
  <c r="AB125" i="1"/>
  <c r="AC376" i="1"/>
  <c r="AB376" i="1"/>
  <c r="Z331" i="1"/>
  <c r="Z323" i="1"/>
  <c r="AE247" i="1"/>
  <c r="AD247" i="1"/>
  <c r="Y249" i="1"/>
  <c r="AG327" i="1"/>
  <c r="AC124" i="1"/>
  <c r="AB124" i="1"/>
  <c r="AE78" i="1"/>
  <c r="AD78" i="1"/>
  <c r="AE317" i="1"/>
  <c r="AD317" i="1"/>
  <c r="AG263" i="1"/>
  <c r="X151" i="1"/>
  <c r="AC150" i="1"/>
  <c r="AB150" i="1"/>
  <c r="X252" i="1"/>
  <c r="AC223" i="1"/>
  <c r="AB223" i="1"/>
  <c r="AI371" i="1"/>
  <c r="AA389" i="1"/>
  <c r="AH371" i="1"/>
  <c r="AI236" i="1"/>
  <c r="AH236" i="1"/>
  <c r="Z251" i="1"/>
  <c r="X251" i="1"/>
  <c r="AA251" i="1"/>
  <c r="Y251" i="1"/>
  <c r="L283" i="1"/>
  <c r="V283" i="1" s="1"/>
  <c r="L203" i="1"/>
  <c r="V202" i="1"/>
  <c r="AH269" i="1"/>
  <c r="AA271" i="1"/>
  <c r="AI269" i="1"/>
  <c r="V264" i="1"/>
  <c r="L265" i="1"/>
  <c r="AB369" i="1"/>
  <c r="AC369" i="1"/>
  <c r="AE125" i="1"/>
  <c r="AD125" i="1"/>
  <c r="AD244" i="1"/>
  <c r="AE244" i="1"/>
  <c r="L360" i="1"/>
  <c r="V360" i="1" s="1"/>
  <c r="V344" i="1"/>
  <c r="AA359" i="1"/>
  <c r="Z359" i="1"/>
  <c r="Y359" i="1"/>
  <c r="X359" i="1"/>
  <c r="AF244" i="1"/>
  <c r="AG244" i="1"/>
  <c r="Z321" i="1"/>
  <c r="Y321" i="1"/>
  <c r="X321" i="1"/>
  <c r="AA321" i="1"/>
  <c r="AA343" i="1"/>
  <c r="AA353" i="1" s="1"/>
  <c r="Z343" i="1"/>
  <c r="Z353" i="1" s="1"/>
  <c r="Y343" i="1"/>
  <c r="Y353" i="1" s="1"/>
  <c r="X343" i="1"/>
  <c r="X353" i="1" s="1"/>
  <c r="V345" i="1"/>
  <c r="AH320" i="1"/>
  <c r="AI320" i="1"/>
  <c r="AI244" i="1"/>
  <c r="AH244" i="1"/>
  <c r="AG243" i="1"/>
  <c r="AF243" i="1"/>
  <c r="AE346" i="1"/>
  <c r="AD346" i="1"/>
  <c r="AC320" i="1"/>
  <c r="AB320" i="1"/>
  <c r="AB244" i="1"/>
  <c r="AC244" i="1"/>
  <c r="AI243" i="1"/>
  <c r="AH243" i="1"/>
  <c r="AI346" i="1"/>
  <c r="AH346" i="1"/>
  <c r="AD320" i="1"/>
  <c r="AE320" i="1"/>
  <c r="AC243" i="1"/>
  <c r="AB243" i="1"/>
  <c r="AG346" i="1"/>
  <c r="AF346" i="1"/>
  <c r="Y322" i="1"/>
  <c r="Y325" i="1" s="1"/>
  <c r="X322" i="1"/>
  <c r="X325" i="1" s="1"/>
  <c r="AA322" i="1"/>
  <c r="AA325" i="1" s="1"/>
  <c r="Z322" i="1"/>
  <c r="Z325" i="1" s="1"/>
  <c r="AG320" i="1"/>
  <c r="AF320" i="1"/>
  <c r="AE243" i="1"/>
  <c r="AD243" i="1"/>
  <c r="AB346" i="1"/>
  <c r="AC346" i="1"/>
  <c r="V265" i="1" l="1"/>
  <c r="L266" i="1"/>
  <c r="AH390" i="1"/>
  <c r="AI390" i="1"/>
  <c r="AD209" i="1"/>
  <c r="Y213" i="1"/>
  <c r="AE209" i="1"/>
  <c r="Z333" i="1"/>
  <c r="Z332" i="1"/>
  <c r="X363" i="1"/>
  <c r="Y363" i="1"/>
  <c r="AA363" i="1"/>
  <c r="Z363" i="1"/>
  <c r="AG264" i="1"/>
  <c r="AE264" i="1"/>
  <c r="AB264" i="1"/>
  <c r="AI264" i="1"/>
  <c r="AH264" i="1"/>
  <c r="AD264" i="1"/>
  <c r="AC264" i="1"/>
  <c r="AF264" i="1"/>
  <c r="AA253" i="1"/>
  <c r="AI143" i="1"/>
  <c r="AA144" i="1"/>
  <c r="AH143" i="1"/>
  <c r="V153" i="1"/>
  <c r="L154" i="1"/>
  <c r="X326" i="1"/>
  <c r="AC323" i="1"/>
  <c r="AB323" i="1"/>
  <c r="AI391" i="1"/>
  <c r="AH391" i="1"/>
  <c r="AE208" i="1"/>
  <c r="Y212" i="1"/>
  <c r="AD208" i="1"/>
  <c r="X273" i="1"/>
  <c r="AC271" i="1"/>
  <c r="AB271" i="1"/>
  <c r="AI159" i="1"/>
  <c r="AH159" i="1"/>
  <c r="AI204" i="1"/>
  <c r="AA210" i="1"/>
  <c r="AA208" i="1"/>
  <c r="AA209" i="1"/>
  <c r="AH204" i="1"/>
  <c r="AA152" i="1"/>
  <c r="AI151" i="1"/>
  <c r="AH151" i="1"/>
  <c r="X152" i="1"/>
  <c r="AC331" i="1"/>
  <c r="AB331" i="1"/>
  <c r="AG391" i="1"/>
  <c r="AF391" i="1"/>
  <c r="Z152" i="1"/>
  <c r="AG151" i="1"/>
  <c r="AF151" i="1"/>
  <c r="AE301" i="1"/>
  <c r="AD301" i="1"/>
  <c r="AI325" i="1"/>
  <c r="AH325" i="1"/>
  <c r="AH271" i="1"/>
  <c r="AA273" i="1"/>
  <c r="AI271" i="1"/>
  <c r="AF148" i="1"/>
  <c r="AG148" i="1"/>
  <c r="Z149" i="1"/>
  <c r="AI235" i="1"/>
  <c r="AH235" i="1"/>
  <c r="AD149" i="1"/>
  <c r="AE149" i="1"/>
  <c r="AG271" i="1"/>
  <c r="Z273" i="1"/>
  <c r="AF271" i="1"/>
  <c r="AG159" i="1"/>
  <c r="AF159" i="1"/>
  <c r="Y253" i="1"/>
  <c r="Y152" i="1"/>
  <c r="AD151" i="1"/>
  <c r="AE151" i="1"/>
  <c r="X253" i="1"/>
  <c r="Y358" i="1"/>
  <c r="AE353" i="1"/>
  <c r="AD353" i="1"/>
  <c r="Z253" i="1"/>
  <c r="AC325" i="1"/>
  <c r="AB325" i="1"/>
  <c r="AG353" i="1"/>
  <c r="AF353" i="1"/>
  <c r="Z358" i="1"/>
  <c r="Z326" i="1"/>
  <c r="AF323" i="1"/>
  <c r="AG323" i="1"/>
  <c r="AG252" i="1"/>
  <c r="Z254" i="1"/>
  <c r="AF252" i="1"/>
  <c r="AC210" i="1"/>
  <c r="X214" i="1"/>
  <c r="AB210" i="1"/>
  <c r="Y326" i="1"/>
  <c r="AD323" i="1"/>
  <c r="AE323" i="1"/>
  <c r="AG369" i="1"/>
  <c r="AF369" i="1"/>
  <c r="AG208" i="1"/>
  <c r="Z212" i="1"/>
  <c r="AF208" i="1"/>
  <c r="AB149" i="1"/>
  <c r="AC149" i="1"/>
  <c r="AI252" i="1"/>
  <c r="AA254" i="1"/>
  <c r="AH252" i="1"/>
  <c r="AE130" i="1"/>
  <c r="AD130" i="1"/>
  <c r="AA331" i="1"/>
  <c r="AA323" i="1"/>
  <c r="AF235" i="1"/>
  <c r="AG235" i="1"/>
  <c r="AD235" i="1"/>
  <c r="AE235" i="1"/>
  <c r="AB151" i="1"/>
  <c r="AC151" i="1"/>
  <c r="X168" i="1"/>
  <c r="AG390" i="1"/>
  <c r="AF390" i="1"/>
  <c r="AF325" i="1"/>
  <c r="AG325" i="1"/>
  <c r="AH353" i="1"/>
  <c r="AI353" i="1"/>
  <c r="AA358" i="1"/>
  <c r="AC202" i="1"/>
  <c r="AB202" i="1"/>
  <c r="AH202" i="1"/>
  <c r="AI202" i="1"/>
  <c r="AG202" i="1"/>
  <c r="AF202" i="1"/>
  <c r="AE202" i="1"/>
  <c r="AD202" i="1"/>
  <c r="AC252" i="1"/>
  <c r="AB252" i="1"/>
  <c r="X254" i="1"/>
  <c r="AF331" i="1"/>
  <c r="AG331" i="1"/>
  <c r="AC209" i="1"/>
  <c r="X213" i="1"/>
  <c r="AB209" i="1"/>
  <c r="AD331" i="1"/>
  <c r="AE331" i="1"/>
  <c r="AD252" i="1"/>
  <c r="Y254" i="1"/>
  <c r="AE252" i="1"/>
  <c r="AF210" i="1"/>
  <c r="Z214" i="1"/>
  <c r="AG210" i="1"/>
  <c r="AC159" i="1"/>
  <c r="AB159" i="1"/>
  <c r="AE391" i="1"/>
  <c r="AD391" i="1"/>
  <c r="AB353" i="1"/>
  <c r="AC353" i="1"/>
  <c r="X358" i="1"/>
  <c r="AE325" i="1"/>
  <c r="AD325" i="1"/>
  <c r="AA332" i="1"/>
  <c r="AA333" i="1"/>
  <c r="L284" i="1"/>
  <c r="L328" i="1" s="1"/>
  <c r="L204" i="1"/>
  <c r="Z188" i="1"/>
  <c r="AG187" i="1"/>
  <c r="AF187" i="1"/>
  <c r="L189" i="1"/>
  <c r="AG130" i="1"/>
  <c r="AF130" i="1"/>
  <c r="AB208" i="1"/>
  <c r="X212" i="1"/>
  <c r="AC208" i="1"/>
  <c r="AI369" i="1"/>
  <c r="AH369" i="1"/>
  <c r="AH149" i="1"/>
  <c r="AI149" i="1"/>
  <c r="AG209" i="1"/>
  <c r="Z213" i="1"/>
  <c r="AF209" i="1"/>
  <c r="Z168" i="1"/>
  <c r="AE390" i="1"/>
  <c r="AD390" i="1"/>
  <c r="AE369" i="1"/>
  <c r="AD369" i="1"/>
  <c r="AC235" i="1"/>
  <c r="AB235" i="1"/>
  <c r="Y333" i="1"/>
  <c r="Y332" i="1"/>
  <c r="L361" i="1"/>
  <c r="X332" i="1"/>
  <c r="X333" i="1"/>
  <c r="AI283" i="1"/>
  <c r="AH283" i="1"/>
  <c r="AG283" i="1"/>
  <c r="AB283" i="1"/>
  <c r="AF283" i="1"/>
  <c r="AE283" i="1"/>
  <c r="AD283" i="1"/>
  <c r="AC283" i="1"/>
  <c r="AH389" i="1"/>
  <c r="AI389" i="1"/>
  <c r="AE269" i="1"/>
  <c r="Y271" i="1"/>
  <c r="AD269" i="1"/>
  <c r="Y168" i="1"/>
  <c r="AF389" i="1"/>
  <c r="AG389" i="1"/>
  <c r="AD210" i="1"/>
  <c r="Y214" i="1"/>
  <c r="AE210" i="1"/>
  <c r="Z144" i="1"/>
  <c r="AF143" i="1"/>
  <c r="AG143" i="1"/>
  <c r="AE389" i="1"/>
  <c r="AD389" i="1"/>
  <c r="AI130" i="1"/>
  <c r="AH130" i="1"/>
  <c r="AE142" i="1"/>
  <c r="Y143" i="1"/>
  <c r="AD142" i="1"/>
  <c r="AE159" i="1"/>
  <c r="AD159" i="1"/>
  <c r="Y69" i="1"/>
  <c r="Y171" i="1"/>
  <c r="Y172" i="1" s="1"/>
  <c r="Z171" i="1"/>
  <c r="Z172" i="1" s="1"/>
  <c r="Z69" i="1"/>
  <c r="X69" i="1"/>
  <c r="X171" i="1"/>
  <c r="X172" i="1" s="1"/>
  <c r="AA69" i="1"/>
  <c r="AG343" i="1"/>
  <c r="AF343" i="1"/>
  <c r="AI343" i="1"/>
  <c r="AH343" i="1"/>
  <c r="AH321" i="1"/>
  <c r="AI321" i="1"/>
  <c r="AF359" i="1"/>
  <c r="AG359" i="1"/>
  <c r="AE322" i="1"/>
  <c r="AD322" i="1"/>
  <c r="AE359" i="1"/>
  <c r="AD359" i="1"/>
  <c r="AB321" i="1"/>
  <c r="AC321" i="1"/>
  <c r="AI359" i="1"/>
  <c r="AH359" i="1"/>
  <c r="AE321" i="1"/>
  <c r="AD321" i="1"/>
  <c r="AA344" i="1"/>
  <c r="Z344" i="1"/>
  <c r="Y344" i="1"/>
  <c r="X344" i="1"/>
  <c r="AG321" i="1"/>
  <c r="AF321" i="1"/>
  <c r="AA360" i="1"/>
  <c r="Z360" i="1"/>
  <c r="Y360" i="1"/>
  <c r="X360" i="1"/>
  <c r="AB359" i="1"/>
  <c r="AC359" i="1"/>
  <c r="AG322" i="1"/>
  <c r="AF322" i="1"/>
  <c r="AB343" i="1"/>
  <c r="AC343" i="1"/>
  <c r="AB322" i="1"/>
  <c r="AC322" i="1"/>
  <c r="AI322" i="1"/>
  <c r="AH322" i="1"/>
  <c r="AD343" i="1"/>
  <c r="AE343" i="1"/>
  <c r="AD213" i="1" l="1"/>
  <c r="AE213" i="1"/>
  <c r="AB333" i="1"/>
  <c r="AC333" i="1"/>
  <c r="V328" i="1"/>
  <c r="L336" i="1"/>
  <c r="AE254" i="1"/>
  <c r="Y256" i="1"/>
  <c r="AD254" i="1"/>
  <c r="Y370" i="1"/>
  <c r="AE358" i="1"/>
  <c r="AD358" i="1"/>
  <c r="AG363" i="1"/>
  <c r="Z377" i="1"/>
  <c r="AF363" i="1"/>
  <c r="AH144" i="1"/>
  <c r="AI144" i="1"/>
  <c r="AC254" i="1"/>
  <c r="X256" i="1"/>
  <c r="AB254" i="1"/>
  <c r="AI254" i="1"/>
  <c r="AA256" i="1"/>
  <c r="AH254" i="1"/>
  <c r="Z256" i="1"/>
  <c r="AG254" i="1"/>
  <c r="AF254" i="1"/>
  <c r="Y255" i="1"/>
  <c r="AA275" i="1"/>
  <c r="AI273" i="1"/>
  <c r="AH273" i="1"/>
  <c r="AG152" i="1"/>
  <c r="AF152" i="1"/>
  <c r="AI152" i="1"/>
  <c r="AH152" i="1"/>
  <c r="AI363" i="1"/>
  <c r="AA377" i="1"/>
  <c r="AH363" i="1"/>
  <c r="AA255" i="1"/>
  <c r="AA387" i="1"/>
  <c r="AA385" i="1"/>
  <c r="AA374" i="1"/>
  <c r="AA386" i="1"/>
  <c r="AE143" i="1"/>
  <c r="Y144" i="1"/>
  <c r="AD143" i="1"/>
  <c r="AF144" i="1"/>
  <c r="AG144" i="1"/>
  <c r="Y169" i="1"/>
  <c r="AE168" i="1"/>
  <c r="AD168" i="1"/>
  <c r="V361" i="1"/>
  <c r="L362" i="1"/>
  <c r="L190" i="1"/>
  <c r="V189" i="1"/>
  <c r="AI332" i="1"/>
  <c r="AH332" i="1"/>
  <c r="Y377" i="1"/>
  <c r="AE363" i="1"/>
  <c r="AD363" i="1"/>
  <c r="AF213" i="1"/>
  <c r="AG213" i="1"/>
  <c r="Z386" i="1"/>
  <c r="Z387" i="1"/>
  <c r="Z385" i="1"/>
  <c r="Z374" i="1"/>
  <c r="X173" i="1"/>
  <c r="AB172" i="1"/>
  <c r="AC172" i="1"/>
  <c r="AH333" i="1"/>
  <c r="AI333" i="1"/>
  <c r="AE332" i="1"/>
  <c r="AD332" i="1"/>
  <c r="X255" i="1"/>
  <c r="AI209" i="1"/>
  <c r="AA213" i="1"/>
  <c r="AH209" i="1"/>
  <c r="AB273" i="1"/>
  <c r="X275" i="1"/>
  <c r="AC273" i="1"/>
  <c r="X329" i="1"/>
  <c r="X334" i="1"/>
  <c r="AB326" i="1"/>
  <c r="AC326" i="1"/>
  <c r="X377" i="1"/>
  <c r="AC363" i="1"/>
  <c r="AB363" i="1"/>
  <c r="AF172" i="1"/>
  <c r="Z173" i="1"/>
  <c r="AG172" i="1"/>
  <c r="AE214" i="1"/>
  <c r="AD214" i="1"/>
  <c r="AE271" i="1"/>
  <c r="Y273" i="1"/>
  <c r="AD271" i="1"/>
  <c r="AE333" i="1"/>
  <c r="AD333" i="1"/>
  <c r="AA370" i="1"/>
  <c r="AI358" i="1"/>
  <c r="AH358" i="1"/>
  <c r="AA326" i="1"/>
  <c r="AI323" i="1"/>
  <c r="AH323" i="1"/>
  <c r="AD326" i="1"/>
  <c r="Y329" i="1"/>
  <c r="Y334" i="1"/>
  <c r="AE326" i="1"/>
  <c r="AH208" i="1"/>
  <c r="AA212" i="1"/>
  <c r="AI208" i="1"/>
  <c r="V154" i="1"/>
  <c r="L155" i="1"/>
  <c r="L156" i="1" s="1"/>
  <c r="AF332" i="1"/>
  <c r="AG332" i="1"/>
  <c r="X386" i="1"/>
  <c r="X387" i="1"/>
  <c r="X385" i="1"/>
  <c r="X374" i="1"/>
  <c r="L285" i="1"/>
  <c r="L205" i="1"/>
  <c r="V205" i="1" s="1"/>
  <c r="AD172" i="1"/>
  <c r="Y173" i="1"/>
  <c r="AE172" i="1"/>
  <c r="Z169" i="1"/>
  <c r="AG168" i="1"/>
  <c r="AF168" i="1"/>
  <c r="AC358" i="1"/>
  <c r="X370" i="1"/>
  <c r="AB358" i="1"/>
  <c r="AF214" i="1"/>
  <c r="AG214" i="1"/>
  <c r="AC213" i="1"/>
  <c r="AB213" i="1"/>
  <c r="AB168" i="1"/>
  <c r="X169" i="1"/>
  <c r="AC168" i="1"/>
  <c r="AI331" i="1"/>
  <c r="AH331" i="1"/>
  <c r="Z329" i="1"/>
  <c r="Z334" i="1"/>
  <c r="AG326" i="1"/>
  <c r="AF326" i="1"/>
  <c r="Z255" i="1"/>
  <c r="Z275" i="1"/>
  <c r="AF273" i="1"/>
  <c r="AG273" i="1"/>
  <c r="AF149" i="1"/>
  <c r="AG149" i="1"/>
  <c r="AI210" i="1"/>
  <c r="AA214" i="1"/>
  <c r="AH210" i="1"/>
  <c r="Y216" i="1"/>
  <c r="AD212" i="1"/>
  <c r="AE212" i="1"/>
  <c r="AI153" i="1"/>
  <c r="AD153" i="1"/>
  <c r="AH153" i="1"/>
  <c r="AE153" i="1"/>
  <c r="AG153" i="1"/>
  <c r="AC153" i="1"/>
  <c r="AF153" i="1"/>
  <c r="AB153" i="1"/>
  <c r="AG333" i="1"/>
  <c r="AF333" i="1"/>
  <c r="V266" i="1"/>
  <c r="L267" i="1"/>
  <c r="L268" i="1" s="1"/>
  <c r="Y386" i="1"/>
  <c r="Y387" i="1"/>
  <c r="Y385" i="1"/>
  <c r="Y374" i="1"/>
  <c r="AC332" i="1"/>
  <c r="AB332" i="1"/>
  <c r="AC212" i="1"/>
  <c r="X216" i="1"/>
  <c r="AB212" i="1"/>
  <c r="AG188" i="1"/>
  <c r="AF188" i="1"/>
  <c r="AF212" i="1"/>
  <c r="Z216" i="1"/>
  <c r="AG212" i="1"/>
  <c r="AC214" i="1"/>
  <c r="AB214" i="1"/>
  <c r="Z370" i="1"/>
  <c r="AG358" i="1"/>
  <c r="AF358" i="1"/>
  <c r="AE152" i="1"/>
  <c r="AD152" i="1"/>
  <c r="AB152" i="1"/>
  <c r="AC152" i="1"/>
  <c r="X393" i="1"/>
  <c r="Y393" i="1"/>
  <c r="Z393" i="1"/>
  <c r="AA393" i="1"/>
  <c r="AE265" i="1"/>
  <c r="AG265" i="1"/>
  <c r="AI265" i="1"/>
  <c r="AF265" i="1"/>
  <c r="AC265" i="1"/>
  <c r="AH265" i="1"/>
  <c r="AD265" i="1"/>
  <c r="AB265" i="1"/>
  <c r="AB69" i="1"/>
  <c r="AC69" i="1"/>
  <c r="AG69" i="1"/>
  <c r="AF69" i="1"/>
  <c r="AI69" i="1"/>
  <c r="AH69" i="1"/>
  <c r="AE69" i="1"/>
  <c r="AD69" i="1"/>
  <c r="AF360" i="1"/>
  <c r="AG360" i="1"/>
  <c r="AE360" i="1"/>
  <c r="AD360" i="1"/>
  <c r="AI360" i="1"/>
  <c r="AH360" i="1"/>
  <c r="AC360" i="1"/>
  <c r="AB360" i="1"/>
  <c r="AI344" i="1"/>
  <c r="AH344" i="1"/>
  <c r="AC344" i="1"/>
  <c r="AB344" i="1"/>
  <c r="AG344" i="1"/>
  <c r="AF344" i="1"/>
  <c r="AE344" i="1"/>
  <c r="AD344" i="1"/>
  <c r="AE374" i="1" l="1"/>
  <c r="AD374" i="1"/>
  <c r="AG329" i="1"/>
  <c r="AF329" i="1"/>
  <c r="Z337" i="1"/>
  <c r="AE144" i="1"/>
  <c r="AD144" i="1"/>
  <c r="AD385" i="1"/>
  <c r="AE385" i="1"/>
  <c r="AD173" i="1"/>
  <c r="Y174" i="1"/>
  <c r="AE173" i="1"/>
  <c r="Y348" i="1"/>
  <c r="Y347" i="1"/>
  <c r="Y349" i="1"/>
  <c r="AE334" i="1"/>
  <c r="AD334" i="1"/>
  <c r="AI370" i="1"/>
  <c r="AA388" i="1"/>
  <c r="AH370" i="1"/>
  <c r="AC334" i="1"/>
  <c r="X348" i="1"/>
  <c r="X347" i="1"/>
  <c r="X349" i="1"/>
  <c r="AB334" i="1"/>
  <c r="AC386" i="1"/>
  <c r="AB386" i="1"/>
  <c r="AH255" i="1"/>
  <c r="AI255" i="1"/>
  <c r="AE387" i="1"/>
  <c r="AD387" i="1"/>
  <c r="AE216" i="1"/>
  <c r="AD216" i="1"/>
  <c r="AD329" i="1"/>
  <c r="AE329" i="1"/>
  <c r="Y337" i="1"/>
  <c r="AG173" i="1"/>
  <c r="Z174" i="1"/>
  <c r="AF173" i="1"/>
  <c r="X337" i="1"/>
  <c r="AC329" i="1"/>
  <c r="AB329" i="1"/>
  <c r="X174" i="1"/>
  <c r="AB173" i="1"/>
  <c r="AC173" i="1"/>
  <c r="AI386" i="1"/>
  <c r="AH386" i="1"/>
  <c r="AI377" i="1"/>
  <c r="AH377" i="1"/>
  <c r="AI256" i="1"/>
  <c r="AH256" i="1"/>
  <c r="AG377" i="1"/>
  <c r="AF377" i="1"/>
  <c r="AG256" i="1"/>
  <c r="AF256" i="1"/>
  <c r="AG393" i="1"/>
  <c r="AF393" i="1"/>
  <c r="Z388" i="1"/>
  <c r="AG370" i="1"/>
  <c r="AF370" i="1"/>
  <c r="AE386" i="1"/>
  <c r="AD386" i="1"/>
  <c r="X388" i="1"/>
  <c r="AC370" i="1"/>
  <c r="AB370" i="1"/>
  <c r="AG205" i="1"/>
  <c r="AB205" i="1"/>
  <c r="AF205" i="1"/>
  <c r="AD205" i="1"/>
  <c r="AE205" i="1"/>
  <c r="AC205" i="1"/>
  <c r="AH205" i="1"/>
  <c r="AI205" i="1"/>
  <c r="L248" i="1"/>
  <c r="L157" i="1"/>
  <c r="V156" i="1"/>
  <c r="AB255" i="1"/>
  <c r="AC255" i="1"/>
  <c r="AG374" i="1"/>
  <c r="AF374" i="1"/>
  <c r="AE377" i="1"/>
  <c r="AD377" i="1"/>
  <c r="AI374" i="1"/>
  <c r="AH374" i="1"/>
  <c r="AI328" i="1"/>
  <c r="AH328" i="1"/>
  <c r="AC328" i="1"/>
  <c r="AB328" i="1"/>
  <c r="AD328" i="1"/>
  <c r="AF328" i="1"/>
  <c r="AG328" i="1"/>
  <c r="AE328" i="1"/>
  <c r="AE256" i="1"/>
  <c r="AD256" i="1"/>
  <c r="AE393" i="1"/>
  <c r="AD393" i="1"/>
  <c r="AB393" i="1"/>
  <c r="AC393" i="1"/>
  <c r="AC216" i="1"/>
  <c r="AB216" i="1"/>
  <c r="V268" i="1"/>
  <c r="L269" i="1"/>
  <c r="L270" i="1" s="1"/>
  <c r="V270" i="1" s="1"/>
  <c r="AH214" i="1"/>
  <c r="AI214" i="1"/>
  <c r="AG255" i="1"/>
  <c r="AF255" i="1"/>
  <c r="X170" i="1"/>
  <c r="AC169" i="1"/>
  <c r="AB169" i="1"/>
  <c r="L329" i="1"/>
  <c r="L286" i="1"/>
  <c r="V286" i="1" s="1"/>
  <c r="AA154" i="1"/>
  <c r="AF154" i="1"/>
  <c r="AE154" i="1"/>
  <c r="AC154" i="1"/>
  <c r="AD154" i="1"/>
  <c r="AG154" i="1"/>
  <c r="AB154" i="1"/>
  <c r="AG385" i="1"/>
  <c r="AF385" i="1"/>
  <c r="Y170" i="1"/>
  <c r="AE169" i="1"/>
  <c r="AD169" i="1"/>
  <c r="AI385" i="1"/>
  <c r="AH385" i="1"/>
  <c r="AC374" i="1"/>
  <c r="AB374" i="1"/>
  <c r="AE273" i="1"/>
  <c r="Y275" i="1"/>
  <c r="AD273" i="1"/>
  <c r="AF387" i="1"/>
  <c r="AG387" i="1"/>
  <c r="AI387" i="1"/>
  <c r="AH387" i="1"/>
  <c r="AE255" i="1"/>
  <c r="AD255" i="1"/>
  <c r="AC256" i="1"/>
  <c r="AB256" i="1"/>
  <c r="V362" i="1"/>
  <c r="L376" i="1"/>
  <c r="AI266" i="1"/>
  <c r="AH266" i="1"/>
  <c r="AC266" i="1"/>
  <c r="AD266" i="1"/>
  <c r="AE266" i="1"/>
  <c r="AF266" i="1"/>
  <c r="AB266" i="1"/>
  <c r="AG266" i="1"/>
  <c r="AB385" i="1"/>
  <c r="AC385" i="1"/>
  <c r="AI212" i="1"/>
  <c r="AA216" i="1"/>
  <c r="AH212" i="1"/>
  <c r="AI326" i="1"/>
  <c r="AA329" i="1"/>
  <c r="AA334" i="1"/>
  <c r="AH326" i="1"/>
  <c r="AB377" i="1"/>
  <c r="AC377" i="1"/>
  <c r="AF386" i="1"/>
  <c r="AG386" i="1"/>
  <c r="Y189" i="1"/>
  <c r="AA189" i="1"/>
  <c r="Z189" i="1"/>
  <c r="X189" i="1"/>
  <c r="AD370" i="1"/>
  <c r="AE370" i="1"/>
  <c r="Y388" i="1"/>
  <c r="AI393" i="1"/>
  <c r="AH393" i="1"/>
  <c r="AG216" i="1"/>
  <c r="AF216" i="1"/>
  <c r="AG334" i="1"/>
  <c r="Z348" i="1"/>
  <c r="Z347" i="1"/>
  <c r="Z349" i="1"/>
  <c r="AF334" i="1"/>
  <c r="AG169" i="1"/>
  <c r="Z170" i="1"/>
  <c r="AF169" i="1"/>
  <c r="AC387" i="1"/>
  <c r="AB387" i="1"/>
  <c r="AI213" i="1"/>
  <c r="AH213" i="1"/>
  <c r="L271" i="1"/>
  <c r="L191" i="1"/>
  <c r="AE170" i="1" l="1"/>
  <c r="AD170" i="1"/>
  <c r="AB170" i="1"/>
  <c r="AC170" i="1"/>
  <c r="L158" i="1"/>
  <c r="V157" i="1"/>
  <c r="AC347" i="1"/>
  <c r="AB347" i="1"/>
  <c r="AE349" i="1"/>
  <c r="AD349" i="1"/>
  <c r="AG349" i="1"/>
  <c r="AF349" i="1"/>
  <c r="V248" i="1"/>
  <c r="L249" i="1"/>
  <c r="V249" i="1" s="1"/>
  <c r="AG388" i="1"/>
  <c r="AF388" i="1"/>
  <c r="Y341" i="1"/>
  <c r="AD337" i="1"/>
  <c r="AE337" i="1"/>
  <c r="AC348" i="1"/>
  <c r="X366" i="1"/>
  <c r="X364" i="1"/>
  <c r="X365" i="1"/>
  <c r="AB348" i="1"/>
  <c r="AD347" i="1"/>
  <c r="AE347" i="1"/>
  <c r="X175" i="1"/>
  <c r="AB174" i="1"/>
  <c r="AC174" i="1"/>
  <c r="AD348" i="1"/>
  <c r="Y366" i="1"/>
  <c r="Y364" i="1"/>
  <c r="Y365" i="1"/>
  <c r="AE348" i="1"/>
  <c r="AF337" i="1"/>
  <c r="AG337" i="1"/>
  <c r="Z341" i="1"/>
  <c r="Y190" i="1"/>
  <c r="AD189" i="1"/>
  <c r="AE189" i="1"/>
  <c r="AC349" i="1"/>
  <c r="AB349" i="1"/>
  <c r="AI216" i="1"/>
  <c r="AH216" i="1"/>
  <c r="AG347" i="1"/>
  <c r="AF347" i="1"/>
  <c r="AF348" i="1"/>
  <c r="Z365" i="1"/>
  <c r="Z366" i="1"/>
  <c r="Z364" i="1"/>
  <c r="AG348" i="1"/>
  <c r="AH154" i="1"/>
  <c r="AA155" i="1"/>
  <c r="AI154" i="1"/>
  <c r="AA156" i="1"/>
  <c r="AE156" i="1"/>
  <c r="AD156" i="1"/>
  <c r="AG156" i="1"/>
  <c r="AF156" i="1"/>
  <c r="AC156" i="1"/>
  <c r="AB156" i="1"/>
  <c r="AG174" i="1"/>
  <c r="Z175" i="1"/>
  <c r="AF174" i="1"/>
  <c r="AC286" i="1"/>
  <c r="AE286" i="1"/>
  <c r="AD286" i="1"/>
  <c r="AB286" i="1"/>
  <c r="AG286" i="1"/>
  <c r="AF286" i="1"/>
  <c r="AH286" i="1"/>
  <c r="AI286" i="1"/>
  <c r="AB388" i="1"/>
  <c r="AC388" i="1"/>
  <c r="AI388" i="1"/>
  <c r="AH388" i="1"/>
  <c r="Y175" i="1"/>
  <c r="AE174" i="1"/>
  <c r="AD174" i="1"/>
  <c r="L272" i="1"/>
  <c r="L192" i="1"/>
  <c r="X190" i="1"/>
  <c r="AC189" i="1"/>
  <c r="AB189" i="1"/>
  <c r="Z190" i="1"/>
  <c r="AG189" i="1"/>
  <c r="AF189" i="1"/>
  <c r="AI334" i="1"/>
  <c r="AA349" i="1"/>
  <c r="AA347" i="1"/>
  <c r="AA348" i="1"/>
  <c r="AH334" i="1"/>
  <c r="L337" i="1"/>
  <c r="L330" i="1"/>
  <c r="V330" i="1" s="1"/>
  <c r="AA270" i="1"/>
  <c r="Z270" i="1"/>
  <c r="Y270" i="1"/>
  <c r="X270" i="1"/>
  <c r="AC337" i="1"/>
  <c r="X341" i="1"/>
  <c r="AB337" i="1"/>
  <c r="AD388" i="1"/>
  <c r="AE388" i="1"/>
  <c r="AF170" i="1"/>
  <c r="AG170" i="1"/>
  <c r="AA190" i="1"/>
  <c r="AH189" i="1"/>
  <c r="AI189" i="1"/>
  <c r="AI329" i="1"/>
  <c r="AA337" i="1"/>
  <c r="AH329" i="1"/>
  <c r="AC362" i="1"/>
  <c r="AB362" i="1"/>
  <c r="AE362" i="1"/>
  <c r="AD362" i="1"/>
  <c r="AH362" i="1"/>
  <c r="AI362" i="1"/>
  <c r="AF362" i="1"/>
  <c r="AG362" i="1"/>
  <c r="AA268" i="1"/>
  <c r="Y268" i="1"/>
  <c r="Z268" i="1"/>
  <c r="X268" i="1"/>
  <c r="Z191" i="1" l="1"/>
  <c r="AG190" i="1"/>
  <c r="AF190" i="1"/>
  <c r="AD175" i="1"/>
  <c r="AE175" i="1"/>
  <c r="AI155" i="1"/>
  <c r="AH155" i="1"/>
  <c r="Z351" i="1"/>
  <c r="AG341" i="1"/>
  <c r="AF341" i="1"/>
  <c r="Z345" i="1"/>
  <c r="AC366" i="1"/>
  <c r="X382" i="1"/>
  <c r="AB366" i="1"/>
  <c r="AA248" i="1"/>
  <c r="AF248" i="1"/>
  <c r="AG248" i="1"/>
  <c r="AB248" i="1"/>
  <c r="AE248" i="1"/>
  <c r="AD248" i="1"/>
  <c r="AC248" i="1"/>
  <c r="L250" i="1"/>
  <c r="L159" i="1"/>
  <c r="L160" i="1" s="1"/>
  <c r="L161" i="1" s="1"/>
  <c r="L162" i="1" s="1"/>
  <c r="L163" i="1" s="1"/>
  <c r="L164" i="1" s="1"/>
  <c r="L165" i="1" s="1"/>
  <c r="L166" i="1" s="1"/>
  <c r="AA341" i="1"/>
  <c r="AI337" i="1"/>
  <c r="AH337" i="1"/>
  <c r="AC364" i="1"/>
  <c r="AB364" i="1"/>
  <c r="AC341" i="1"/>
  <c r="X351" i="1"/>
  <c r="AB341" i="1"/>
  <c r="X345" i="1"/>
  <c r="AI348" i="1"/>
  <c r="AA364" i="1"/>
  <c r="AA365" i="1"/>
  <c r="AA366" i="1"/>
  <c r="AH348" i="1"/>
  <c r="AC175" i="1"/>
  <c r="AB175" i="1"/>
  <c r="AD249" i="1"/>
  <c r="AE249" i="1"/>
  <c r="AH249" i="1"/>
  <c r="AB249" i="1"/>
  <c r="AG249" i="1"/>
  <c r="AI249" i="1"/>
  <c r="AC249" i="1"/>
  <c r="AF249" i="1"/>
  <c r="AG268" i="1"/>
  <c r="AF268" i="1"/>
  <c r="AH190" i="1"/>
  <c r="AA191" i="1"/>
  <c r="AI190" i="1"/>
  <c r="X272" i="1"/>
  <c r="AB270" i="1"/>
  <c r="AC270" i="1"/>
  <c r="AI347" i="1"/>
  <c r="AH347" i="1"/>
  <c r="AC190" i="1"/>
  <c r="X191" i="1"/>
  <c r="AB190" i="1"/>
  <c r="AG364" i="1"/>
  <c r="AF364" i="1"/>
  <c r="AF157" i="1"/>
  <c r="AE157" i="1"/>
  <c r="AC157" i="1"/>
  <c r="AG157" i="1"/>
  <c r="AD157" i="1"/>
  <c r="AB157" i="1"/>
  <c r="AB268" i="1"/>
  <c r="AC268" i="1"/>
  <c r="L273" i="1"/>
  <c r="L193" i="1"/>
  <c r="AF366" i="1"/>
  <c r="Z382" i="1"/>
  <c r="AG366" i="1"/>
  <c r="AD365" i="1"/>
  <c r="Y381" i="1"/>
  <c r="AE365" i="1"/>
  <c r="AE341" i="1"/>
  <c r="AD341" i="1"/>
  <c r="Y351" i="1"/>
  <c r="Y345" i="1"/>
  <c r="AE330" i="1"/>
  <c r="AH330" i="1"/>
  <c r="AI330" i="1"/>
  <c r="AB330" i="1"/>
  <c r="AD330" i="1"/>
  <c r="AF330" i="1"/>
  <c r="AC330" i="1"/>
  <c r="AG330" i="1"/>
  <c r="AE268" i="1"/>
  <c r="AD268" i="1"/>
  <c r="Y272" i="1"/>
  <c r="AE270" i="1"/>
  <c r="AD270" i="1"/>
  <c r="Z272" i="1"/>
  <c r="AF270" i="1"/>
  <c r="AG270" i="1"/>
  <c r="AF365" i="1"/>
  <c r="Z381" i="1"/>
  <c r="AG365" i="1"/>
  <c r="AD364" i="1"/>
  <c r="AE364" i="1"/>
  <c r="AE190" i="1"/>
  <c r="Y191" i="1"/>
  <c r="AD190" i="1"/>
  <c r="AI349" i="1"/>
  <c r="AH349" i="1"/>
  <c r="AH268" i="1"/>
  <c r="AI268" i="1"/>
  <c r="AA272" i="1"/>
  <c r="AH270" i="1"/>
  <c r="AI270" i="1"/>
  <c r="AG175" i="1"/>
  <c r="AF175" i="1"/>
  <c r="AI156" i="1"/>
  <c r="AA157" i="1"/>
  <c r="AH156" i="1"/>
  <c r="AD366" i="1"/>
  <c r="Y382" i="1"/>
  <c r="AE366" i="1"/>
  <c r="AB365" i="1"/>
  <c r="X381" i="1"/>
  <c r="AC365" i="1"/>
  <c r="AG191" i="1" l="1"/>
  <c r="Z192" i="1"/>
  <c r="AF191" i="1"/>
  <c r="V166" i="1"/>
  <c r="L167" i="1"/>
  <c r="AC351" i="1"/>
  <c r="X356" i="1"/>
  <c r="AB351" i="1"/>
  <c r="V250" i="1"/>
  <c r="L251" i="1"/>
  <c r="V251" i="1" s="1"/>
  <c r="AH248" i="1"/>
  <c r="AI248" i="1"/>
  <c r="AC382" i="1"/>
  <c r="AB382" i="1"/>
  <c r="AE191" i="1"/>
  <c r="Y192" i="1"/>
  <c r="AD191" i="1"/>
  <c r="AE382" i="1"/>
  <c r="AD382" i="1"/>
  <c r="L274" i="1"/>
  <c r="V274" i="1" s="1"/>
  <c r="L194" i="1"/>
  <c r="Z356" i="1"/>
  <c r="AG351" i="1"/>
  <c r="AF351" i="1"/>
  <c r="AI272" i="1"/>
  <c r="AA274" i="1"/>
  <c r="AH272" i="1"/>
  <c r="AA158" i="1"/>
  <c r="AH157" i="1"/>
  <c r="AI157" i="1"/>
  <c r="Y274" i="1"/>
  <c r="AE272" i="1"/>
  <c r="AD272" i="1"/>
  <c r="AE381" i="1"/>
  <c r="AD381" i="1"/>
  <c r="X274" i="1"/>
  <c r="AC272" i="1"/>
  <c r="AB272" i="1"/>
  <c r="AG381" i="1"/>
  <c r="AF381" i="1"/>
  <c r="AI366" i="1"/>
  <c r="AA382" i="1"/>
  <c r="AH366" i="1"/>
  <c r="AE351" i="1"/>
  <c r="Y356" i="1"/>
  <c r="AD351" i="1"/>
  <c r="AG272" i="1"/>
  <c r="Z274" i="1"/>
  <c r="AF272" i="1"/>
  <c r="AC345" i="1"/>
  <c r="AB345" i="1"/>
  <c r="AI341" i="1"/>
  <c r="AA351" i="1"/>
  <c r="AH341" i="1"/>
  <c r="AA345" i="1"/>
  <c r="AC381" i="1"/>
  <c r="AB381" i="1"/>
  <c r="AB191" i="1"/>
  <c r="AC191" i="1"/>
  <c r="X192" i="1"/>
  <c r="AI191" i="1"/>
  <c r="AA192" i="1"/>
  <c r="AH191" i="1"/>
  <c r="AI365" i="1"/>
  <c r="AA381" i="1"/>
  <c r="AH365" i="1"/>
  <c r="AF345" i="1"/>
  <c r="AG345" i="1"/>
  <c r="AE345" i="1"/>
  <c r="AD345" i="1"/>
  <c r="AG382" i="1"/>
  <c r="AF382" i="1"/>
  <c r="AH364" i="1"/>
  <c r="AI364" i="1"/>
  <c r="Y193" i="1" l="1"/>
  <c r="AE192" i="1"/>
  <c r="AD192" i="1"/>
  <c r="AH345" i="1"/>
  <c r="AI345" i="1"/>
  <c r="Y276" i="1"/>
  <c r="AE274" i="1"/>
  <c r="AD274" i="1"/>
  <c r="AA193" i="1"/>
  <c r="AH192" i="1"/>
  <c r="AI192" i="1"/>
  <c r="AG356" i="1"/>
  <c r="Z368" i="1"/>
  <c r="Z379" i="1"/>
  <c r="Z380" i="1"/>
  <c r="Z378" i="1"/>
  <c r="Z361" i="1"/>
  <c r="AF356" i="1"/>
  <c r="AI381" i="1"/>
  <c r="AH381" i="1"/>
  <c r="Z276" i="1"/>
  <c r="AG274" i="1"/>
  <c r="AF274" i="1"/>
  <c r="AC356" i="1"/>
  <c r="X378" i="1"/>
  <c r="X368" i="1"/>
  <c r="X379" i="1"/>
  <c r="X380" i="1"/>
  <c r="X361" i="1"/>
  <c r="AB356" i="1"/>
  <c r="AA356" i="1"/>
  <c r="AI351" i="1"/>
  <c r="AH351" i="1"/>
  <c r="AE356" i="1"/>
  <c r="AD356" i="1"/>
  <c r="Y378" i="1"/>
  <c r="Y368" i="1"/>
  <c r="Y379" i="1"/>
  <c r="Y380" i="1"/>
  <c r="Y361" i="1"/>
  <c r="L275" i="1"/>
  <c r="L195" i="1"/>
  <c r="V195" i="1" s="1"/>
  <c r="V167" i="1"/>
  <c r="L168" i="1"/>
  <c r="AE250" i="1"/>
  <c r="AB250" i="1"/>
  <c r="AI250" i="1"/>
  <c r="AD250" i="1"/>
  <c r="AF250" i="1"/>
  <c r="AC250" i="1"/>
  <c r="AH250" i="1"/>
  <c r="AG250" i="1"/>
  <c r="X193" i="1"/>
  <c r="AC192" i="1"/>
  <c r="AB192" i="1"/>
  <c r="X276" i="1"/>
  <c r="AB274" i="1"/>
  <c r="AC274" i="1"/>
  <c r="AI158" i="1"/>
  <c r="AH158" i="1"/>
  <c r="Z166" i="1"/>
  <c r="AC166" i="1"/>
  <c r="AE166" i="1"/>
  <c r="AH166" i="1"/>
  <c r="AD166" i="1"/>
  <c r="AI166" i="1"/>
  <c r="AB166" i="1"/>
  <c r="AI382" i="1"/>
  <c r="AH382" i="1"/>
  <c r="AA276" i="1"/>
  <c r="AH274" i="1"/>
  <c r="AI274" i="1"/>
  <c r="AI251" i="1"/>
  <c r="AD251" i="1"/>
  <c r="AH251" i="1"/>
  <c r="AF251" i="1"/>
  <c r="AG251" i="1"/>
  <c r="AB251" i="1"/>
  <c r="AC251" i="1"/>
  <c r="AE251" i="1"/>
  <c r="Z193" i="1"/>
  <c r="AG192" i="1"/>
  <c r="AF192" i="1"/>
  <c r="AG193" i="1" l="1"/>
  <c r="Z194" i="1"/>
  <c r="AF193" i="1"/>
  <c r="Z375" i="1"/>
  <c r="AG361" i="1"/>
  <c r="AF361" i="1"/>
  <c r="AD380" i="1"/>
  <c r="AE380" i="1"/>
  <c r="AA379" i="1"/>
  <c r="AA380" i="1"/>
  <c r="AA378" i="1"/>
  <c r="AA368" i="1"/>
  <c r="AI356" i="1"/>
  <c r="AH356" i="1"/>
  <c r="AA361" i="1"/>
  <c r="AG380" i="1"/>
  <c r="AF380" i="1"/>
  <c r="AI276" i="1"/>
  <c r="AE379" i="1"/>
  <c r="AD379" i="1"/>
  <c r="AG379" i="1"/>
  <c r="AF379" i="1"/>
  <c r="AE276" i="1"/>
  <c r="AD276" i="1"/>
  <c r="AE193" i="1"/>
  <c r="Y194" i="1"/>
  <c r="AD193" i="1"/>
  <c r="AG166" i="1"/>
  <c r="AF166" i="1"/>
  <c r="X194" i="1"/>
  <c r="AC193" i="1"/>
  <c r="AB193" i="1"/>
  <c r="AE368" i="1"/>
  <c r="Y384" i="1"/>
  <c r="AD368" i="1"/>
  <c r="X375" i="1"/>
  <c r="AC361" i="1"/>
  <c r="AB361" i="1"/>
  <c r="AF276" i="1"/>
  <c r="AG368" i="1"/>
  <c r="Z384" i="1"/>
  <c r="AF368" i="1"/>
  <c r="V275" i="1"/>
  <c r="L276" i="1"/>
  <c r="V276" i="1" s="1"/>
  <c r="AG276" i="1" s="1"/>
  <c r="AH193" i="1"/>
  <c r="AA194" i="1"/>
  <c r="AI193" i="1"/>
  <c r="AB276" i="1"/>
  <c r="L252" i="1"/>
  <c r="L169" i="1"/>
  <c r="L170" i="1" s="1"/>
  <c r="AD378" i="1"/>
  <c r="AE378" i="1"/>
  <c r="AC380" i="1"/>
  <c r="AB380" i="1"/>
  <c r="AC378" i="1"/>
  <c r="AB378" i="1"/>
  <c r="Y375" i="1"/>
  <c r="AD361" i="1"/>
  <c r="AE361" i="1"/>
  <c r="AF378" i="1"/>
  <c r="AG378" i="1"/>
  <c r="AA167" i="1"/>
  <c r="AB167" i="1"/>
  <c r="AG167" i="1"/>
  <c r="AC167" i="1"/>
  <c r="AF167" i="1"/>
  <c r="AE167" i="1"/>
  <c r="AD167" i="1"/>
  <c r="AC379" i="1"/>
  <c r="AB379" i="1"/>
  <c r="AC368" i="1"/>
  <c r="X384" i="1"/>
  <c r="AB368" i="1"/>
  <c r="AI194" i="1" l="1"/>
  <c r="AA195" i="1"/>
  <c r="AH194" i="1"/>
  <c r="AI167" i="1"/>
  <c r="AA168" i="1"/>
  <c r="AH167" i="1"/>
  <c r="AA171" i="1"/>
  <c r="X195" i="1"/>
  <c r="AB194" i="1"/>
  <c r="AC194" i="1"/>
  <c r="AA375" i="1"/>
  <c r="AH361" i="1"/>
  <c r="AI361" i="1"/>
  <c r="AC375" i="1"/>
  <c r="AB375" i="1"/>
  <c r="L253" i="1"/>
  <c r="L171" i="1"/>
  <c r="AG275" i="1"/>
  <c r="AF275" i="1"/>
  <c r="AC275" i="1"/>
  <c r="AI275" i="1"/>
  <c r="AB275" i="1"/>
  <c r="AH275" i="1"/>
  <c r="AD275" i="1"/>
  <c r="AE275" i="1"/>
  <c r="AI368" i="1"/>
  <c r="AA384" i="1"/>
  <c r="AH368" i="1"/>
  <c r="AG375" i="1"/>
  <c r="AF375" i="1"/>
  <c r="AI379" i="1"/>
  <c r="AH379" i="1"/>
  <c r="AC384" i="1"/>
  <c r="AB384" i="1"/>
  <c r="AE375" i="1"/>
  <c r="AD375" i="1"/>
  <c r="AE384" i="1"/>
  <c r="AD384" i="1"/>
  <c r="Y195" i="1"/>
  <c r="AE194" i="1"/>
  <c r="AD194" i="1"/>
  <c r="AI378" i="1"/>
  <c r="AH378" i="1"/>
  <c r="AC276" i="1"/>
  <c r="AG384" i="1"/>
  <c r="AF384" i="1"/>
  <c r="AH276" i="1"/>
  <c r="AH380" i="1"/>
  <c r="AI380" i="1"/>
  <c r="AG194" i="1"/>
  <c r="Z195" i="1"/>
  <c r="AF194" i="1"/>
  <c r="AD195" i="1" l="1"/>
  <c r="AE195" i="1"/>
  <c r="AA172" i="1"/>
  <c r="AH171" i="1"/>
  <c r="AI168" i="1"/>
  <c r="AA169" i="1"/>
  <c r="AH168" i="1"/>
  <c r="V253" i="1"/>
  <c r="X162" i="1"/>
  <c r="Z162" i="1"/>
  <c r="AA162" i="1"/>
  <c r="Y162" i="1"/>
  <c r="AG195" i="1"/>
  <c r="AF195" i="1"/>
  <c r="AH375" i="1"/>
  <c r="AI375" i="1"/>
  <c r="AI384" i="1"/>
  <c r="AH384" i="1"/>
  <c r="AH195" i="1"/>
  <c r="AI195" i="1"/>
  <c r="AC195" i="1"/>
  <c r="AB195" i="1"/>
  <c r="L172" i="1"/>
  <c r="V171" i="1"/>
  <c r="AI171" i="1" s="1"/>
  <c r="AI162" i="1" l="1"/>
  <c r="AH162" i="1"/>
  <c r="AA170" i="1"/>
  <c r="AI169" i="1"/>
  <c r="AH169" i="1"/>
  <c r="AI172" i="1"/>
  <c r="AA173" i="1"/>
  <c r="AH172" i="1"/>
  <c r="AC162" i="1"/>
  <c r="AB162" i="1"/>
  <c r="L254" i="1"/>
  <c r="L173" i="1"/>
  <c r="L174" i="1" s="1"/>
  <c r="AE162" i="1"/>
  <c r="AD162" i="1"/>
  <c r="AG162" i="1"/>
  <c r="AF162" i="1"/>
  <c r="AF171" i="1"/>
  <c r="AB171" i="1"/>
  <c r="AD171" i="1"/>
  <c r="AE171" i="1"/>
  <c r="AC171" i="1"/>
  <c r="AG171" i="1"/>
  <c r="AF253" i="1"/>
  <c r="AI253" i="1"/>
  <c r="AH253" i="1"/>
  <c r="AD253" i="1"/>
  <c r="AE253" i="1"/>
  <c r="AG253" i="1"/>
  <c r="AB253" i="1"/>
  <c r="AC253" i="1"/>
  <c r="AA174" i="1" l="1"/>
  <c r="AI173" i="1"/>
  <c r="AH173" i="1"/>
  <c r="L255" i="1"/>
  <c r="L175" i="1"/>
  <c r="AH170" i="1"/>
  <c r="AI170" i="1"/>
  <c r="L256" i="1" l="1"/>
  <c r="AA175" i="1"/>
  <c r="AH174" i="1"/>
  <c r="AI174" i="1"/>
  <c r="AH175" i="1" l="1"/>
  <c r="AI17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L27" authorId="0" shapeId="0" xr:uid="{00000000-0006-0000-0000-000003000000}">
      <text>
        <r>
          <rPr>
            <sz val="11"/>
            <color theme="1"/>
            <rFont val="aptos narrow"/>
            <scheme val="minor"/>
          </rPr>
          <t>100 pack is £12.36
	-Nozmul Hussain</t>
        </r>
      </text>
    </comment>
    <comment ref="A89" authorId="0" shapeId="0" xr:uid="{00000000-0006-0000-0000-000001000000}">
      <text>
        <r>
          <rPr>
            <sz val="11"/>
            <color theme="1"/>
            <rFont val="aptos narrow"/>
            <scheme val="minor"/>
          </rPr>
          <t>no longer available - discontinued
	-Ashraf Zaman</t>
        </r>
      </text>
    </comment>
    <comment ref="A100" authorId="0" shapeId="0" xr:uid="{00000000-0006-0000-0000-000002000000}">
      <text>
        <r>
          <rPr>
            <sz val="11"/>
            <color theme="1"/>
            <rFont val="aptos narrow"/>
            <scheme val="minor"/>
          </rPr>
          <t>need prices
	-Nozmul Hussain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8F7CD651-C5F4-4D6E-90B5-1A8959C8DA3D}">
      <text>
        <r>
          <rPr>
            <sz val="11"/>
            <color theme="1"/>
            <rFont val="aptos narrow"/>
            <scheme val="minor"/>
          </rPr>
          <t>need prices
	-Nozmul Hussain</t>
        </r>
      </text>
    </comment>
    <comment ref="A27" authorId="0" shapeId="0" xr:uid="{FAA8B937-A282-4D99-B87F-739F475A5926}">
      <text>
        <r>
          <rPr>
            <sz val="11"/>
            <color theme="1"/>
            <rFont val="aptos narrow"/>
            <scheme val="minor"/>
          </rPr>
          <t>no longer available - discontinued
	-Ashraf Zaman</t>
        </r>
      </text>
    </comment>
    <comment ref="K27" authorId="0" shapeId="0" xr:uid="{D6DAA638-E728-4113-BC38-0F931939330B}">
      <text>
        <r>
          <rPr>
            <sz val="11"/>
            <color theme="1"/>
            <rFont val="aptos narrow"/>
            <scheme val="minor"/>
          </rPr>
          <t>100 pack is £12.36
	-Nozmul Hussain</t>
        </r>
      </text>
    </comment>
  </commentList>
</comments>
</file>

<file path=xl/sharedStrings.xml><?xml version="1.0" encoding="utf-8"?>
<sst xmlns="http://schemas.openxmlformats.org/spreadsheetml/2006/main" count="4271" uniqueCount="285">
  <si>
    <t>Name of Medication</t>
  </si>
  <si>
    <t>Strength</t>
  </si>
  <si>
    <t>Unit</t>
  </si>
  <si>
    <t>Prescription Type</t>
  </si>
  <si>
    <t>Formulation</t>
  </si>
  <si>
    <t>Pack Size</t>
  </si>
  <si>
    <t>Quanity</t>
  </si>
  <si>
    <t>Total</t>
  </si>
  <si>
    <t xml:space="preserve">Dosage 1 </t>
  </si>
  <si>
    <t>Dosage 2</t>
  </si>
  <si>
    <t>Cost Price</t>
  </si>
  <si>
    <t>Condition 1</t>
  </si>
  <si>
    <t>Max Quantity (1)</t>
  </si>
  <si>
    <t>Interval Length (1) (Days)</t>
  </si>
  <si>
    <t>Condition 2</t>
  </si>
  <si>
    <t>Interval Length (2)</t>
  </si>
  <si>
    <t>Max Quantity (2)</t>
  </si>
  <si>
    <t>Condition 3</t>
  </si>
  <si>
    <t>Max Quantity (3)</t>
  </si>
  <si>
    <t>Interval Length (3)</t>
  </si>
  <si>
    <t>Medication Cost Band</t>
  </si>
  <si>
    <t>Consultation Fee</t>
  </si>
  <si>
    <t>Tier 1 Price</t>
  </si>
  <si>
    <t>Tier 2 Price</t>
  </si>
  <si>
    <t>Tier 3 Price</t>
  </si>
  <si>
    <t>Tier 4 Price</t>
  </si>
  <si>
    <t>Tier 1 Profit 30% + £5 consultation fee</t>
  </si>
  <si>
    <t>Tier 1 Pharmacy Profit exc Medcation cost</t>
  </si>
  <si>
    <t xml:space="preserve">Tier 2 Profit </t>
  </si>
  <si>
    <t>Tier 2 Pharmacy Profit</t>
  </si>
  <si>
    <t>Tier 3 Profit</t>
  </si>
  <si>
    <t>Tier 3 Pharmacy Profit</t>
  </si>
  <si>
    <t>Tier 4 Profit</t>
  </si>
  <si>
    <t>Tier 4 Pharmacy Profit</t>
  </si>
  <si>
    <t>Availability</t>
  </si>
  <si>
    <t>Link purchase 1</t>
  </si>
  <si>
    <t>Link purchase 2</t>
  </si>
  <si>
    <t>Link purchase 3</t>
  </si>
  <si>
    <t>Link purchase 4</t>
  </si>
  <si>
    <t xml:space="preserve">Sildenafil Tablets </t>
  </si>
  <si>
    <t>mg</t>
  </si>
  <si>
    <t>Repeat</t>
  </si>
  <si>
    <t>Tablets</t>
  </si>
  <si>
    <t>One Tablet Approx 60 Minutes Before Sexual Activity</t>
  </si>
  <si>
    <t>Erectile Disfunction</t>
  </si>
  <si>
    <t xml:space="preserve">In Stock </t>
  </si>
  <si>
    <t>Emla Cream</t>
  </si>
  <si>
    <t>Tadalafil Tablets</t>
  </si>
  <si>
    <t>One To Be Taken Each Day</t>
  </si>
  <si>
    <t>One Tablet 30-60 Minutes Before Sexual Activity</t>
  </si>
  <si>
    <t>Vardenafil Tablets</t>
  </si>
  <si>
    <t>Priligy Tablets</t>
  </si>
  <si>
    <t>One Tablet 1-3 Hours Before Sexual Activity</t>
  </si>
  <si>
    <t>Premature Ejaculation</t>
  </si>
  <si>
    <t>%</t>
  </si>
  <si>
    <t>Cream</t>
  </si>
  <si>
    <t>Grams</t>
  </si>
  <si>
    <t xml:space="preserve">Apply a small, pea-sized amount 15-30 minutes before sexual activity </t>
  </si>
  <si>
    <t>Finasteride Tablets</t>
  </si>
  <si>
    <t>Hair Loss</t>
  </si>
  <si>
    <t xml:space="preserve">Regaine </t>
  </si>
  <si>
    <t>Norethisterone Tablets</t>
  </si>
  <si>
    <t>One To Be Taken Three Times A Day as Directed</t>
  </si>
  <si>
    <t>Period Delay</t>
  </si>
  <si>
    <t>Medroxyprogesterone Tablets</t>
  </si>
  <si>
    <t>Vaniqa Cream</t>
  </si>
  <si>
    <t>Apply Twice A Day As Directed</t>
  </si>
  <si>
    <t>Facial Hair</t>
  </si>
  <si>
    <t>Microgynon 30 Tablets</t>
  </si>
  <si>
    <t>30/150</t>
  </si>
  <si>
    <t>mcg</t>
  </si>
  <si>
    <t>One Tablet Daily For 21 Days; Subsequent Courses Repeated After 7-Day Tablet Free Interval</t>
  </si>
  <si>
    <t>Contraception</t>
  </si>
  <si>
    <t>Desogestrel Tablets</t>
  </si>
  <si>
    <t>Rigevidon Tablets</t>
  </si>
  <si>
    <t>Levest Tablets</t>
  </si>
  <si>
    <t>Gedarel Tablets</t>
  </si>
  <si>
    <t>Yasmin Tablets</t>
  </si>
  <si>
    <t>mcg/mg</t>
  </si>
  <si>
    <t>Evra Patch</t>
  </si>
  <si>
    <t>33.9/203/24</t>
  </si>
  <si>
    <t>Patch</t>
  </si>
  <si>
    <t>Patches</t>
  </si>
  <si>
    <t>Cerazette Tablets</t>
  </si>
  <si>
    <t xml:space="preserve">Mefenamic Acid Tablets </t>
  </si>
  <si>
    <t>Period Pain</t>
  </si>
  <si>
    <t>Naproxen Tablets</t>
  </si>
  <si>
    <t>Pain Relief</t>
  </si>
  <si>
    <t>Vagifem Vaginal Tablets</t>
  </si>
  <si>
    <t>Vaginal Dryness</t>
  </si>
  <si>
    <t xml:space="preserve">Replens MD Vaginal Moisteriser </t>
  </si>
  <si>
    <t>Nitrofurantoin MR Capsules</t>
  </si>
  <si>
    <t>Acute</t>
  </si>
  <si>
    <t>Capsule</t>
  </si>
  <si>
    <t>Capsules</t>
  </si>
  <si>
    <t>Urinary Tract Infection/Cystitis</t>
  </si>
  <si>
    <t>Cymalon Sachets</t>
  </si>
  <si>
    <t>Oasis Cystitis Relief</t>
  </si>
  <si>
    <t>Trimethoprim Tablets</t>
  </si>
  <si>
    <t>Omeprazole Capsules</t>
  </si>
  <si>
    <t>Acid Reflux</t>
  </si>
  <si>
    <t>Lansoprazole Capsules</t>
  </si>
  <si>
    <t>Esomeprazole Tablets</t>
  </si>
  <si>
    <t xml:space="preserve">Otomise Spray </t>
  </si>
  <si>
    <t>0.2/0.5/2</t>
  </si>
  <si>
    <t>Spray</t>
  </si>
  <si>
    <t>ml</t>
  </si>
  <si>
    <t>Ear Infection</t>
  </si>
  <si>
    <t xml:space="preserve">Betnesol N Drops </t>
  </si>
  <si>
    <t>0.1/0.5</t>
  </si>
  <si>
    <t>Drops</t>
  </si>
  <si>
    <t>Orlistat Capsules</t>
  </si>
  <si>
    <t>Weight Loss</t>
  </si>
  <si>
    <t>Fexofenadine Tablets</t>
  </si>
  <si>
    <t>Hayfever</t>
  </si>
  <si>
    <t>Allergy</t>
  </si>
  <si>
    <t xml:space="preserve">Avamys nasal spray </t>
  </si>
  <si>
    <t>Azelastine nasal spray</t>
  </si>
  <si>
    <t>Mometasone nasal spray</t>
  </si>
  <si>
    <t>Olapatadine eye drops</t>
  </si>
  <si>
    <t>Olopatadine Eye Drops</t>
  </si>
  <si>
    <t>mg/ml</t>
  </si>
  <si>
    <t>Eye Drop</t>
  </si>
  <si>
    <t>Fexofenadine</t>
  </si>
  <si>
    <t xml:space="preserve">Avamys Nasal Spray </t>
  </si>
  <si>
    <t>NasalSpray</t>
  </si>
  <si>
    <t>Pack</t>
  </si>
  <si>
    <t>Nasal Congestion</t>
  </si>
  <si>
    <t>Azelastine Nasal Spray</t>
  </si>
  <si>
    <t>Mometasone Nasal Spray</t>
  </si>
  <si>
    <t xml:space="preserve">mcg </t>
  </si>
  <si>
    <t>Azelastine Eye Drop</t>
  </si>
  <si>
    <t xml:space="preserve">Epipen Auto Injector </t>
  </si>
  <si>
    <t>Injection</t>
  </si>
  <si>
    <t>Piroxicam Gel</t>
  </si>
  <si>
    <t>Gel</t>
  </si>
  <si>
    <t>Prochlorperazine Tablets</t>
  </si>
  <si>
    <t>Nausea/Vomiting</t>
  </si>
  <si>
    <t>Cyclizine Tablets</t>
  </si>
  <si>
    <t xml:space="preserve">Ketoconazole Shampoo </t>
  </si>
  <si>
    <t>Shampoo</t>
  </si>
  <si>
    <t>Dandruff</t>
  </si>
  <si>
    <t xml:space="preserve">Capasal Shampoo </t>
  </si>
  <si>
    <t>5/1/1</t>
  </si>
  <si>
    <t xml:space="preserve">Betamethasone Scalp Application </t>
  </si>
  <si>
    <t>Eczema</t>
  </si>
  <si>
    <t>Psoriasis</t>
  </si>
  <si>
    <t xml:space="preserve">Elocon Scalp lotion </t>
  </si>
  <si>
    <t>Lotion</t>
  </si>
  <si>
    <t>Elocon Scalp lotion</t>
  </si>
  <si>
    <t>Terbinafine Tablets</t>
  </si>
  <si>
    <t>Fungal Nail Infection</t>
  </si>
  <si>
    <t>Uniroid HC Suppositories</t>
  </si>
  <si>
    <t>Suppositories</t>
  </si>
  <si>
    <t>Haemorrhoids/Piles</t>
  </si>
  <si>
    <t>Uniroid HC Ointment</t>
  </si>
  <si>
    <t>Ointment</t>
  </si>
  <si>
    <t>Scheriproct Suppositories</t>
  </si>
  <si>
    <t>suppositories</t>
  </si>
  <si>
    <t>Scheriproct Ointment</t>
  </si>
  <si>
    <t>1.9/5</t>
  </si>
  <si>
    <t>Xyloproct Ointment</t>
  </si>
  <si>
    <t>5/0.275</t>
  </si>
  <si>
    <t>Proctosedyl Suppositories</t>
  </si>
  <si>
    <t>pack</t>
  </si>
  <si>
    <t>Proctosedyl Ointment</t>
  </si>
  <si>
    <t xml:space="preserve">Champix Initiation Pack </t>
  </si>
  <si>
    <t>0.5/1</t>
  </si>
  <si>
    <t>Stop Smoking</t>
  </si>
  <si>
    <t>Out of Stock</t>
  </si>
  <si>
    <t xml:space="preserve">Champix Maintenance Pack </t>
  </si>
  <si>
    <t>Betamethasone Cream</t>
  </si>
  <si>
    <t>Contact Dermatitis</t>
  </si>
  <si>
    <t>Betamethasone Ointment</t>
  </si>
  <si>
    <t>Mometasone Cream</t>
  </si>
  <si>
    <t xml:space="preserve">Mometasone Ointment </t>
  </si>
  <si>
    <t xml:space="preserve">Clobetasone Cream </t>
  </si>
  <si>
    <t xml:space="preserve">Clobetasone Ointment </t>
  </si>
  <si>
    <t xml:space="preserve">Hydrocortisone Cream </t>
  </si>
  <si>
    <t xml:space="preserve">Hydrocortisone Ointment </t>
  </si>
  <si>
    <t xml:space="preserve">Fucibet Cream </t>
  </si>
  <si>
    <t>2/0.1</t>
  </si>
  <si>
    <t xml:space="preserve">Eczema </t>
  </si>
  <si>
    <t>Ezcema</t>
  </si>
  <si>
    <t xml:space="preserve">Azelaic Acid Gel </t>
  </si>
  <si>
    <t>Rosacea</t>
  </si>
  <si>
    <t>Acne</t>
  </si>
  <si>
    <t xml:space="preserve">Metronidazole Gel </t>
  </si>
  <si>
    <t>Adapalene Gel</t>
  </si>
  <si>
    <t>Doxycycline Capsules</t>
  </si>
  <si>
    <t xml:space="preserve">Lymecycline Capsules </t>
  </si>
  <si>
    <t>Adapalene Cream </t>
  </si>
  <si>
    <t xml:space="preserve">Epiduo Gel </t>
  </si>
  <si>
    <t>0.1/2.5</t>
  </si>
  <si>
    <t>0.3/2.5</t>
  </si>
  <si>
    <t>Duac Gel</t>
  </si>
  <si>
    <t xml:space="preserve">Zineryt Lotion </t>
  </si>
  <si>
    <t>40/12</t>
  </si>
  <si>
    <t>Azelaic Acid Gel/Cream</t>
  </si>
  <si>
    <t>Adapalene Cream/Gel</t>
  </si>
  <si>
    <t>Epiduo Gel</t>
  </si>
  <si>
    <t xml:space="preserve">Diprosalic Ointment </t>
  </si>
  <si>
    <t>0.5/30</t>
  </si>
  <si>
    <t xml:space="preserve">Dovobet Ointment </t>
  </si>
  <si>
    <t>0.05/0,5</t>
  </si>
  <si>
    <t xml:space="preserve">Daktacort Cream </t>
  </si>
  <si>
    <t>Skin Infection</t>
  </si>
  <si>
    <t xml:space="preserve">Daktacort Ointment </t>
  </si>
  <si>
    <t>Canestan HC Cream </t>
  </si>
  <si>
    <t xml:space="preserve">Fucidic Acid Cream </t>
  </si>
  <si>
    <t xml:space="preserve">Fucidic Acid Ointment </t>
  </si>
  <si>
    <t>Fucidin HC Cream </t>
  </si>
  <si>
    <t xml:space="preserve">Bactroban Cream </t>
  </si>
  <si>
    <t xml:space="preserve">Bactroban Ointment </t>
  </si>
  <si>
    <t>Bactroban Nasal Ointment</t>
  </si>
  <si>
    <t xml:space="preserve">Flucloxacillin Capsules </t>
  </si>
  <si>
    <t xml:space="preserve">Aciclovir Tablets </t>
  </si>
  <si>
    <t>Cold Sore</t>
  </si>
  <si>
    <t>Clobetasol Cream</t>
  </si>
  <si>
    <t>Clobetasol Ointment</t>
  </si>
  <si>
    <t>Sumatriptan</t>
  </si>
  <si>
    <t>Migraine</t>
  </si>
  <si>
    <t>Rizatriptan</t>
  </si>
  <si>
    <t>Zolmitriptan</t>
  </si>
  <si>
    <t>Azithromycin</t>
  </si>
  <si>
    <t>Traveller's Diarrhoea</t>
  </si>
  <si>
    <t>Methodology</t>
  </si>
  <si>
    <t>Check all medication at quanity 1 and quantity max and check each strength, and check all tiers.</t>
  </si>
  <si>
    <t>Everything in the middle is left out, it is assumed the calculator will be more accurate than the spreadsheet if the above is working</t>
  </si>
  <si>
    <t>Priligy 60mg strength missing completely</t>
  </si>
  <si>
    <t>Emla Cream only comes in 5g and 30g, the calcultor has quantities in between, this is wrong as cream can not be split like tablets, because of this he has the wrong price for 30g, please look at the spreadhseet</t>
  </si>
  <si>
    <t>Medroxyprogesterone Tablets missing</t>
  </si>
  <si>
    <t>Yasmin Tablets - the strength has been turned into a date</t>
  </si>
  <si>
    <t>Evra Patch - pack size 9, is there twice in the drop down</t>
  </si>
  <si>
    <t>Naproxen - should be upto quantity 6, the spreashsherr only goes upto 4, the calculator correctly goes upto 6</t>
  </si>
  <si>
    <t>Naproxen - quantity issue, max 6 months for period pain, 3 months for pain relief conditions</t>
  </si>
  <si>
    <t>Many of the sales prices are off by a under £1 or £2, example Fexofenadine Tablets (quantity 6, 180mg), can you explain what formula he has used to calculate the price</t>
  </si>
  <si>
    <t>Olopatadine Eye Drops - complete;y missing</t>
  </si>
  <si>
    <t>Fluticasone Nasal Spray - completley missing</t>
  </si>
  <si>
    <t>Azelastine Nasal Spray - complelty missing</t>
  </si>
  <si>
    <t>Azelastine Eye Dropc- completely missing</t>
  </si>
  <si>
    <t>Piroxicam gel - doesn't make sense to offer multiples of 60g, as the bigger pack is much cheaper, not to look at what we are offering for this, probably best to do 60g, 112g, and 224g (2x 112g)</t>
  </si>
  <si>
    <t>Capasal Shampoo - completely missing</t>
  </si>
  <si>
    <t>Uniroid HC Suppositories - strength, gives 2 options of the same, should only be one, get rid of the second one that has come up as a date</t>
  </si>
  <si>
    <t>Uniroid HC Ointment - ointment version is missing from the calculator</t>
  </si>
  <si>
    <t>Scheriproct Suppositories -  strength, gives 2 options of the same, should only be one, get rid of the second one that has come up as a date</t>
  </si>
  <si>
    <t>Scheriproct Ointment - ointment is missing</t>
  </si>
  <si>
    <t>Proctosedyl Suppositories - suppository version missing</t>
  </si>
  <si>
    <t>Varenicline Initiation Pack - missing</t>
  </si>
  <si>
    <t>Varenicline Maintenance Pack - missing</t>
  </si>
  <si>
    <t>Hydrocortisone Cream - missing</t>
  </si>
  <si>
    <t>Hydrocortisone Ointment - missing</t>
  </si>
  <si>
    <t>Fucibet Cream - no price</t>
  </si>
  <si>
    <t>Adapalene Gel - missing</t>
  </si>
  <si>
    <t>Adapalene Cream - missing</t>
  </si>
  <si>
    <t>Duac gel - should only 2 strengths, some are coming up as date format</t>
  </si>
  <si>
    <t>Zineryt Lotion - missing</t>
  </si>
  <si>
    <t>Doxycycline Capsules - missing</t>
  </si>
  <si>
    <t>Diprosalic Ointment  - missing</t>
  </si>
  <si>
    <t>Daktacort Cream - missing</t>
  </si>
  <si>
    <t>Daktacort Ointment - missing</t>
  </si>
  <si>
    <t>Canestan HC Cream  - missing</t>
  </si>
  <si>
    <t>Fucidic Acid Cream - missing</t>
  </si>
  <si>
    <t>Fucidin HC Cream - missing</t>
  </si>
  <si>
    <t>Bactroban Ointment - missing</t>
  </si>
  <si>
    <t>Bactroban Nasal Ointment - missing</t>
  </si>
  <si>
    <t>Flucloxacillin Capsules - missing</t>
  </si>
  <si>
    <t>Aciclovir Tablets - we need to give the pricing (ashraf)</t>
  </si>
  <si>
    <t>Sumatriptan - missing</t>
  </si>
  <si>
    <t>Rizatriptan - missing</t>
  </si>
  <si>
    <t>Zolmitriptan - missing</t>
  </si>
  <si>
    <t>For us to review</t>
  </si>
  <si>
    <t>Notes</t>
  </si>
  <si>
    <t>Max quantity</t>
  </si>
  <si>
    <t>This defines the maximum that can bought in one go and the max amount allowed on a repeat prescription. The same medication may have different max amounts for different conditions. On the price list we have listed quantity upto the max amount, but it may be lower for a different condition. So we need the system not to display the option to buy a particular large quantity which is greater than the max for that condition.</t>
  </si>
  <si>
    <t>E.g. Naproxen may be ok for 6 months supply for Period pain (condition), but not appropriate for 6 months for Pain Relief (condition), if the patient is seeking this medicine for pain relief they should not have the option to buy the 6 month quantity, only 3 months should be the max option for them.</t>
  </si>
  <si>
    <t>Functionality on prescribor potal, shouldn't we give clinicians the ability to over ride it if neccessary? would this ever be needed?</t>
  </si>
  <si>
    <t>For fast service I think we should take a bigger cut as we are doing to the work, also need to build into the system the process for if it isn't in stock, I think it should be done manually, as the margin justifies it, the clinician should call the pharmacy to check if they have it in stock</t>
  </si>
  <si>
    <t>normally the higher the strenth the price goes up, our prices are the same</t>
  </si>
  <si>
    <t>subscription - I haven't reduced the quantity they can purchase, they can purchase upto the max of acute, but they just can't have it again for 3 months, the customer may want collect 3 months supply in one go, so we cant limit the first purchase to less than 3 month supply</t>
  </si>
  <si>
    <t>When a medication costs more than £4 (in the higher brackets), we add the difference accordingly to the final price, so if in the £8 bracket we charge another £4, if in the red bracket we charge the difference between the actual medication cost and £4 to the base price as £4 is already included</t>
  </si>
  <si>
    <t>Need to review pack sizes of expensive medication e.g. priligy, nobody is going to purchase a £200 pack, we don't make much extra money on it, better to limit it to smaller sizes on which our margin is better and cheaper for the patient</t>
  </si>
  <si>
    <t>For contraception we have to review the pricing, also I saw a a pharmacy who only gives 6 months supply, we seem to offer upto a year on some of them, need to make clear in product info how long each pack lasts, some have standard that covers for 2 months</t>
  </si>
  <si>
    <t>I think we need to rethink the pricing of the 2 hour service, it makes the numbers become strange with different quantities, I think we should make it a blanket £10 additional charge</t>
  </si>
  <si>
    <t>Promting to higher service: When a patient buys a single, we should at some point prompt then to ask if they want to sign up for a subscription or buy a larger quantity to cover a longer period. As well encourage link sales item. This would require some changes to front end sale journey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</si>
</sst>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
  </numFmts>
  <fonts count="14">
    <font>
      <sz val="11"/>
      <color theme="1"/>
      <name val="aptos narrow"/>
      <scheme val="minor"/>
    </font>
    <font>
      <b/>
      <sz val="11"/>
      <color theme="1"/>
      <name val="Arial"/>
      <family val="2"/>
    </font>
    <font>
      <b/>
      <sz val="11"/>
      <color theme="1"/>
      <name val="aptos narrow"/>
      <family val="2"/>
      <scheme val="minor"/>
    </font>
    <font>
      <b/>
      <sz val="11"/>
      <color theme="1"/>
      <name val="Arial"/>
      <family val="2"/>
    </font>
    <font>
      <b/>
      <sz val="11"/>
      <color theme="1"/>
      <name val="aptos narrow"/>
      <family val="2"/>
      <scheme val="minor"/>
    </font>
    <font>
      <b/>
      <sz val="11"/>
      <color theme="1"/>
      <name val="Aptos Narrow"/>
      <family val="2"/>
    </font>
    <font>
      <sz val="11"/>
      <color theme="1"/>
      <name val="Arial"/>
      <family val="2"/>
    </font>
    <font>
      <sz val="11"/>
      <color theme="1"/>
      <name val="Aptos Narrow"/>
      <family val="2"/>
    </font>
    <font>
      <sz val="11"/>
      <color theme="1"/>
      <name val="aptos narrow"/>
      <family val="2"/>
      <scheme val="minor"/>
    </font>
    <font>
      <sz val="11"/>
      <color theme="1"/>
      <name val="Arial"/>
      <family val="2"/>
    </font>
    <font>
      <sz val="11"/>
      <color rgb="FF000000"/>
      <name val="Arial"/>
      <family val="2"/>
    </font>
    <font>
      <sz val="11"/>
      <color rgb="FF1F1F1F"/>
      <name val="Arial"/>
      <family val="2"/>
    </font>
    <font>
      <sz val="9"/>
      <color rgb="FF1F1F1F"/>
      <name val="&quot;Google Sans&quot;"/>
    </font>
    <font>
      <sz val="11"/>
      <color rgb="FF000000"/>
      <name val="Calibri"/>
      <family val="2"/>
    </font>
  </fonts>
  <fills count="9">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F6C6AC"/>
        <bgColor rgb="FFF6C6AC"/>
      </patternFill>
    </fill>
    <fill>
      <patternFill patternType="solid">
        <fgColor rgb="FF92D050"/>
        <bgColor rgb="FF92D050"/>
      </patternFill>
    </fill>
    <fill>
      <patternFill patternType="solid">
        <fgColor rgb="FFFF0000"/>
        <bgColor rgb="FFFF0000"/>
      </patternFill>
    </fill>
    <fill>
      <patternFill patternType="solid">
        <fgColor theme="0"/>
        <bgColor theme="0"/>
      </patternFill>
    </fill>
    <fill>
      <patternFill patternType="solid">
        <fgColor rgb="FF00FFFF"/>
        <bgColor rgb="FF00FFFF"/>
      </patternFill>
    </fill>
  </fills>
  <borders count="3">
    <border>
      <left/>
      <right/>
      <top/>
      <bottom/>
      <diagonal/>
    </border>
    <border>
      <left/>
      <right/>
      <top/>
      <bottom/>
      <diagonal/>
    </border>
    <border>
      <left style="thin">
        <color rgb="FF000000"/>
      </left>
      <right/>
      <top/>
      <bottom/>
      <diagonal/>
    </border>
  </borders>
  <cellStyleXfs count="1">
    <xf numFmtId="0" fontId="0" fillId="0" borderId="0"/>
  </cellStyleXfs>
  <cellXfs count="79">
    <xf numFmtId="0" fontId="0" fillId="0" borderId="0" xfId="0"/>
    <xf numFmtId="0" fontId="1" fillId="0" borderId="0" xfId="0" applyFont="1"/>
    <xf numFmtId="0" fontId="2" fillId="0" borderId="0" xfId="0" applyFont="1"/>
    <xf numFmtId="0" fontId="3" fillId="0" borderId="0" xfId="0" applyFont="1"/>
    <xf numFmtId="0" fontId="1" fillId="2" borderId="0" xfId="0" applyFont="1" applyFill="1"/>
    <xf numFmtId="1" fontId="1" fillId="2" borderId="0" xfId="0" applyNumberFormat="1" applyFont="1" applyFill="1"/>
    <xf numFmtId="2" fontId="1" fillId="2" borderId="0" xfId="0" applyNumberFormat="1" applyFont="1" applyFill="1"/>
    <xf numFmtId="2" fontId="1" fillId="0" borderId="0" xfId="0" applyNumberFormat="1" applyFont="1"/>
    <xf numFmtId="2" fontId="1" fillId="3" borderId="1" xfId="0" applyNumberFormat="1" applyFont="1" applyFill="1" applyBorder="1"/>
    <xf numFmtId="0" fontId="4" fillId="0" borderId="0" xfId="0" applyFont="1"/>
    <xf numFmtId="0" fontId="3" fillId="0" borderId="0" xfId="0" applyFont="1" applyAlignment="1">
      <alignment horizontal="right"/>
    </xf>
    <xf numFmtId="0" fontId="5" fillId="0" borderId="0" xfId="0" applyFont="1"/>
    <xf numFmtId="0" fontId="5" fillId="3" borderId="1" xfId="0" applyFont="1" applyFill="1" applyBorder="1"/>
    <xf numFmtId="0" fontId="5" fillId="4" borderId="1" xfId="0" applyFont="1" applyFill="1" applyBorder="1"/>
    <xf numFmtId="0" fontId="1" fillId="3" borderId="1" xfId="0" applyFont="1" applyFill="1" applyBorder="1"/>
    <xf numFmtId="0" fontId="6" fillId="0" borderId="0" xfId="0" applyFont="1"/>
    <xf numFmtId="0" fontId="7" fillId="0" borderId="0" xfId="0" applyFont="1" applyAlignment="1">
      <alignment horizontal="left"/>
    </xf>
    <xf numFmtId="0" fontId="8" fillId="0" borderId="0" xfId="0" applyFont="1"/>
    <xf numFmtId="0" fontId="0" fillId="2" borderId="0" xfId="0" applyFill="1"/>
    <xf numFmtId="1" fontId="6" fillId="2" borderId="0" xfId="0" applyNumberFormat="1" applyFont="1" applyFill="1"/>
    <xf numFmtId="2" fontId="6" fillId="2" borderId="0" xfId="0" applyNumberFormat="1" applyFont="1" applyFill="1"/>
    <xf numFmtId="2" fontId="7" fillId="0" borderId="0" xfId="0" applyNumberFormat="1" applyFont="1"/>
    <xf numFmtId="2" fontId="6" fillId="0" borderId="0" xfId="0" applyNumberFormat="1" applyFont="1"/>
    <xf numFmtId="2" fontId="6" fillId="3" borderId="1" xfId="0" applyNumberFormat="1" applyFont="1" applyFill="1" applyBorder="1"/>
    <xf numFmtId="0" fontId="9" fillId="2" borderId="0" xfId="0" applyFont="1" applyFill="1"/>
    <xf numFmtId="0" fontId="9" fillId="0" borderId="0" xfId="0" applyFont="1" applyAlignment="1">
      <alignment horizontal="right"/>
    </xf>
    <xf numFmtId="2" fontId="7" fillId="3" borderId="1" xfId="0" applyNumberFormat="1" applyFont="1" applyFill="1" applyBorder="1"/>
    <xf numFmtId="2" fontId="7" fillId="4" borderId="1" xfId="0" applyNumberFormat="1" applyFont="1" applyFill="1" applyBorder="1"/>
    <xf numFmtId="0" fontId="9" fillId="0" borderId="0" xfId="0" applyFont="1"/>
    <xf numFmtId="1" fontId="9" fillId="0" borderId="0" xfId="0" applyNumberFormat="1" applyFont="1"/>
    <xf numFmtId="0" fontId="8" fillId="2" borderId="0" xfId="0" applyFont="1" applyFill="1"/>
    <xf numFmtId="2" fontId="7" fillId="5" borderId="1" xfId="0" applyNumberFormat="1" applyFont="1" applyFill="1" applyBorder="1"/>
    <xf numFmtId="0" fontId="7" fillId="0" borderId="0" xfId="0" applyFont="1"/>
    <xf numFmtId="0" fontId="7" fillId="2" borderId="0" xfId="0" applyFont="1" applyFill="1"/>
    <xf numFmtId="2" fontId="7" fillId="6" borderId="1" xfId="0" applyNumberFormat="1" applyFont="1" applyFill="1" applyBorder="1"/>
    <xf numFmtId="0" fontId="6" fillId="0" borderId="0" xfId="0" applyFont="1" applyAlignment="1">
      <alignment horizontal="left"/>
    </xf>
    <xf numFmtId="1" fontId="6" fillId="0" borderId="0" xfId="0" applyNumberFormat="1" applyFont="1"/>
    <xf numFmtId="0" fontId="7" fillId="6" borderId="1" xfId="0" applyFont="1" applyFill="1" applyBorder="1"/>
    <xf numFmtId="0" fontId="6" fillId="2" borderId="0" xfId="0" applyFont="1" applyFill="1"/>
    <xf numFmtId="0" fontId="7" fillId="3" borderId="1" xfId="0" applyFont="1" applyFill="1" applyBorder="1"/>
    <xf numFmtId="0" fontId="7" fillId="5" borderId="1" xfId="0" applyFont="1" applyFill="1" applyBorder="1"/>
    <xf numFmtId="164" fontId="6" fillId="0" borderId="0" xfId="0" applyNumberFormat="1" applyFont="1" applyAlignment="1">
      <alignment horizontal="left"/>
    </xf>
    <xf numFmtId="0" fontId="1" fillId="0" borderId="0" xfId="0" applyFont="1" applyAlignment="1">
      <alignment horizontal="right"/>
    </xf>
    <xf numFmtId="0" fontId="9" fillId="0" borderId="0" xfId="0" applyFont="1" applyAlignment="1">
      <alignment horizontal="left"/>
    </xf>
    <xf numFmtId="0" fontId="6" fillId="0" borderId="0" xfId="0" applyFont="1" applyAlignment="1">
      <alignment horizontal="right"/>
    </xf>
    <xf numFmtId="0" fontId="11" fillId="0" borderId="0" xfId="0" applyFont="1"/>
    <xf numFmtId="0" fontId="6" fillId="7" borderId="0" xfId="0" applyFont="1" applyFill="1"/>
    <xf numFmtId="49" fontId="6" fillId="0" borderId="0" xfId="0" applyNumberFormat="1" applyFont="1" applyAlignment="1">
      <alignment horizontal="left"/>
    </xf>
    <xf numFmtId="2" fontId="7" fillId="0" borderId="1" xfId="0" applyNumberFormat="1" applyFont="1" applyBorder="1"/>
    <xf numFmtId="0" fontId="6" fillId="3" borderId="1" xfId="0" applyFont="1" applyFill="1" applyBorder="1"/>
    <xf numFmtId="0" fontId="6" fillId="6" borderId="1" xfId="0" applyFont="1" applyFill="1" applyBorder="1"/>
    <xf numFmtId="0" fontId="6" fillId="8" borderId="0" xfId="0" applyFont="1" applyFill="1"/>
    <xf numFmtId="1" fontId="7" fillId="2" borderId="0" xfId="0" applyNumberFormat="1" applyFont="1" applyFill="1"/>
    <xf numFmtId="0" fontId="8" fillId="0" borderId="0" xfId="0" applyFont="1" applyAlignment="1">
      <alignment horizontal="right"/>
    </xf>
    <xf numFmtId="0" fontId="6" fillId="8" borderId="0" xfId="0" applyFont="1" applyFill="1" applyAlignment="1">
      <alignment vertical="center" wrapText="1"/>
    </xf>
    <xf numFmtId="0" fontId="6" fillId="6" borderId="0" xfId="0" applyFont="1" applyFill="1"/>
    <xf numFmtId="164" fontId="6" fillId="6" borderId="0" xfId="0" applyNumberFormat="1" applyFont="1" applyFill="1" applyAlignment="1">
      <alignment horizontal="left"/>
    </xf>
    <xf numFmtId="0" fontId="8" fillId="6" borderId="0" xfId="0" applyFont="1" applyFill="1"/>
    <xf numFmtId="1" fontId="6" fillId="6" borderId="0" xfId="0" applyNumberFormat="1" applyFont="1" applyFill="1"/>
    <xf numFmtId="0" fontId="7" fillId="6" borderId="0" xfId="0" applyFont="1" applyFill="1"/>
    <xf numFmtId="0" fontId="9" fillId="6" borderId="0" xfId="0" applyFont="1" applyFill="1" applyAlignment="1">
      <alignment horizontal="right"/>
    </xf>
    <xf numFmtId="4" fontId="7" fillId="0" borderId="0" xfId="0" applyNumberFormat="1" applyFont="1"/>
    <xf numFmtId="4" fontId="7" fillId="3" borderId="1" xfId="0" applyNumberFormat="1" applyFont="1" applyFill="1" applyBorder="1"/>
    <xf numFmtId="4" fontId="7" fillId="6" borderId="1" xfId="0" applyNumberFormat="1" applyFont="1" applyFill="1" applyBorder="1"/>
    <xf numFmtId="4" fontId="9" fillId="0" borderId="0" xfId="0" applyNumberFormat="1" applyFont="1"/>
    <xf numFmtId="2" fontId="5" fillId="0" borderId="0" xfId="0" applyNumberFormat="1" applyFont="1"/>
    <xf numFmtId="1" fontId="8" fillId="2" borderId="0" xfId="0" applyNumberFormat="1" applyFont="1" applyFill="1"/>
    <xf numFmtId="0" fontId="12" fillId="2" borderId="0" xfId="0" applyFont="1" applyFill="1"/>
    <xf numFmtId="0" fontId="13" fillId="6" borderId="0" xfId="0" applyFont="1" applyFill="1"/>
    <xf numFmtId="0" fontId="10" fillId="0" borderId="0" xfId="0" applyFont="1" applyAlignment="1">
      <alignment vertical="center" wrapText="1"/>
    </xf>
    <xf numFmtId="0" fontId="6" fillId="0" borderId="2" xfId="0" applyFont="1" applyBorder="1"/>
    <xf numFmtId="0" fontId="11" fillId="0" borderId="2" xfId="0" applyFont="1" applyBorder="1"/>
    <xf numFmtId="0" fontId="6" fillId="7" borderId="2" xfId="0" applyFont="1" applyFill="1" applyBorder="1"/>
    <xf numFmtId="0" fontId="6" fillId="2" borderId="2" xfId="0" applyFont="1" applyFill="1" applyBorder="1"/>
    <xf numFmtId="0" fontId="6" fillId="0" borderId="0" xfId="0" applyFont="1" applyBorder="1"/>
    <xf numFmtId="0" fontId="6" fillId="8" borderId="2" xfId="0" applyFont="1" applyFill="1" applyBorder="1" applyAlignment="1">
      <alignment vertical="center" wrapText="1"/>
    </xf>
    <xf numFmtId="0" fontId="11" fillId="0" borderId="0" xfId="0" applyFont="1" applyBorder="1"/>
    <xf numFmtId="0" fontId="6" fillId="7" borderId="0" xfId="0" applyFont="1" applyFill="1" applyBorder="1"/>
    <xf numFmtId="0" fontId="6" fillId="2" borderId="0"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924"/>
  <sheetViews>
    <sheetView workbookViewId="0">
      <pane ySplit="1" topLeftCell="A96" activePane="bottomLeft" state="frozen"/>
      <selection pane="bottomLeft" activeCell="A2" sqref="A2:XFD111"/>
    </sheetView>
  </sheetViews>
  <sheetFormatPr defaultColWidth="12.6640625" defaultRowHeight="15" customHeight="1"/>
  <cols>
    <col min="1" max="1" width="31" customWidth="1"/>
    <col min="2" max="2" width="8.44140625" customWidth="1"/>
    <col min="3" max="3" width="5.109375" customWidth="1"/>
    <col min="4" max="4" width="6.88671875" customWidth="1"/>
    <col min="5" max="5" width="13.44140625" customWidth="1"/>
    <col min="6" max="6" width="9.21875" customWidth="1"/>
    <col min="7" max="7" width="8.21875" customWidth="1"/>
    <col min="8" max="8" width="6.6640625" customWidth="1"/>
    <col min="9" max="9" width="11.109375" customWidth="1"/>
    <col min="10" max="10" width="79.109375" customWidth="1"/>
    <col min="11" max="11" width="43.6640625" customWidth="1"/>
    <col min="12" max="12" width="11.109375" customWidth="1"/>
    <col min="13" max="13" width="27.44140625" customWidth="1"/>
    <col min="14" max="14" width="15" customWidth="1"/>
    <col min="15" max="15" width="23.88671875" customWidth="1"/>
    <col min="16" max="16" width="16.6640625" customWidth="1"/>
    <col min="17" max="17" width="17.88671875" customWidth="1"/>
    <col min="18" max="18" width="14.6640625" customWidth="1"/>
    <col min="19" max="19" width="18.44140625" customWidth="1"/>
    <col min="20" max="21" width="14.6640625" customWidth="1"/>
    <col min="22" max="22" width="21" customWidth="1"/>
    <col min="23" max="23" width="16.77734375" customWidth="1"/>
    <col min="24" max="24" width="12.88671875" customWidth="1"/>
    <col min="25" max="25" width="13.6640625" customWidth="1"/>
    <col min="26" max="26" width="12" customWidth="1"/>
    <col min="27" max="27" width="12.77734375" customWidth="1"/>
    <col min="28" max="28" width="35.33203125" customWidth="1"/>
    <col min="29" max="29" width="41.109375" customWidth="1"/>
    <col min="30" max="30" width="23" customWidth="1"/>
    <col min="31" max="31" width="8.6640625" customWidth="1"/>
    <col min="32" max="32" width="22.109375" customWidth="1"/>
    <col min="33" max="33" width="21.77734375" customWidth="1"/>
    <col min="34" max="35" width="8.6640625" customWidth="1"/>
    <col min="36" max="36" width="13.21875" customWidth="1"/>
    <col min="37" max="37" width="27.109375" customWidth="1"/>
    <col min="38" max="38" width="26.44140625" customWidth="1"/>
    <col min="39" max="39" width="25.33203125" customWidth="1"/>
    <col min="40" max="40" width="27.6640625" customWidth="1"/>
    <col min="41" max="41" width="26.44140625" customWidth="1"/>
    <col min="42" max="42" width="16.77734375" customWidth="1"/>
  </cols>
  <sheetData>
    <row r="1" spans="1:42" ht="39.75" customHeight="1">
      <c r="A1" s="1" t="s">
        <v>0</v>
      </c>
      <c r="B1" s="2" t="s">
        <v>1</v>
      </c>
      <c r="C1" s="3" t="s">
        <v>2</v>
      </c>
      <c r="D1" s="1" t="s">
        <v>3</v>
      </c>
      <c r="E1" s="4" t="s">
        <v>4</v>
      </c>
      <c r="F1" s="3" t="s">
        <v>5</v>
      </c>
      <c r="G1" s="5" t="s">
        <v>6</v>
      </c>
      <c r="H1" s="5" t="s">
        <v>7</v>
      </c>
      <c r="I1" s="6" t="s">
        <v>2</v>
      </c>
      <c r="J1" s="7" t="s">
        <v>8</v>
      </c>
      <c r="K1" s="7" t="s">
        <v>9</v>
      </c>
      <c r="L1" s="8" t="s">
        <v>10</v>
      </c>
      <c r="M1" s="9" t="s">
        <v>11</v>
      </c>
      <c r="N1" s="3" t="s">
        <v>12</v>
      </c>
      <c r="O1" s="10" t="s">
        <v>13</v>
      </c>
      <c r="P1" s="2" t="s">
        <v>14</v>
      </c>
      <c r="Q1" s="3" t="s">
        <v>15</v>
      </c>
      <c r="R1" s="3" t="s">
        <v>16</v>
      </c>
      <c r="S1" s="2" t="s">
        <v>17</v>
      </c>
      <c r="T1" s="3" t="s">
        <v>18</v>
      </c>
      <c r="U1" s="3" t="s">
        <v>19</v>
      </c>
      <c r="V1" s="1" t="s">
        <v>20</v>
      </c>
      <c r="W1" s="3" t="s">
        <v>21</v>
      </c>
      <c r="X1" s="11" t="s">
        <v>22</v>
      </c>
      <c r="Y1" s="11" t="s">
        <v>23</v>
      </c>
      <c r="Z1" s="11" t="s">
        <v>24</v>
      </c>
      <c r="AA1" s="1" t="s">
        <v>25</v>
      </c>
      <c r="AB1" s="12" t="s">
        <v>26</v>
      </c>
      <c r="AC1" s="13" t="s">
        <v>27</v>
      </c>
      <c r="AD1" s="12" t="s">
        <v>28</v>
      </c>
      <c r="AE1" s="13" t="s">
        <v>29</v>
      </c>
      <c r="AF1" s="12" t="s">
        <v>30</v>
      </c>
      <c r="AG1" s="13" t="s">
        <v>31</v>
      </c>
      <c r="AH1" s="12" t="s">
        <v>32</v>
      </c>
      <c r="AI1" s="13" t="s">
        <v>33</v>
      </c>
      <c r="AJ1" s="14" t="s">
        <v>34</v>
      </c>
      <c r="AK1" s="9" t="s">
        <v>35</v>
      </c>
      <c r="AL1" s="9" t="s">
        <v>36</v>
      </c>
      <c r="AM1" s="1" t="s">
        <v>37</v>
      </c>
      <c r="AN1" s="1" t="s">
        <v>38</v>
      </c>
      <c r="AO1" s="1"/>
      <c r="AP1" s="1"/>
    </row>
    <row r="2" spans="1:42" ht="14.25" customHeight="1">
      <c r="A2" s="15" t="s">
        <v>39</v>
      </c>
      <c r="B2" s="16">
        <v>25</v>
      </c>
      <c r="C2" s="17" t="s">
        <v>40</v>
      </c>
      <c r="D2" s="15" t="s">
        <v>41</v>
      </c>
      <c r="E2" s="18" t="s">
        <v>42</v>
      </c>
      <c r="F2" s="17">
        <v>4</v>
      </c>
      <c r="G2" s="19">
        <v>1</v>
      </c>
      <c r="H2" s="19">
        <f t="shared" ref="H2:H33" si="0">F2*G2</f>
        <v>4</v>
      </c>
      <c r="I2" s="20" t="s">
        <v>42</v>
      </c>
      <c r="J2" s="21" t="s">
        <v>43</v>
      </c>
      <c r="K2" s="22"/>
      <c r="L2" s="23">
        <v>0.24</v>
      </c>
      <c r="M2" t="s">
        <v>44</v>
      </c>
      <c r="N2" s="24">
        <v>38</v>
      </c>
      <c r="O2" s="25">
        <v>84</v>
      </c>
      <c r="U2" s="21"/>
      <c r="V2" s="21">
        <v>4</v>
      </c>
      <c r="W2" s="21">
        <v>5</v>
      </c>
      <c r="X2" s="22">
        <v>20</v>
      </c>
      <c r="Y2" s="22">
        <v>24</v>
      </c>
      <c r="Z2" s="22">
        <v>28</v>
      </c>
      <c r="AA2" s="22">
        <v>39</v>
      </c>
      <c r="AB2" s="26">
        <f t="shared" ref="AB2:AB33" si="1">W2+(X2-V2-W2)*0.3</f>
        <v>8.3000000000000007</v>
      </c>
      <c r="AC2" s="27">
        <f t="shared" ref="AC2:AC33" si="2">(X2-V2-W2)*0.7</f>
        <v>7.6999999999999993</v>
      </c>
      <c r="AD2" s="26">
        <f t="shared" ref="AD2:AD33" si="3">W2+(Y2-V2-W2)*0.3</f>
        <v>9.5</v>
      </c>
      <c r="AE2" s="27">
        <f t="shared" ref="AE2:AE33" si="4">(Y2-V2-W2)*0.7</f>
        <v>10.5</v>
      </c>
      <c r="AF2" s="26">
        <f t="shared" ref="AF2:AF33" si="5">W2+(Z2-V2-W2)*0.3</f>
        <v>10.7</v>
      </c>
      <c r="AG2" s="27">
        <f t="shared" ref="AG2:AG33" si="6">(Z2-V2-W2)*0.7</f>
        <v>13.299999999999999</v>
      </c>
      <c r="AH2" s="26">
        <f t="shared" ref="AH2:AH33" si="7">W2+(AA2-V2-W2)*0.3</f>
        <v>14</v>
      </c>
      <c r="AI2" s="27">
        <f t="shared" ref="AI2:AI33" si="8">(AA2-V2-W2)*0.7</f>
        <v>21</v>
      </c>
      <c r="AJ2" s="28" t="s">
        <v>45</v>
      </c>
      <c r="AK2" s="15" t="s">
        <v>46</v>
      </c>
    </row>
    <row r="3" spans="1:42" ht="14.25" customHeight="1">
      <c r="A3" s="15" t="s">
        <v>39</v>
      </c>
      <c r="B3" s="16">
        <v>50</v>
      </c>
      <c r="C3" s="17" t="s">
        <v>40</v>
      </c>
      <c r="D3" s="15" t="s">
        <v>41</v>
      </c>
      <c r="E3" s="18" t="s">
        <v>42</v>
      </c>
      <c r="F3" s="17">
        <v>4</v>
      </c>
      <c r="G3" s="19">
        <v>1</v>
      </c>
      <c r="H3" s="19">
        <f t="shared" si="0"/>
        <v>4</v>
      </c>
      <c r="I3" s="20" t="s">
        <v>42</v>
      </c>
      <c r="J3" s="21" t="s">
        <v>43</v>
      </c>
      <c r="K3" s="22"/>
      <c r="L3" s="23">
        <v>0.28000000000000003</v>
      </c>
      <c r="M3" t="s">
        <v>44</v>
      </c>
      <c r="N3" s="24">
        <v>38</v>
      </c>
      <c r="O3" s="25">
        <v>84</v>
      </c>
      <c r="U3" s="21"/>
      <c r="V3" s="21">
        <v>4</v>
      </c>
      <c r="W3" s="21">
        <v>5</v>
      </c>
      <c r="X3" s="22">
        <v>20</v>
      </c>
      <c r="Y3" s="21">
        <v>24</v>
      </c>
      <c r="Z3" s="21">
        <v>28</v>
      </c>
      <c r="AA3" s="21">
        <v>39</v>
      </c>
      <c r="AB3" s="26">
        <f t="shared" si="1"/>
        <v>8.3000000000000007</v>
      </c>
      <c r="AC3" s="27">
        <f t="shared" si="2"/>
        <v>7.6999999999999993</v>
      </c>
      <c r="AD3" s="26">
        <f t="shared" si="3"/>
        <v>9.5</v>
      </c>
      <c r="AE3" s="27">
        <f t="shared" si="4"/>
        <v>10.5</v>
      </c>
      <c r="AF3" s="26">
        <f t="shared" si="5"/>
        <v>10.7</v>
      </c>
      <c r="AG3" s="27">
        <f t="shared" si="6"/>
        <v>13.299999999999999</v>
      </c>
      <c r="AH3" s="26">
        <f t="shared" si="7"/>
        <v>14</v>
      </c>
      <c r="AI3" s="27">
        <f t="shared" si="8"/>
        <v>21</v>
      </c>
      <c r="AJ3" s="28" t="s">
        <v>45</v>
      </c>
      <c r="AK3" s="15" t="s">
        <v>46</v>
      </c>
    </row>
    <row r="4" spans="1:42" ht="14.25" customHeight="1">
      <c r="A4" s="15" t="s">
        <v>39</v>
      </c>
      <c r="B4" s="16">
        <v>100</v>
      </c>
      <c r="C4" s="17" t="s">
        <v>40</v>
      </c>
      <c r="D4" s="15" t="s">
        <v>41</v>
      </c>
      <c r="E4" s="18" t="s">
        <v>42</v>
      </c>
      <c r="F4" s="17">
        <v>4</v>
      </c>
      <c r="G4" s="19">
        <v>1</v>
      </c>
      <c r="H4" s="19">
        <f t="shared" si="0"/>
        <v>4</v>
      </c>
      <c r="I4" s="20" t="s">
        <v>42</v>
      </c>
      <c r="J4" s="21" t="s">
        <v>43</v>
      </c>
      <c r="K4" s="22"/>
      <c r="L4" s="23">
        <v>0.26</v>
      </c>
      <c r="M4" t="s">
        <v>44</v>
      </c>
      <c r="N4" s="24">
        <v>38</v>
      </c>
      <c r="O4" s="25">
        <v>84</v>
      </c>
      <c r="U4" s="21"/>
      <c r="V4" s="21">
        <v>4</v>
      </c>
      <c r="W4" s="21">
        <v>5</v>
      </c>
      <c r="X4" s="21">
        <v>20</v>
      </c>
      <c r="Y4" s="21">
        <v>24</v>
      </c>
      <c r="Z4" s="21">
        <v>28</v>
      </c>
      <c r="AA4" s="21">
        <v>39</v>
      </c>
      <c r="AB4" s="26">
        <f t="shared" si="1"/>
        <v>8.3000000000000007</v>
      </c>
      <c r="AC4" s="27">
        <f t="shared" si="2"/>
        <v>7.6999999999999993</v>
      </c>
      <c r="AD4" s="26">
        <f t="shared" si="3"/>
        <v>9.5</v>
      </c>
      <c r="AE4" s="27">
        <f t="shared" si="4"/>
        <v>10.5</v>
      </c>
      <c r="AF4" s="26">
        <f t="shared" si="5"/>
        <v>10.7</v>
      </c>
      <c r="AG4" s="27">
        <f t="shared" si="6"/>
        <v>13.299999999999999</v>
      </c>
      <c r="AH4" s="26">
        <f t="shared" si="7"/>
        <v>14</v>
      </c>
      <c r="AI4" s="27">
        <f t="shared" si="8"/>
        <v>21</v>
      </c>
      <c r="AJ4" s="28" t="s">
        <v>45</v>
      </c>
      <c r="AK4" s="15" t="s">
        <v>46</v>
      </c>
    </row>
    <row r="5" spans="1:42" ht="14.25" customHeight="1">
      <c r="A5" s="69" t="s">
        <v>47</v>
      </c>
      <c r="B5" s="16">
        <v>2.5</v>
      </c>
      <c r="C5" s="17" t="s">
        <v>40</v>
      </c>
      <c r="D5" s="15" t="s">
        <v>41</v>
      </c>
      <c r="E5" s="18" t="s">
        <v>42</v>
      </c>
      <c r="F5" s="28">
        <v>28</v>
      </c>
      <c r="G5" s="19">
        <v>1</v>
      </c>
      <c r="H5" s="19">
        <f t="shared" si="0"/>
        <v>28</v>
      </c>
      <c r="I5" s="20" t="s">
        <v>42</v>
      </c>
      <c r="J5" s="21" t="s">
        <v>48</v>
      </c>
      <c r="K5" s="22"/>
      <c r="L5" s="23">
        <v>0.27</v>
      </c>
      <c r="M5" t="s">
        <v>44</v>
      </c>
      <c r="N5" s="30">
        <v>112</v>
      </c>
      <c r="O5" s="25">
        <v>84</v>
      </c>
      <c r="U5" s="21"/>
      <c r="V5" s="22">
        <v>4</v>
      </c>
      <c r="W5" s="22">
        <v>5</v>
      </c>
      <c r="X5" s="22">
        <v>20</v>
      </c>
      <c r="Y5" s="22">
        <v>24</v>
      </c>
      <c r="Z5" s="22">
        <v>28</v>
      </c>
      <c r="AA5" s="22">
        <v>39</v>
      </c>
      <c r="AB5" s="26">
        <f t="shared" si="1"/>
        <v>8.3000000000000007</v>
      </c>
      <c r="AC5" s="27">
        <f t="shared" si="2"/>
        <v>7.6999999999999993</v>
      </c>
      <c r="AD5" s="26">
        <f t="shared" si="3"/>
        <v>9.5</v>
      </c>
      <c r="AE5" s="27">
        <f t="shared" si="4"/>
        <v>10.5</v>
      </c>
      <c r="AF5" s="26">
        <f t="shared" si="5"/>
        <v>10.7</v>
      </c>
      <c r="AG5" s="27">
        <f t="shared" si="6"/>
        <v>13.299999999999999</v>
      </c>
      <c r="AH5" s="26">
        <f t="shared" si="7"/>
        <v>14</v>
      </c>
      <c r="AI5" s="27">
        <f t="shared" si="8"/>
        <v>21</v>
      </c>
      <c r="AJ5" s="28" t="s">
        <v>45</v>
      </c>
      <c r="AK5" s="15" t="s">
        <v>46</v>
      </c>
    </row>
    <row r="6" spans="1:42" ht="14.25" customHeight="1">
      <c r="A6" s="69" t="s">
        <v>47</v>
      </c>
      <c r="B6" s="16">
        <v>5</v>
      </c>
      <c r="C6" s="17" t="s">
        <v>40</v>
      </c>
      <c r="D6" s="15" t="s">
        <v>41</v>
      </c>
      <c r="E6" s="18" t="s">
        <v>42</v>
      </c>
      <c r="F6" s="17">
        <v>28</v>
      </c>
      <c r="G6" s="19">
        <v>1</v>
      </c>
      <c r="H6" s="19">
        <f t="shared" si="0"/>
        <v>28</v>
      </c>
      <c r="I6" s="20" t="s">
        <v>42</v>
      </c>
      <c r="J6" s="21" t="s">
        <v>48</v>
      </c>
      <c r="K6" s="21"/>
      <c r="L6" s="26">
        <v>0.27</v>
      </c>
      <c r="M6" t="s">
        <v>44</v>
      </c>
      <c r="N6" s="30">
        <v>112</v>
      </c>
      <c r="O6" s="25">
        <v>84</v>
      </c>
      <c r="U6" s="21"/>
      <c r="V6" s="21">
        <v>4</v>
      </c>
      <c r="W6" s="21">
        <v>5</v>
      </c>
      <c r="X6" s="21">
        <v>20</v>
      </c>
      <c r="Y6" s="21">
        <v>24</v>
      </c>
      <c r="Z6" s="21">
        <v>28</v>
      </c>
      <c r="AA6" s="21">
        <v>39</v>
      </c>
      <c r="AB6" s="26">
        <f t="shared" si="1"/>
        <v>8.3000000000000007</v>
      </c>
      <c r="AC6" s="27">
        <f t="shared" si="2"/>
        <v>7.6999999999999993</v>
      </c>
      <c r="AD6" s="26">
        <f t="shared" si="3"/>
        <v>9.5</v>
      </c>
      <c r="AE6" s="27">
        <f t="shared" si="4"/>
        <v>10.5</v>
      </c>
      <c r="AF6" s="26">
        <f t="shared" si="5"/>
        <v>10.7</v>
      </c>
      <c r="AG6" s="27">
        <f t="shared" si="6"/>
        <v>13.299999999999999</v>
      </c>
      <c r="AH6" s="26">
        <f t="shared" si="7"/>
        <v>14</v>
      </c>
      <c r="AI6" s="27">
        <f t="shared" si="8"/>
        <v>21</v>
      </c>
      <c r="AJ6" s="28" t="s">
        <v>45</v>
      </c>
      <c r="AK6" s="15" t="s">
        <v>46</v>
      </c>
    </row>
    <row r="7" spans="1:42" ht="14.25" customHeight="1">
      <c r="A7" s="69" t="s">
        <v>47</v>
      </c>
      <c r="B7" s="16">
        <v>10</v>
      </c>
      <c r="C7" s="17" t="s">
        <v>40</v>
      </c>
      <c r="D7" s="15" t="s">
        <v>41</v>
      </c>
      <c r="E7" s="18" t="s">
        <v>42</v>
      </c>
      <c r="F7" s="17">
        <v>4</v>
      </c>
      <c r="G7" s="19">
        <v>1</v>
      </c>
      <c r="H7" s="19">
        <f t="shared" si="0"/>
        <v>4</v>
      </c>
      <c r="I7" s="20" t="s">
        <v>42</v>
      </c>
      <c r="J7" s="22" t="s">
        <v>49</v>
      </c>
      <c r="K7" s="21"/>
      <c r="L7" s="26">
        <v>0.27</v>
      </c>
      <c r="M7" t="s">
        <v>44</v>
      </c>
      <c r="N7" s="28">
        <v>38</v>
      </c>
      <c r="O7" s="25">
        <v>84</v>
      </c>
      <c r="U7" s="21"/>
      <c r="V7" s="21">
        <v>4</v>
      </c>
      <c r="W7" s="21">
        <v>5</v>
      </c>
      <c r="X7" s="21">
        <v>20</v>
      </c>
      <c r="Y7" s="21">
        <v>24</v>
      </c>
      <c r="Z7" s="21">
        <v>28</v>
      </c>
      <c r="AA7" s="21">
        <v>39</v>
      </c>
      <c r="AB7" s="26">
        <f t="shared" si="1"/>
        <v>8.3000000000000007</v>
      </c>
      <c r="AC7" s="27">
        <f t="shared" si="2"/>
        <v>7.6999999999999993</v>
      </c>
      <c r="AD7" s="26">
        <f t="shared" si="3"/>
        <v>9.5</v>
      </c>
      <c r="AE7" s="27">
        <f t="shared" si="4"/>
        <v>10.5</v>
      </c>
      <c r="AF7" s="26">
        <f t="shared" si="5"/>
        <v>10.7</v>
      </c>
      <c r="AG7" s="27">
        <f t="shared" si="6"/>
        <v>13.299999999999999</v>
      </c>
      <c r="AH7" s="26">
        <f t="shared" si="7"/>
        <v>14</v>
      </c>
      <c r="AI7" s="27">
        <f t="shared" si="8"/>
        <v>21</v>
      </c>
      <c r="AJ7" s="28" t="s">
        <v>45</v>
      </c>
      <c r="AK7" s="15" t="s">
        <v>46</v>
      </c>
    </row>
    <row r="8" spans="1:42" ht="14.25" customHeight="1">
      <c r="A8" s="69" t="s">
        <v>47</v>
      </c>
      <c r="B8" s="16">
        <v>20</v>
      </c>
      <c r="C8" s="17" t="s">
        <v>40</v>
      </c>
      <c r="D8" s="15" t="s">
        <v>41</v>
      </c>
      <c r="E8" s="18" t="s">
        <v>42</v>
      </c>
      <c r="F8" s="17">
        <v>4</v>
      </c>
      <c r="G8" s="19">
        <v>1</v>
      </c>
      <c r="H8" s="19">
        <f t="shared" si="0"/>
        <v>4</v>
      </c>
      <c r="I8" s="20" t="s">
        <v>42</v>
      </c>
      <c r="J8" s="22" t="s">
        <v>49</v>
      </c>
      <c r="K8" s="21"/>
      <c r="L8" s="26">
        <v>0.27</v>
      </c>
      <c r="M8" t="s">
        <v>44</v>
      </c>
      <c r="N8" s="28">
        <v>38</v>
      </c>
      <c r="O8" s="25">
        <v>84</v>
      </c>
      <c r="U8" s="21"/>
      <c r="V8" s="21">
        <v>4</v>
      </c>
      <c r="W8" s="21">
        <v>5</v>
      </c>
      <c r="X8" s="21">
        <v>20</v>
      </c>
      <c r="Y8" s="21">
        <v>24</v>
      </c>
      <c r="Z8" s="21">
        <v>28</v>
      </c>
      <c r="AA8" s="21">
        <v>39</v>
      </c>
      <c r="AB8" s="26">
        <f t="shared" si="1"/>
        <v>8.3000000000000007</v>
      </c>
      <c r="AC8" s="27">
        <f t="shared" si="2"/>
        <v>7.6999999999999993</v>
      </c>
      <c r="AD8" s="26">
        <f t="shared" si="3"/>
        <v>9.5</v>
      </c>
      <c r="AE8" s="27">
        <f t="shared" si="4"/>
        <v>10.5</v>
      </c>
      <c r="AF8" s="26">
        <f t="shared" si="5"/>
        <v>10.7</v>
      </c>
      <c r="AG8" s="27">
        <f t="shared" si="6"/>
        <v>13.299999999999999</v>
      </c>
      <c r="AH8" s="26">
        <f t="shared" si="7"/>
        <v>14</v>
      </c>
      <c r="AI8" s="27">
        <f t="shared" si="8"/>
        <v>21</v>
      </c>
      <c r="AJ8" s="28" t="s">
        <v>45</v>
      </c>
      <c r="AK8" s="15" t="s">
        <v>46</v>
      </c>
    </row>
    <row r="9" spans="1:42" ht="14.25" customHeight="1">
      <c r="A9" s="15" t="s">
        <v>50</v>
      </c>
      <c r="B9" s="16">
        <v>10</v>
      </c>
      <c r="C9" s="17" t="s">
        <v>40</v>
      </c>
      <c r="D9" s="15" t="s">
        <v>41</v>
      </c>
      <c r="E9" s="18" t="s">
        <v>42</v>
      </c>
      <c r="F9" s="17">
        <v>4</v>
      </c>
      <c r="G9" s="19">
        <v>1</v>
      </c>
      <c r="H9" s="19">
        <f t="shared" si="0"/>
        <v>4</v>
      </c>
      <c r="I9" s="20" t="s">
        <v>42</v>
      </c>
      <c r="J9" s="21" t="s">
        <v>43</v>
      </c>
      <c r="K9" s="21"/>
      <c r="L9" s="26">
        <v>0.9</v>
      </c>
      <c r="M9" t="s">
        <v>44</v>
      </c>
      <c r="N9" s="28">
        <v>38</v>
      </c>
      <c r="O9" s="25">
        <v>84</v>
      </c>
      <c r="U9" s="21"/>
      <c r="V9" s="21">
        <v>4</v>
      </c>
      <c r="W9" s="21">
        <v>5</v>
      </c>
      <c r="X9" s="21">
        <v>20</v>
      </c>
      <c r="Y9" s="21">
        <v>24</v>
      </c>
      <c r="Z9" s="21">
        <v>28</v>
      </c>
      <c r="AA9" s="21">
        <v>39</v>
      </c>
      <c r="AB9" s="26">
        <f t="shared" si="1"/>
        <v>8.3000000000000007</v>
      </c>
      <c r="AC9" s="27">
        <f t="shared" si="2"/>
        <v>7.6999999999999993</v>
      </c>
      <c r="AD9" s="26">
        <f t="shared" si="3"/>
        <v>9.5</v>
      </c>
      <c r="AE9" s="27">
        <f t="shared" si="4"/>
        <v>10.5</v>
      </c>
      <c r="AF9" s="26">
        <f t="shared" si="5"/>
        <v>10.7</v>
      </c>
      <c r="AG9" s="27">
        <f t="shared" si="6"/>
        <v>13.299999999999999</v>
      </c>
      <c r="AH9" s="26">
        <f t="shared" si="7"/>
        <v>14</v>
      </c>
      <c r="AI9" s="27">
        <f t="shared" si="8"/>
        <v>21</v>
      </c>
      <c r="AJ9" s="28" t="s">
        <v>45</v>
      </c>
      <c r="AK9" s="15" t="s">
        <v>46</v>
      </c>
    </row>
    <row r="10" spans="1:42" ht="14.25" customHeight="1">
      <c r="A10" s="15" t="s">
        <v>50</v>
      </c>
      <c r="B10" s="16">
        <v>20</v>
      </c>
      <c r="C10" s="17" t="s">
        <v>40</v>
      </c>
      <c r="D10" s="15" t="s">
        <v>41</v>
      </c>
      <c r="E10" s="18" t="s">
        <v>42</v>
      </c>
      <c r="F10" s="17">
        <v>4</v>
      </c>
      <c r="G10" s="19">
        <v>1</v>
      </c>
      <c r="H10" s="19">
        <f t="shared" si="0"/>
        <v>4</v>
      </c>
      <c r="I10" s="20" t="s">
        <v>42</v>
      </c>
      <c r="J10" s="21" t="s">
        <v>43</v>
      </c>
      <c r="K10" s="21"/>
      <c r="L10" s="26">
        <v>0.9</v>
      </c>
      <c r="M10" t="s">
        <v>44</v>
      </c>
      <c r="N10" s="28">
        <v>38</v>
      </c>
      <c r="O10" s="25">
        <v>84</v>
      </c>
      <c r="U10" s="21"/>
      <c r="V10" s="21">
        <v>4</v>
      </c>
      <c r="W10" s="21">
        <v>5</v>
      </c>
      <c r="X10" s="21">
        <v>20</v>
      </c>
      <c r="Y10" s="21">
        <v>24</v>
      </c>
      <c r="Z10" s="21">
        <v>28</v>
      </c>
      <c r="AA10" s="21">
        <v>39</v>
      </c>
      <c r="AB10" s="26">
        <f t="shared" si="1"/>
        <v>8.3000000000000007</v>
      </c>
      <c r="AC10" s="27">
        <f t="shared" si="2"/>
        <v>7.6999999999999993</v>
      </c>
      <c r="AD10" s="26">
        <f t="shared" si="3"/>
        <v>9.5</v>
      </c>
      <c r="AE10" s="27">
        <f t="shared" si="4"/>
        <v>10.5</v>
      </c>
      <c r="AF10" s="26">
        <f t="shared" si="5"/>
        <v>10.7</v>
      </c>
      <c r="AG10" s="27">
        <f t="shared" si="6"/>
        <v>13.299999999999999</v>
      </c>
      <c r="AH10" s="26">
        <f t="shared" si="7"/>
        <v>14</v>
      </c>
      <c r="AI10" s="27">
        <f t="shared" si="8"/>
        <v>21</v>
      </c>
      <c r="AJ10" s="28" t="s">
        <v>45</v>
      </c>
      <c r="AK10" s="15" t="s">
        <v>46</v>
      </c>
    </row>
    <row r="11" spans="1:42" ht="14.25" customHeight="1">
      <c r="A11" s="15" t="s">
        <v>51</v>
      </c>
      <c r="B11" s="16">
        <v>30</v>
      </c>
      <c r="C11" s="32" t="s">
        <v>40</v>
      </c>
      <c r="D11" s="15" t="s">
        <v>41</v>
      </c>
      <c r="E11" s="33" t="s">
        <v>42</v>
      </c>
      <c r="F11" s="17">
        <v>3</v>
      </c>
      <c r="G11" s="19">
        <v>1</v>
      </c>
      <c r="H11" s="19">
        <f t="shared" si="0"/>
        <v>3</v>
      </c>
      <c r="I11" s="20" t="s">
        <v>42</v>
      </c>
      <c r="J11" s="22" t="s">
        <v>52</v>
      </c>
      <c r="K11" s="21"/>
      <c r="L11" s="34">
        <v>14.71</v>
      </c>
      <c r="M11" s="32" t="s">
        <v>53</v>
      </c>
      <c r="N11" s="17">
        <v>18</v>
      </c>
      <c r="O11" s="25">
        <v>84</v>
      </c>
      <c r="U11" s="21"/>
      <c r="V11" s="21">
        <f>L11</f>
        <v>14.71</v>
      </c>
      <c r="W11" s="21">
        <v>5</v>
      </c>
      <c r="X11" s="21">
        <f>20+(L11-4)</f>
        <v>30.71</v>
      </c>
      <c r="Y11" s="21">
        <f>24+(L11-4)</f>
        <v>34.71</v>
      </c>
      <c r="Z11" s="21">
        <f>28+(L11-4)</f>
        <v>38.71</v>
      </c>
      <c r="AA11" s="21">
        <f>39+(L11-4)</f>
        <v>49.71</v>
      </c>
      <c r="AB11" s="26">
        <f t="shared" si="1"/>
        <v>8.3000000000000007</v>
      </c>
      <c r="AC11" s="27">
        <f t="shared" si="2"/>
        <v>7.6999999999999993</v>
      </c>
      <c r="AD11" s="26">
        <f t="shared" si="3"/>
        <v>9.5</v>
      </c>
      <c r="AE11" s="27">
        <f t="shared" si="4"/>
        <v>10.5</v>
      </c>
      <c r="AF11" s="26">
        <f t="shared" si="5"/>
        <v>10.7</v>
      </c>
      <c r="AG11" s="27">
        <f t="shared" si="6"/>
        <v>13.299999999999999</v>
      </c>
      <c r="AH11" s="26">
        <f t="shared" si="7"/>
        <v>14</v>
      </c>
      <c r="AI11" s="27">
        <f t="shared" si="8"/>
        <v>21</v>
      </c>
      <c r="AJ11" s="28" t="s">
        <v>45</v>
      </c>
      <c r="AK11" s="15" t="s">
        <v>46</v>
      </c>
    </row>
    <row r="12" spans="1:42" ht="14.25" customHeight="1">
      <c r="A12" s="15" t="s">
        <v>51</v>
      </c>
      <c r="B12" s="16">
        <v>60</v>
      </c>
      <c r="C12" s="32" t="s">
        <v>40</v>
      </c>
      <c r="D12" s="15" t="s">
        <v>41</v>
      </c>
      <c r="E12" s="33" t="s">
        <v>42</v>
      </c>
      <c r="F12" s="17">
        <v>3</v>
      </c>
      <c r="G12" s="19">
        <v>1</v>
      </c>
      <c r="H12" s="19">
        <f t="shared" si="0"/>
        <v>3</v>
      </c>
      <c r="I12" s="20" t="s">
        <v>42</v>
      </c>
      <c r="J12" s="22" t="s">
        <v>52</v>
      </c>
      <c r="K12" s="21"/>
      <c r="L12" s="31">
        <f>19.12/2</f>
        <v>9.56</v>
      </c>
      <c r="M12" s="32" t="s">
        <v>53</v>
      </c>
      <c r="N12" s="17">
        <v>18</v>
      </c>
      <c r="O12" s="25">
        <v>84</v>
      </c>
      <c r="U12" s="21"/>
      <c r="V12" s="21">
        <v>8</v>
      </c>
      <c r="W12" s="21">
        <v>5</v>
      </c>
      <c r="X12" s="21">
        <f>20+(V12-4)</f>
        <v>24</v>
      </c>
      <c r="Y12" s="21">
        <f>24+(V12-4)</f>
        <v>28</v>
      </c>
      <c r="Z12" s="21">
        <f>28+(V12-4)</f>
        <v>32</v>
      </c>
      <c r="AA12" s="21">
        <f>39+(V12-4)</f>
        <v>43</v>
      </c>
      <c r="AB12" s="26">
        <f t="shared" si="1"/>
        <v>8.3000000000000007</v>
      </c>
      <c r="AC12" s="27">
        <f t="shared" si="2"/>
        <v>7.6999999999999993</v>
      </c>
      <c r="AD12" s="26">
        <f t="shared" si="3"/>
        <v>9.5</v>
      </c>
      <c r="AE12" s="27">
        <f t="shared" si="4"/>
        <v>10.5</v>
      </c>
      <c r="AF12" s="26">
        <f t="shared" si="5"/>
        <v>10.7</v>
      </c>
      <c r="AG12" s="27">
        <f t="shared" si="6"/>
        <v>13.299999999999999</v>
      </c>
      <c r="AH12" s="26">
        <f t="shared" si="7"/>
        <v>14</v>
      </c>
      <c r="AI12" s="27">
        <f t="shared" si="8"/>
        <v>21</v>
      </c>
      <c r="AJ12" s="28" t="s">
        <v>45</v>
      </c>
      <c r="AK12" s="15" t="s">
        <v>46</v>
      </c>
    </row>
    <row r="13" spans="1:42" ht="14.25" customHeight="1">
      <c r="A13" s="15" t="s">
        <v>46</v>
      </c>
      <c r="B13" s="35">
        <v>5</v>
      </c>
      <c r="C13" s="15" t="s">
        <v>54</v>
      </c>
      <c r="D13" s="15" t="s">
        <v>41</v>
      </c>
      <c r="E13" s="33" t="s">
        <v>55</v>
      </c>
      <c r="F13" s="15">
        <v>5</v>
      </c>
      <c r="G13" s="19">
        <v>1</v>
      </c>
      <c r="H13" s="19">
        <f t="shared" si="0"/>
        <v>5</v>
      </c>
      <c r="I13" s="20" t="s">
        <v>56</v>
      </c>
      <c r="J13" s="21" t="s">
        <v>57</v>
      </c>
      <c r="K13" s="21"/>
      <c r="L13" s="26">
        <v>5</v>
      </c>
      <c r="M13" s="32" t="s">
        <v>53</v>
      </c>
      <c r="N13" s="17">
        <v>30</v>
      </c>
      <c r="O13" s="25">
        <v>84</v>
      </c>
      <c r="U13" s="21"/>
      <c r="V13" s="21">
        <v>4</v>
      </c>
      <c r="W13" s="21">
        <v>5</v>
      </c>
      <c r="X13" s="21">
        <v>20</v>
      </c>
      <c r="Y13" s="21">
        <v>24</v>
      </c>
      <c r="Z13" s="21">
        <v>28</v>
      </c>
      <c r="AA13" s="21">
        <v>39</v>
      </c>
      <c r="AB13" s="26">
        <f t="shared" si="1"/>
        <v>8.3000000000000007</v>
      </c>
      <c r="AC13" s="27">
        <f t="shared" si="2"/>
        <v>7.6999999999999993</v>
      </c>
      <c r="AD13" s="26">
        <f t="shared" si="3"/>
        <v>9.5</v>
      </c>
      <c r="AE13" s="27">
        <f t="shared" si="4"/>
        <v>10.5</v>
      </c>
      <c r="AF13" s="26">
        <f t="shared" si="5"/>
        <v>10.7</v>
      </c>
      <c r="AG13" s="27">
        <f t="shared" si="6"/>
        <v>13.299999999999999</v>
      </c>
      <c r="AH13" s="26">
        <f t="shared" si="7"/>
        <v>14</v>
      </c>
      <c r="AI13" s="27">
        <f t="shared" si="8"/>
        <v>21</v>
      </c>
      <c r="AJ13" s="28" t="s">
        <v>45</v>
      </c>
      <c r="AK13" s="15" t="s">
        <v>51</v>
      </c>
    </row>
    <row r="14" spans="1:42" ht="14.25" customHeight="1">
      <c r="A14" s="15" t="s">
        <v>46</v>
      </c>
      <c r="B14" s="35">
        <v>5</v>
      </c>
      <c r="C14" s="15" t="s">
        <v>54</v>
      </c>
      <c r="D14" s="15" t="s">
        <v>41</v>
      </c>
      <c r="E14" s="33" t="s">
        <v>55</v>
      </c>
      <c r="F14" s="15">
        <v>30</v>
      </c>
      <c r="G14" s="19">
        <v>1</v>
      </c>
      <c r="H14" s="36">
        <f t="shared" si="0"/>
        <v>30</v>
      </c>
      <c r="I14" s="20" t="s">
        <v>56</v>
      </c>
      <c r="J14" s="21" t="s">
        <v>57</v>
      </c>
      <c r="K14" s="21"/>
      <c r="L14" s="34">
        <v>11</v>
      </c>
      <c r="M14" s="32" t="s">
        <v>53</v>
      </c>
      <c r="N14" s="17">
        <v>30</v>
      </c>
      <c r="O14" s="25">
        <v>84</v>
      </c>
      <c r="U14" s="21"/>
      <c r="V14" s="21">
        <f>L14</f>
        <v>11</v>
      </c>
      <c r="W14" s="21">
        <v>5</v>
      </c>
      <c r="X14" s="21">
        <f>20+(L14-4)</f>
        <v>27</v>
      </c>
      <c r="Y14" s="21">
        <f>24+(L14-4)</f>
        <v>31</v>
      </c>
      <c r="Z14" s="21">
        <f>28+(L14-4)</f>
        <v>35</v>
      </c>
      <c r="AA14" s="21">
        <f>39+(L14-4)</f>
        <v>46</v>
      </c>
      <c r="AB14" s="26">
        <f t="shared" si="1"/>
        <v>8.3000000000000007</v>
      </c>
      <c r="AC14" s="27">
        <f t="shared" si="2"/>
        <v>7.6999999999999993</v>
      </c>
      <c r="AD14" s="26">
        <f t="shared" si="3"/>
        <v>9.5</v>
      </c>
      <c r="AE14" s="27">
        <f t="shared" si="4"/>
        <v>10.5</v>
      </c>
      <c r="AF14" s="26">
        <f t="shared" si="5"/>
        <v>10.7</v>
      </c>
      <c r="AG14" s="27">
        <f t="shared" si="6"/>
        <v>13.299999999999999</v>
      </c>
      <c r="AH14" s="26">
        <f t="shared" si="7"/>
        <v>14</v>
      </c>
      <c r="AI14" s="27">
        <f t="shared" si="8"/>
        <v>21</v>
      </c>
      <c r="AJ14" s="28" t="s">
        <v>45</v>
      </c>
      <c r="AK14" s="15" t="s">
        <v>51</v>
      </c>
    </row>
    <row r="15" spans="1:42" ht="14.25" customHeight="1">
      <c r="A15" s="15" t="s">
        <v>58</v>
      </c>
      <c r="B15" s="16">
        <v>1</v>
      </c>
      <c r="C15" s="32" t="s">
        <v>40</v>
      </c>
      <c r="D15" s="15" t="s">
        <v>41</v>
      </c>
      <c r="E15" s="33" t="s">
        <v>42</v>
      </c>
      <c r="F15" s="17">
        <v>28</v>
      </c>
      <c r="G15" s="19">
        <v>1</v>
      </c>
      <c r="H15" s="19">
        <f t="shared" si="0"/>
        <v>28</v>
      </c>
      <c r="I15" s="20" t="s">
        <v>42</v>
      </c>
      <c r="J15" s="21" t="s">
        <v>48</v>
      </c>
      <c r="K15" s="21"/>
      <c r="L15" s="26">
        <v>1.77</v>
      </c>
      <c r="M15" s="32" t="s">
        <v>59</v>
      </c>
      <c r="N15" s="28">
        <v>112</v>
      </c>
      <c r="O15" s="25">
        <v>84</v>
      </c>
      <c r="U15" s="21"/>
      <c r="V15" s="21">
        <v>4</v>
      </c>
      <c r="W15" s="21">
        <v>5</v>
      </c>
      <c r="X15" s="21">
        <v>20</v>
      </c>
      <c r="Y15" s="21">
        <v>24</v>
      </c>
      <c r="Z15" s="21">
        <v>28</v>
      </c>
      <c r="AA15" s="21">
        <v>39</v>
      </c>
      <c r="AB15" s="26">
        <f t="shared" si="1"/>
        <v>8.3000000000000007</v>
      </c>
      <c r="AC15" s="27">
        <f t="shared" si="2"/>
        <v>7.6999999999999993</v>
      </c>
      <c r="AD15" s="26">
        <f t="shared" si="3"/>
        <v>9.5</v>
      </c>
      <c r="AE15" s="27">
        <f t="shared" si="4"/>
        <v>10.5</v>
      </c>
      <c r="AF15" s="26">
        <f t="shared" si="5"/>
        <v>10.7</v>
      </c>
      <c r="AG15" s="27">
        <f t="shared" si="6"/>
        <v>13.299999999999999</v>
      </c>
      <c r="AH15" s="26">
        <f t="shared" si="7"/>
        <v>14</v>
      </c>
      <c r="AI15" s="27">
        <f t="shared" si="8"/>
        <v>21</v>
      </c>
      <c r="AJ15" s="28" t="s">
        <v>45</v>
      </c>
      <c r="AK15" s="15" t="s">
        <v>60</v>
      </c>
    </row>
    <row r="16" spans="1:42" ht="14.25" customHeight="1">
      <c r="A16" s="15" t="s">
        <v>61</v>
      </c>
      <c r="B16" s="16">
        <v>5</v>
      </c>
      <c r="C16" s="32" t="s">
        <v>40</v>
      </c>
      <c r="D16" s="15" t="s">
        <v>41</v>
      </c>
      <c r="E16" s="33" t="s">
        <v>42</v>
      </c>
      <c r="F16" s="17">
        <v>30</v>
      </c>
      <c r="G16" s="19">
        <v>1</v>
      </c>
      <c r="H16" s="19">
        <f t="shared" si="0"/>
        <v>30</v>
      </c>
      <c r="I16" s="20" t="s">
        <v>42</v>
      </c>
      <c r="J16" s="21" t="s">
        <v>62</v>
      </c>
      <c r="K16" s="21"/>
      <c r="L16" s="26">
        <f>9.4/3</f>
        <v>3.1333333333333333</v>
      </c>
      <c r="M16" s="32" t="s">
        <v>63</v>
      </c>
      <c r="N16" s="17">
        <v>60</v>
      </c>
      <c r="O16" s="25">
        <v>84</v>
      </c>
      <c r="U16" s="21"/>
      <c r="V16" s="21">
        <v>4</v>
      </c>
      <c r="W16" s="21">
        <v>5</v>
      </c>
      <c r="X16" s="22">
        <v>20</v>
      </c>
      <c r="Y16" s="21">
        <v>24</v>
      </c>
      <c r="Z16" s="21">
        <v>28</v>
      </c>
      <c r="AA16" s="21">
        <v>39</v>
      </c>
      <c r="AB16" s="26">
        <f t="shared" si="1"/>
        <v>8.3000000000000007</v>
      </c>
      <c r="AC16" s="27">
        <f t="shared" si="2"/>
        <v>7.6999999999999993</v>
      </c>
      <c r="AD16" s="26">
        <f t="shared" si="3"/>
        <v>9.5</v>
      </c>
      <c r="AE16" s="27">
        <f t="shared" si="4"/>
        <v>10.5</v>
      </c>
      <c r="AF16" s="26">
        <f t="shared" si="5"/>
        <v>10.7</v>
      </c>
      <c r="AG16" s="27">
        <f t="shared" si="6"/>
        <v>13.299999999999999</v>
      </c>
      <c r="AH16" s="26">
        <f t="shared" si="7"/>
        <v>14</v>
      </c>
      <c r="AI16" s="27">
        <f t="shared" si="8"/>
        <v>21</v>
      </c>
      <c r="AJ16" s="28" t="s">
        <v>45</v>
      </c>
    </row>
    <row r="17" spans="1:38" ht="14.25" customHeight="1">
      <c r="A17" s="15" t="s">
        <v>64</v>
      </c>
      <c r="B17" s="16">
        <v>10</v>
      </c>
      <c r="C17" s="32" t="s">
        <v>40</v>
      </c>
      <c r="D17" s="15" t="s">
        <v>41</v>
      </c>
      <c r="E17" s="33" t="s">
        <v>42</v>
      </c>
      <c r="F17" s="17">
        <v>30</v>
      </c>
      <c r="G17" s="19">
        <v>1</v>
      </c>
      <c r="H17" s="19">
        <f t="shared" si="0"/>
        <v>30</v>
      </c>
      <c r="I17" s="20" t="s">
        <v>42</v>
      </c>
      <c r="J17" s="21" t="s">
        <v>62</v>
      </c>
      <c r="K17" s="21"/>
      <c r="L17" s="31">
        <f>22.16/3</f>
        <v>7.3866666666666667</v>
      </c>
      <c r="M17" s="32" t="s">
        <v>63</v>
      </c>
      <c r="N17" s="17">
        <v>60</v>
      </c>
      <c r="O17" s="25">
        <v>84</v>
      </c>
      <c r="U17" s="21"/>
      <c r="V17" s="21">
        <v>8</v>
      </c>
      <c r="W17" s="21">
        <v>5</v>
      </c>
      <c r="X17" s="21">
        <f>20+(V17-4)</f>
        <v>24</v>
      </c>
      <c r="Y17" s="21">
        <f>24+(V17-4)</f>
        <v>28</v>
      </c>
      <c r="Z17" s="21">
        <f>28+(V17-4)</f>
        <v>32</v>
      </c>
      <c r="AA17" s="21">
        <f>39+(V17-4)</f>
        <v>43</v>
      </c>
      <c r="AB17" s="26">
        <f t="shared" si="1"/>
        <v>8.3000000000000007</v>
      </c>
      <c r="AC17" s="27">
        <f t="shared" si="2"/>
        <v>7.6999999999999993</v>
      </c>
      <c r="AD17" s="26">
        <f t="shared" si="3"/>
        <v>9.5</v>
      </c>
      <c r="AE17" s="27">
        <f t="shared" si="4"/>
        <v>10.5</v>
      </c>
      <c r="AF17" s="26">
        <f t="shared" si="5"/>
        <v>10.7</v>
      </c>
      <c r="AG17" s="27">
        <f t="shared" si="6"/>
        <v>13.299999999999999</v>
      </c>
      <c r="AH17" s="26">
        <f t="shared" si="7"/>
        <v>14</v>
      </c>
      <c r="AI17" s="27">
        <f t="shared" si="8"/>
        <v>21</v>
      </c>
      <c r="AJ17" s="28" t="s">
        <v>45</v>
      </c>
    </row>
    <row r="18" spans="1:38" ht="14.25" customHeight="1">
      <c r="A18" s="15" t="s">
        <v>65</v>
      </c>
      <c r="B18" s="35">
        <v>11.5</v>
      </c>
      <c r="C18" s="17" t="s">
        <v>54</v>
      </c>
      <c r="D18" s="15" t="s">
        <v>41</v>
      </c>
      <c r="E18" s="33" t="s">
        <v>55</v>
      </c>
      <c r="F18" s="15">
        <v>60</v>
      </c>
      <c r="G18" s="19">
        <v>1</v>
      </c>
      <c r="H18" s="19">
        <f t="shared" si="0"/>
        <v>60</v>
      </c>
      <c r="I18" s="20" t="s">
        <v>56</v>
      </c>
      <c r="J18" s="21" t="s">
        <v>66</v>
      </c>
      <c r="K18" s="21"/>
      <c r="L18" s="34">
        <v>53.17</v>
      </c>
      <c r="M18" s="32" t="s">
        <v>67</v>
      </c>
      <c r="N18" s="28">
        <v>180</v>
      </c>
      <c r="O18" s="25">
        <v>84</v>
      </c>
      <c r="U18" s="21"/>
      <c r="V18" s="21">
        <f>L18</f>
        <v>53.17</v>
      </c>
      <c r="W18" s="21">
        <v>5</v>
      </c>
      <c r="X18" s="21">
        <f>20+(V18-4)</f>
        <v>69.17</v>
      </c>
      <c r="Y18" s="21">
        <f>24+(V18-4)</f>
        <v>73.17</v>
      </c>
      <c r="Z18" s="21">
        <f>28+(V18-4)</f>
        <v>77.17</v>
      </c>
      <c r="AA18" s="21">
        <f>39+(V18-4)</f>
        <v>88.17</v>
      </c>
      <c r="AB18" s="26">
        <f t="shared" si="1"/>
        <v>8.3000000000000007</v>
      </c>
      <c r="AC18" s="27">
        <f t="shared" si="2"/>
        <v>7.6999999999999993</v>
      </c>
      <c r="AD18" s="26">
        <f t="shared" si="3"/>
        <v>9.5</v>
      </c>
      <c r="AE18" s="27">
        <f t="shared" si="4"/>
        <v>10.5</v>
      </c>
      <c r="AF18" s="26">
        <f t="shared" si="5"/>
        <v>10.7</v>
      </c>
      <c r="AG18" s="27">
        <f t="shared" si="6"/>
        <v>13.299999999999999</v>
      </c>
      <c r="AH18" s="26">
        <f t="shared" si="7"/>
        <v>14</v>
      </c>
      <c r="AI18" s="27">
        <f t="shared" si="8"/>
        <v>21</v>
      </c>
      <c r="AJ18" s="28" t="s">
        <v>45</v>
      </c>
    </row>
    <row r="19" spans="1:38" ht="14.25" customHeight="1">
      <c r="A19" s="15" t="s">
        <v>68</v>
      </c>
      <c r="B19" s="35" t="s">
        <v>69</v>
      </c>
      <c r="C19" s="17" t="s">
        <v>70</v>
      </c>
      <c r="D19" s="15" t="s">
        <v>41</v>
      </c>
      <c r="E19" s="33" t="s">
        <v>42</v>
      </c>
      <c r="F19" s="32">
        <v>63</v>
      </c>
      <c r="G19" s="19">
        <v>1</v>
      </c>
      <c r="H19" s="19">
        <f t="shared" si="0"/>
        <v>63</v>
      </c>
      <c r="I19" s="38" t="s">
        <v>42</v>
      </c>
      <c r="J19" s="15" t="s">
        <v>71</v>
      </c>
      <c r="K19" s="32"/>
      <c r="L19" s="39">
        <v>2.83</v>
      </c>
      <c r="M19" s="32" t="s">
        <v>72</v>
      </c>
      <c r="N19" s="17">
        <v>252</v>
      </c>
      <c r="O19" s="28">
        <v>308</v>
      </c>
      <c r="U19" s="21"/>
      <c r="V19" s="21">
        <v>4</v>
      </c>
      <c r="W19" s="21">
        <v>5</v>
      </c>
      <c r="X19" s="21">
        <v>20</v>
      </c>
      <c r="Y19" s="21">
        <v>24</v>
      </c>
      <c r="Z19" s="21">
        <v>28</v>
      </c>
      <c r="AA19" s="21">
        <v>39</v>
      </c>
      <c r="AB19" s="26">
        <f t="shared" si="1"/>
        <v>8.3000000000000007</v>
      </c>
      <c r="AC19" s="27">
        <f t="shared" si="2"/>
        <v>7.6999999999999993</v>
      </c>
      <c r="AD19" s="26">
        <f t="shared" si="3"/>
        <v>9.5</v>
      </c>
      <c r="AE19" s="27">
        <f t="shared" si="4"/>
        <v>10.5</v>
      </c>
      <c r="AF19" s="26">
        <f t="shared" si="5"/>
        <v>10.7</v>
      </c>
      <c r="AG19" s="27">
        <f t="shared" si="6"/>
        <v>13.299999999999999</v>
      </c>
      <c r="AH19" s="26">
        <f t="shared" si="7"/>
        <v>14</v>
      </c>
      <c r="AI19" s="27">
        <f t="shared" si="8"/>
        <v>21</v>
      </c>
      <c r="AJ19" s="28" t="s">
        <v>45</v>
      </c>
    </row>
    <row r="20" spans="1:38" ht="14.25" customHeight="1">
      <c r="A20" s="15" t="s">
        <v>73</v>
      </c>
      <c r="B20" s="35">
        <v>75</v>
      </c>
      <c r="C20" s="17" t="s">
        <v>70</v>
      </c>
      <c r="D20" s="15" t="s">
        <v>41</v>
      </c>
      <c r="E20" s="33" t="s">
        <v>42</v>
      </c>
      <c r="F20" s="17">
        <v>84</v>
      </c>
      <c r="G20" s="19">
        <v>1</v>
      </c>
      <c r="H20" s="19">
        <f t="shared" si="0"/>
        <v>84</v>
      </c>
      <c r="I20" s="38" t="s">
        <v>42</v>
      </c>
      <c r="J20" s="32"/>
      <c r="K20" s="32"/>
      <c r="L20" s="39">
        <v>2.57</v>
      </c>
      <c r="M20" s="32" t="s">
        <v>72</v>
      </c>
      <c r="N20" s="17">
        <v>336</v>
      </c>
      <c r="O20" s="28">
        <v>308</v>
      </c>
      <c r="U20" s="21"/>
      <c r="V20" s="21">
        <v>4</v>
      </c>
      <c r="W20" s="21">
        <v>5</v>
      </c>
      <c r="X20" s="21">
        <v>20</v>
      </c>
      <c r="Y20" s="21">
        <v>24</v>
      </c>
      <c r="Z20" s="21">
        <v>28</v>
      </c>
      <c r="AA20" s="21">
        <v>39</v>
      </c>
      <c r="AB20" s="26">
        <f t="shared" si="1"/>
        <v>8.3000000000000007</v>
      </c>
      <c r="AC20" s="27">
        <f t="shared" si="2"/>
        <v>7.6999999999999993</v>
      </c>
      <c r="AD20" s="26">
        <f t="shared" si="3"/>
        <v>9.5</v>
      </c>
      <c r="AE20" s="27">
        <f t="shared" si="4"/>
        <v>10.5</v>
      </c>
      <c r="AF20" s="26">
        <f t="shared" si="5"/>
        <v>10.7</v>
      </c>
      <c r="AG20" s="27">
        <f t="shared" si="6"/>
        <v>13.299999999999999</v>
      </c>
      <c r="AH20" s="26">
        <f t="shared" si="7"/>
        <v>14</v>
      </c>
      <c r="AI20" s="27">
        <f t="shared" si="8"/>
        <v>21</v>
      </c>
      <c r="AJ20" s="28" t="s">
        <v>45</v>
      </c>
    </row>
    <row r="21" spans="1:38" ht="14.25" customHeight="1">
      <c r="A21" s="15" t="s">
        <v>74</v>
      </c>
      <c r="B21" s="35" t="s">
        <v>69</v>
      </c>
      <c r="C21" s="17" t="s">
        <v>70</v>
      </c>
      <c r="D21" s="15" t="s">
        <v>41</v>
      </c>
      <c r="E21" s="33" t="s">
        <v>42</v>
      </c>
      <c r="F21" s="17">
        <v>63</v>
      </c>
      <c r="G21" s="19">
        <v>1</v>
      </c>
      <c r="H21" s="19">
        <f t="shared" si="0"/>
        <v>63</v>
      </c>
      <c r="I21" s="38" t="s">
        <v>42</v>
      </c>
      <c r="J21" s="15" t="s">
        <v>71</v>
      </c>
      <c r="K21" s="32"/>
      <c r="L21" s="39">
        <v>1.88</v>
      </c>
      <c r="M21" s="32" t="s">
        <v>72</v>
      </c>
      <c r="N21" s="17">
        <v>252</v>
      </c>
      <c r="O21" s="28">
        <v>308</v>
      </c>
      <c r="U21" s="21"/>
      <c r="V21" s="21">
        <v>4</v>
      </c>
      <c r="W21" s="21">
        <v>5</v>
      </c>
      <c r="X21" s="21">
        <v>20</v>
      </c>
      <c r="Y21" s="21">
        <v>24</v>
      </c>
      <c r="Z21" s="21">
        <v>28</v>
      </c>
      <c r="AA21" s="21">
        <v>39</v>
      </c>
      <c r="AB21" s="26">
        <f t="shared" si="1"/>
        <v>8.3000000000000007</v>
      </c>
      <c r="AC21" s="27">
        <f t="shared" si="2"/>
        <v>7.6999999999999993</v>
      </c>
      <c r="AD21" s="26">
        <f t="shared" si="3"/>
        <v>9.5</v>
      </c>
      <c r="AE21" s="27">
        <f t="shared" si="4"/>
        <v>10.5</v>
      </c>
      <c r="AF21" s="26">
        <f t="shared" si="5"/>
        <v>10.7</v>
      </c>
      <c r="AG21" s="27">
        <f t="shared" si="6"/>
        <v>13.299999999999999</v>
      </c>
      <c r="AH21" s="26">
        <f t="shared" si="7"/>
        <v>14</v>
      </c>
      <c r="AI21" s="27">
        <f t="shared" si="8"/>
        <v>21</v>
      </c>
      <c r="AJ21" s="28" t="s">
        <v>45</v>
      </c>
    </row>
    <row r="22" spans="1:38" ht="14.25" customHeight="1">
      <c r="A22" s="15" t="s">
        <v>75</v>
      </c>
      <c r="B22" s="35" t="s">
        <v>69</v>
      </c>
      <c r="C22" s="17" t="s">
        <v>70</v>
      </c>
      <c r="D22" s="15" t="s">
        <v>41</v>
      </c>
      <c r="E22" s="33" t="s">
        <v>42</v>
      </c>
      <c r="F22" s="32">
        <v>63</v>
      </c>
      <c r="G22" s="19">
        <v>1</v>
      </c>
      <c r="H22" s="19">
        <f t="shared" si="0"/>
        <v>63</v>
      </c>
      <c r="I22" s="38" t="s">
        <v>42</v>
      </c>
      <c r="J22" s="15" t="s">
        <v>71</v>
      </c>
      <c r="K22" s="32"/>
      <c r="L22" s="39">
        <v>2.8</v>
      </c>
      <c r="M22" s="32" t="s">
        <v>72</v>
      </c>
      <c r="N22" s="17">
        <v>252</v>
      </c>
      <c r="O22" s="28">
        <v>308</v>
      </c>
      <c r="U22" s="21"/>
      <c r="V22" s="21">
        <v>4</v>
      </c>
      <c r="W22" s="21">
        <v>5</v>
      </c>
      <c r="X22" s="21">
        <v>20</v>
      </c>
      <c r="Y22" s="21">
        <v>24</v>
      </c>
      <c r="Z22" s="21">
        <v>28</v>
      </c>
      <c r="AA22" s="21">
        <v>39</v>
      </c>
      <c r="AB22" s="26">
        <f t="shared" si="1"/>
        <v>8.3000000000000007</v>
      </c>
      <c r="AC22" s="27">
        <f t="shared" si="2"/>
        <v>7.6999999999999993</v>
      </c>
      <c r="AD22" s="26">
        <f t="shared" si="3"/>
        <v>9.5</v>
      </c>
      <c r="AE22" s="27">
        <f t="shared" si="4"/>
        <v>10.5</v>
      </c>
      <c r="AF22" s="26">
        <f t="shared" si="5"/>
        <v>10.7</v>
      </c>
      <c r="AG22" s="27">
        <f t="shared" si="6"/>
        <v>13.299999999999999</v>
      </c>
      <c r="AH22" s="26">
        <f t="shared" si="7"/>
        <v>14</v>
      </c>
      <c r="AI22" s="27">
        <f t="shared" si="8"/>
        <v>21</v>
      </c>
      <c r="AJ22" s="28" t="s">
        <v>45</v>
      </c>
    </row>
    <row r="23" spans="1:38" ht="14.25" customHeight="1">
      <c r="A23" s="15" t="s">
        <v>76</v>
      </c>
      <c r="B23" s="35" t="s">
        <v>69</v>
      </c>
      <c r="C23" s="17" t="s">
        <v>70</v>
      </c>
      <c r="D23" s="15" t="s">
        <v>41</v>
      </c>
      <c r="E23" s="33" t="s">
        <v>42</v>
      </c>
      <c r="F23" s="32">
        <v>63</v>
      </c>
      <c r="G23" s="19">
        <v>1</v>
      </c>
      <c r="H23" s="19">
        <f t="shared" si="0"/>
        <v>63</v>
      </c>
      <c r="I23" s="38" t="s">
        <v>42</v>
      </c>
      <c r="J23" s="15" t="s">
        <v>71</v>
      </c>
      <c r="K23" s="32"/>
      <c r="L23" s="39">
        <f>5.85*1</f>
        <v>5.85</v>
      </c>
      <c r="M23" s="32" t="s">
        <v>72</v>
      </c>
      <c r="N23" s="17">
        <v>252</v>
      </c>
      <c r="O23" s="28">
        <v>308</v>
      </c>
      <c r="U23" s="21"/>
      <c r="V23" s="21">
        <v>4</v>
      </c>
      <c r="W23" s="21">
        <v>5</v>
      </c>
      <c r="X23" s="21">
        <v>20</v>
      </c>
      <c r="Y23" s="21">
        <v>24</v>
      </c>
      <c r="Z23" s="21">
        <v>28</v>
      </c>
      <c r="AA23" s="21">
        <v>39</v>
      </c>
      <c r="AB23" s="26">
        <f t="shared" si="1"/>
        <v>8.3000000000000007</v>
      </c>
      <c r="AC23" s="27">
        <f t="shared" si="2"/>
        <v>7.6999999999999993</v>
      </c>
      <c r="AD23" s="26">
        <f t="shared" si="3"/>
        <v>9.5</v>
      </c>
      <c r="AE23" s="27">
        <f t="shared" si="4"/>
        <v>10.5</v>
      </c>
      <c r="AF23" s="26">
        <f t="shared" si="5"/>
        <v>10.7</v>
      </c>
      <c r="AG23" s="27">
        <f t="shared" si="6"/>
        <v>13.299999999999999</v>
      </c>
      <c r="AH23" s="26">
        <f t="shared" si="7"/>
        <v>14</v>
      </c>
      <c r="AI23" s="27">
        <f t="shared" si="8"/>
        <v>21</v>
      </c>
      <c r="AJ23" s="28" t="s">
        <v>45</v>
      </c>
    </row>
    <row r="24" spans="1:38" ht="14.25" customHeight="1">
      <c r="A24" s="15" t="s">
        <v>77</v>
      </c>
      <c r="B24" s="41">
        <v>45381</v>
      </c>
      <c r="C24" s="17" t="s">
        <v>78</v>
      </c>
      <c r="D24" s="15" t="s">
        <v>41</v>
      </c>
      <c r="E24" s="33" t="s">
        <v>42</v>
      </c>
      <c r="F24" s="32">
        <v>63</v>
      </c>
      <c r="G24" s="19">
        <v>1</v>
      </c>
      <c r="H24" s="19">
        <f t="shared" si="0"/>
        <v>63</v>
      </c>
      <c r="I24" s="38" t="s">
        <v>42</v>
      </c>
      <c r="J24" s="15" t="s">
        <v>71</v>
      </c>
      <c r="K24" s="32"/>
      <c r="L24" s="37">
        <v>14.7</v>
      </c>
      <c r="M24" s="32" t="s">
        <v>72</v>
      </c>
      <c r="N24" s="17">
        <v>252</v>
      </c>
      <c r="O24" s="28">
        <v>308</v>
      </c>
      <c r="U24" s="21"/>
      <c r="V24" s="21">
        <f>L24</f>
        <v>14.7</v>
      </c>
      <c r="W24" s="21">
        <v>5</v>
      </c>
      <c r="X24" s="21">
        <f>20+(V24-4)</f>
        <v>30.7</v>
      </c>
      <c r="Y24" s="21">
        <f>24+(V24-4)</f>
        <v>34.700000000000003</v>
      </c>
      <c r="Z24" s="21">
        <f>28+(V24-4)</f>
        <v>38.700000000000003</v>
      </c>
      <c r="AA24" s="21">
        <f>39+(V24-4)</f>
        <v>49.7</v>
      </c>
      <c r="AB24" s="26">
        <f t="shared" si="1"/>
        <v>8.3000000000000007</v>
      </c>
      <c r="AC24" s="27">
        <f t="shared" si="2"/>
        <v>7.6999999999999993</v>
      </c>
      <c r="AD24" s="26">
        <f t="shared" si="3"/>
        <v>9.5</v>
      </c>
      <c r="AE24" s="27">
        <f t="shared" si="4"/>
        <v>10.500000000000002</v>
      </c>
      <c r="AF24" s="26">
        <f t="shared" si="5"/>
        <v>10.700000000000001</v>
      </c>
      <c r="AG24" s="27">
        <f t="shared" si="6"/>
        <v>13.300000000000002</v>
      </c>
      <c r="AH24" s="26">
        <f t="shared" si="7"/>
        <v>14</v>
      </c>
      <c r="AI24" s="27">
        <f t="shared" si="8"/>
        <v>21</v>
      </c>
      <c r="AJ24" s="28" t="s">
        <v>45</v>
      </c>
    </row>
    <row r="25" spans="1:38" ht="14.25" customHeight="1">
      <c r="A25" s="15" t="s">
        <v>79</v>
      </c>
      <c r="B25" s="35" t="s">
        <v>80</v>
      </c>
      <c r="C25" s="17" t="s">
        <v>70</v>
      </c>
      <c r="D25" s="15" t="s">
        <v>41</v>
      </c>
      <c r="E25" s="33" t="s">
        <v>81</v>
      </c>
      <c r="F25" s="17">
        <v>9</v>
      </c>
      <c r="G25" s="19">
        <v>1</v>
      </c>
      <c r="H25" s="19">
        <f t="shared" si="0"/>
        <v>9</v>
      </c>
      <c r="I25" s="38" t="s">
        <v>82</v>
      </c>
      <c r="J25" s="32"/>
      <c r="K25" s="32"/>
      <c r="L25" s="37">
        <f>19.51*1</f>
        <v>19.510000000000002</v>
      </c>
      <c r="M25" s="32" t="s">
        <v>72</v>
      </c>
      <c r="N25" s="17">
        <v>36</v>
      </c>
      <c r="O25" s="28">
        <v>308</v>
      </c>
      <c r="U25" s="21"/>
      <c r="V25" s="21">
        <f>L25</f>
        <v>19.510000000000002</v>
      </c>
      <c r="W25" s="21">
        <v>5</v>
      </c>
      <c r="X25" s="21">
        <f>20+(V25-4)</f>
        <v>35.510000000000005</v>
      </c>
      <c r="Y25" s="21">
        <f>24+(V25-4)</f>
        <v>39.510000000000005</v>
      </c>
      <c r="Z25" s="21">
        <f>28+(V25-4)</f>
        <v>43.510000000000005</v>
      </c>
      <c r="AA25" s="21">
        <f>39+(V25-4)</f>
        <v>54.510000000000005</v>
      </c>
      <c r="AB25" s="26">
        <f t="shared" si="1"/>
        <v>8.3000000000000007</v>
      </c>
      <c r="AC25" s="27">
        <f t="shared" si="2"/>
        <v>7.700000000000002</v>
      </c>
      <c r="AD25" s="26">
        <f t="shared" si="3"/>
        <v>9.5</v>
      </c>
      <c r="AE25" s="27">
        <f t="shared" si="4"/>
        <v>10.500000000000002</v>
      </c>
      <c r="AF25" s="26">
        <f t="shared" si="5"/>
        <v>10.700000000000001</v>
      </c>
      <c r="AG25" s="27">
        <f t="shared" si="6"/>
        <v>13.300000000000002</v>
      </c>
      <c r="AH25" s="26">
        <f t="shared" si="7"/>
        <v>14</v>
      </c>
      <c r="AI25" s="27">
        <f t="shared" si="8"/>
        <v>21</v>
      </c>
      <c r="AJ25" s="28" t="s">
        <v>45</v>
      </c>
    </row>
    <row r="26" spans="1:38" ht="14.25" customHeight="1">
      <c r="A26" s="15" t="s">
        <v>83</v>
      </c>
      <c r="B26" s="35">
        <v>75</v>
      </c>
      <c r="C26" s="17" t="s">
        <v>70</v>
      </c>
      <c r="D26" s="15" t="s">
        <v>41</v>
      </c>
      <c r="E26" s="33" t="s">
        <v>42</v>
      </c>
      <c r="F26" s="17">
        <f>84*1</f>
        <v>84</v>
      </c>
      <c r="G26" s="19">
        <v>1</v>
      </c>
      <c r="H26" s="19">
        <f t="shared" si="0"/>
        <v>84</v>
      </c>
      <c r="I26" s="38" t="s">
        <v>42</v>
      </c>
      <c r="J26" s="32"/>
      <c r="K26" s="32"/>
      <c r="L26" s="37">
        <f>9.55*1</f>
        <v>9.5500000000000007</v>
      </c>
      <c r="M26" s="32" t="s">
        <v>72</v>
      </c>
      <c r="N26" s="17">
        <v>336</v>
      </c>
      <c r="O26" s="28">
        <v>308</v>
      </c>
      <c r="U26" s="21"/>
      <c r="V26" s="21">
        <f>L26</f>
        <v>9.5500000000000007</v>
      </c>
      <c r="W26" s="21">
        <v>5</v>
      </c>
      <c r="X26" s="21">
        <f>20+(V26-4)</f>
        <v>25.55</v>
      </c>
      <c r="Y26" s="21">
        <f>24+(V26-4)</f>
        <v>29.55</v>
      </c>
      <c r="Z26" s="21">
        <f>28+(V26-4)</f>
        <v>33.549999999999997</v>
      </c>
      <c r="AA26" s="21">
        <f>39+(V26-4)</f>
        <v>44.55</v>
      </c>
      <c r="AB26" s="26">
        <f t="shared" si="1"/>
        <v>8.3000000000000007</v>
      </c>
      <c r="AC26" s="27">
        <f t="shared" si="2"/>
        <v>7.6999999999999993</v>
      </c>
      <c r="AD26" s="26">
        <f t="shared" si="3"/>
        <v>9.5</v>
      </c>
      <c r="AE26" s="27">
        <f t="shared" si="4"/>
        <v>10.5</v>
      </c>
      <c r="AF26" s="26">
        <f t="shared" si="5"/>
        <v>10.7</v>
      </c>
      <c r="AG26" s="27">
        <f t="shared" si="6"/>
        <v>13.299999999999997</v>
      </c>
      <c r="AH26" s="26">
        <f t="shared" si="7"/>
        <v>14</v>
      </c>
      <c r="AI26" s="27">
        <f t="shared" si="8"/>
        <v>21</v>
      </c>
      <c r="AJ26" s="28" t="s">
        <v>45</v>
      </c>
    </row>
    <row r="27" spans="1:38" ht="14.25" customHeight="1">
      <c r="A27" s="38" t="s">
        <v>84</v>
      </c>
      <c r="B27" s="35">
        <v>250</v>
      </c>
      <c r="C27" s="17" t="s">
        <v>40</v>
      </c>
      <c r="D27" s="15" t="s">
        <v>41</v>
      </c>
      <c r="E27" s="38" t="s">
        <v>42</v>
      </c>
      <c r="F27" s="17">
        <v>28</v>
      </c>
      <c r="G27" s="19">
        <v>1</v>
      </c>
      <c r="H27" s="19">
        <f t="shared" si="0"/>
        <v>28</v>
      </c>
      <c r="I27" s="38" t="s">
        <v>42</v>
      </c>
      <c r="J27" s="32"/>
      <c r="K27" s="32"/>
      <c r="L27" s="39">
        <f>12.36/100*28</f>
        <v>3.4607999999999999</v>
      </c>
      <c r="M27" s="32" t="s">
        <v>85</v>
      </c>
      <c r="N27" s="17">
        <v>112</v>
      </c>
      <c r="O27" s="25">
        <v>112</v>
      </c>
      <c r="U27" s="21"/>
      <c r="V27" s="21">
        <v>4</v>
      </c>
      <c r="W27" s="21">
        <v>5</v>
      </c>
      <c r="X27" s="21">
        <v>20</v>
      </c>
      <c r="Y27" s="21">
        <v>24</v>
      </c>
      <c r="Z27" s="21">
        <v>28</v>
      </c>
      <c r="AA27" s="21">
        <v>39</v>
      </c>
      <c r="AB27" s="26">
        <f t="shared" si="1"/>
        <v>8.3000000000000007</v>
      </c>
      <c r="AC27" s="27">
        <f t="shared" si="2"/>
        <v>7.6999999999999993</v>
      </c>
      <c r="AD27" s="26">
        <f t="shared" si="3"/>
        <v>9.5</v>
      </c>
      <c r="AE27" s="27">
        <f t="shared" si="4"/>
        <v>10.5</v>
      </c>
      <c r="AF27" s="26">
        <f t="shared" si="5"/>
        <v>10.7</v>
      </c>
      <c r="AG27" s="27">
        <f t="shared" si="6"/>
        <v>13.299999999999999</v>
      </c>
      <c r="AH27" s="26">
        <f t="shared" si="7"/>
        <v>14</v>
      </c>
      <c r="AI27" s="27">
        <f t="shared" si="8"/>
        <v>21</v>
      </c>
      <c r="AJ27" s="28" t="s">
        <v>45</v>
      </c>
    </row>
    <row r="28" spans="1:38" ht="14.25" customHeight="1">
      <c r="A28" s="15" t="s">
        <v>84</v>
      </c>
      <c r="B28" s="16">
        <v>500</v>
      </c>
      <c r="C28" s="32" t="s">
        <v>40</v>
      </c>
      <c r="D28" s="15" t="s">
        <v>41</v>
      </c>
      <c r="E28" s="33" t="s">
        <v>42</v>
      </c>
      <c r="F28" s="17">
        <v>28</v>
      </c>
      <c r="G28" s="19">
        <v>1</v>
      </c>
      <c r="H28" s="19">
        <f t="shared" si="0"/>
        <v>28</v>
      </c>
      <c r="I28" s="38" t="s">
        <v>42</v>
      </c>
      <c r="J28" s="32"/>
      <c r="K28" s="32"/>
      <c r="L28" s="40">
        <v>6.57</v>
      </c>
      <c r="M28" s="32" t="s">
        <v>85</v>
      </c>
      <c r="N28" s="17">
        <v>112</v>
      </c>
      <c r="O28" s="25">
        <v>112</v>
      </c>
      <c r="U28" s="21"/>
      <c r="V28" s="21">
        <v>8</v>
      </c>
      <c r="W28" s="21">
        <v>5</v>
      </c>
      <c r="X28" s="21">
        <f>20+(V28-4)</f>
        <v>24</v>
      </c>
      <c r="Y28" s="21">
        <v>28</v>
      </c>
      <c r="Z28" s="21">
        <v>32</v>
      </c>
      <c r="AA28" s="21">
        <v>43</v>
      </c>
      <c r="AB28" s="26">
        <f t="shared" si="1"/>
        <v>8.3000000000000007</v>
      </c>
      <c r="AC28" s="27">
        <f t="shared" si="2"/>
        <v>7.6999999999999993</v>
      </c>
      <c r="AD28" s="26">
        <f t="shared" si="3"/>
        <v>9.5</v>
      </c>
      <c r="AE28" s="27">
        <f t="shared" si="4"/>
        <v>10.5</v>
      </c>
      <c r="AF28" s="26">
        <f t="shared" si="5"/>
        <v>10.7</v>
      </c>
      <c r="AG28" s="27">
        <f t="shared" si="6"/>
        <v>13.299999999999999</v>
      </c>
      <c r="AH28" s="26">
        <f t="shared" si="7"/>
        <v>14</v>
      </c>
      <c r="AI28" s="27">
        <f t="shared" si="8"/>
        <v>21</v>
      </c>
      <c r="AJ28" s="28" t="s">
        <v>45</v>
      </c>
    </row>
    <row r="29" spans="1:38" ht="14.25" customHeight="1">
      <c r="A29" s="15" t="s">
        <v>86</v>
      </c>
      <c r="B29" s="16">
        <v>250</v>
      </c>
      <c r="C29" s="32" t="s">
        <v>40</v>
      </c>
      <c r="D29" s="15" t="s">
        <v>41</v>
      </c>
      <c r="E29" s="33" t="s">
        <v>42</v>
      </c>
      <c r="F29" s="17">
        <v>28</v>
      </c>
      <c r="G29" s="19">
        <v>1</v>
      </c>
      <c r="H29" s="19">
        <f t="shared" si="0"/>
        <v>28</v>
      </c>
      <c r="I29" s="38" t="s">
        <v>42</v>
      </c>
      <c r="J29" s="32"/>
      <c r="K29" s="32"/>
      <c r="L29" s="39">
        <v>0.39</v>
      </c>
      <c r="M29" s="32" t="s">
        <v>85</v>
      </c>
      <c r="N29" s="11">
        <f>6*28</f>
        <v>168</v>
      </c>
      <c r="O29" s="42">
        <v>56</v>
      </c>
      <c r="P29" s="1" t="s">
        <v>87</v>
      </c>
      <c r="Q29" s="28">
        <v>56</v>
      </c>
      <c r="R29" s="17">
        <f>6*28</f>
        <v>168</v>
      </c>
      <c r="U29" s="21"/>
      <c r="V29" s="21">
        <v>4</v>
      </c>
      <c r="W29" s="21">
        <v>5</v>
      </c>
      <c r="X29" s="21">
        <v>20</v>
      </c>
      <c r="Y29" s="21">
        <v>24</v>
      </c>
      <c r="Z29" s="21">
        <v>28</v>
      </c>
      <c r="AA29" s="21">
        <v>39</v>
      </c>
      <c r="AB29" s="26">
        <f t="shared" si="1"/>
        <v>8.3000000000000007</v>
      </c>
      <c r="AC29" s="27">
        <f t="shared" si="2"/>
        <v>7.6999999999999993</v>
      </c>
      <c r="AD29" s="26">
        <f t="shared" si="3"/>
        <v>9.5</v>
      </c>
      <c r="AE29" s="27">
        <f t="shared" si="4"/>
        <v>10.5</v>
      </c>
      <c r="AF29" s="26">
        <f t="shared" si="5"/>
        <v>10.7</v>
      </c>
      <c r="AG29" s="27">
        <f t="shared" si="6"/>
        <v>13.299999999999999</v>
      </c>
      <c r="AH29" s="26">
        <f t="shared" si="7"/>
        <v>14</v>
      </c>
      <c r="AI29" s="27">
        <f t="shared" si="8"/>
        <v>21</v>
      </c>
      <c r="AJ29" s="28" t="s">
        <v>45</v>
      </c>
    </row>
    <row r="30" spans="1:38" ht="14.25" customHeight="1">
      <c r="A30" s="15" t="s">
        <v>86</v>
      </c>
      <c r="B30" s="16">
        <v>500</v>
      </c>
      <c r="C30" s="32" t="s">
        <v>40</v>
      </c>
      <c r="D30" s="15" t="s">
        <v>41</v>
      </c>
      <c r="E30" s="33" t="s">
        <v>42</v>
      </c>
      <c r="F30" s="17">
        <v>28</v>
      </c>
      <c r="G30" s="19">
        <v>1</v>
      </c>
      <c r="H30" s="19">
        <f t="shared" si="0"/>
        <v>28</v>
      </c>
      <c r="I30" s="38" t="s">
        <v>42</v>
      </c>
      <c r="J30" s="32"/>
      <c r="K30" s="32"/>
      <c r="L30" s="39">
        <f>0.75*1</f>
        <v>0.75</v>
      </c>
      <c r="M30" s="32" t="s">
        <v>85</v>
      </c>
      <c r="N30" s="11">
        <f>6*28</f>
        <v>168</v>
      </c>
      <c r="O30" s="42">
        <v>56</v>
      </c>
      <c r="P30" s="1" t="s">
        <v>87</v>
      </c>
      <c r="Q30" s="28">
        <v>56</v>
      </c>
      <c r="R30" s="17">
        <f>6*28</f>
        <v>168</v>
      </c>
      <c r="U30" s="21"/>
      <c r="V30" s="21">
        <v>4</v>
      </c>
      <c r="W30" s="21">
        <v>5</v>
      </c>
      <c r="X30" s="21">
        <v>20</v>
      </c>
      <c r="Y30" s="21">
        <v>24</v>
      </c>
      <c r="Z30" s="21">
        <v>28</v>
      </c>
      <c r="AA30" s="21">
        <v>39</v>
      </c>
      <c r="AB30" s="26">
        <f t="shared" si="1"/>
        <v>8.3000000000000007</v>
      </c>
      <c r="AC30" s="27">
        <f t="shared" si="2"/>
        <v>7.6999999999999993</v>
      </c>
      <c r="AD30" s="26">
        <f t="shared" si="3"/>
        <v>9.5</v>
      </c>
      <c r="AE30" s="27">
        <f t="shared" si="4"/>
        <v>10.5</v>
      </c>
      <c r="AF30" s="26">
        <f t="shared" si="5"/>
        <v>10.7</v>
      </c>
      <c r="AG30" s="27">
        <f t="shared" si="6"/>
        <v>13.299999999999999</v>
      </c>
      <c r="AH30" s="26">
        <f t="shared" si="7"/>
        <v>14</v>
      </c>
      <c r="AI30" s="27">
        <f t="shared" si="8"/>
        <v>21</v>
      </c>
      <c r="AJ30" s="28" t="s">
        <v>45</v>
      </c>
    </row>
    <row r="31" spans="1:38" ht="14.25" customHeight="1">
      <c r="A31" s="15" t="s">
        <v>88</v>
      </c>
      <c r="B31" s="16">
        <v>10</v>
      </c>
      <c r="C31" s="32" t="s">
        <v>70</v>
      </c>
      <c r="D31" s="15" t="s">
        <v>41</v>
      </c>
      <c r="E31" s="33" t="s">
        <v>42</v>
      </c>
      <c r="F31" s="17">
        <v>24</v>
      </c>
      <c r="G31" s="19">
        <v>1</v>
      </c>
      <c r="H31" s="19">
        <f t="shared" si="0"/>
        <v>24</v>
      </c>
      <c r="I31" s="38" t="s">
        <v>42</v>
      </c>
      <c r="J31" s="32"/>
      <c r="K31" s="32"/>
      <c r="L31" s="40">
        <v>8.57</v>
      </c>
      <c r="M31" s="32" t="s">
        <v>89</v>
      </c>
      <c r="N31" s="17">
        <v>48</v>
      </c>
      <c r="O31" s="25">
        <v>112</v>
      </c>
      <c r="U31" s="21"/>
      <c r="V31" s="21">
        <v>8</v>
      </c>
      <c r="W31" s="21">
        <v>5</v>
      </c>
      <c r="X31" s="21">
        <v>24</v>
      </c>
      <c r="Y31" s="21">
        <v>28</v>
      </c>
      <c r="Z31" s="21">
        <v>32</v>
      </c>
      <c r="AA31" s="21">
        <v>43</v>
      </c>
      <c r="AB31" s="26">
        <f t="shared" si="1"/>
        <v>8.3000000000000007</v>
      </c>
      <c r="AC31" s="27">
        <f t="shared" si="2"/>
        <v>7.6999999999999993</v>
      </c>
      <c r="AD31" s="26">
        <f t="shared" si="3"/>
        <v>9.5</v>
      </c>
      <c r="AE31" s="27">
        <f t="shared" si="4"/>
        <v>10.5</v>
      </c>
      <c r="AF31" s="26">
        <f t="shared" si="5"/>
        <v>10.7</v>
      </c>
      <c r="AG31" s="27">
        <f t="shared" si="6"/>
        <v>13.299999999999999</v>
      </c>
      <c r="AH31" s="26">
        <f t="shared" si="7"/>
        <v>14</v>
      </c>
      <c r="AI31" s="27">
        <f t="shared" si="8"/>
        <v>21</v>
      </c>
      <c r="AJ31" s="28" t="s">
        <v>45</v>
      </c>
      <c r="AK31" s="15" t="s">
        <v>90</v>
      </c>
    </row>
    <row r="32" spans="1:38" ht="14.25" customHeight="1">
      <c r="A32" s="70" t="s">
        <v>91</v>
      </c>
      <c r="B32" s="16">
        <v>100</v>
      </c>
      <c r="C32" s="32" t="s">
        <v>40</v>
      </c>
      <c r="D32" s="15" t="s">
        <v>92</v>
      </c>
      <c r="E32" s="33" t="s">
        <v>93</v>
      </c>
      <c r="F32" s="17">
        <v>6</v>
      </c>
      <c r="G32" s="19">
        <v>1</v>
      </c>
      <c r="H32" s="19">
        <f t="shared" si="0"/>
        <v>6</v>
      </c>
      <c r="I32" s="38" t="s">
        <v>94</v>
      </c>
      <c r="J32" s="32"/>
      <c r="K32" s="32"/>
      <c r="L32" s="39">
        <v>4.07</v>
      </c>
      <c r="M32" s="32" t="s">
        <v>95</v>
      </c>
      <c r="N32" s="17">
        <v>6</v>
      </c>
      <c r="O32" s="25">
        <v>56</v>
      </c>
      <c r="U32" s="21"/>
      <c r="V32" s="21">
        <v>4</v>
      </c>
      <c r="W32" s="21">
        <v>5</v>
      </c>
      <c r="X32" s="21">
        <v>20</v>
      </c>
      <c r="Y32" s="21">
        <v>24</v>
      </c>
      <c r="Z32" s="21">
        <v>28</v>
      </c>
      <c r="AA32" s="21">
        <v>39</v>
      </c>
      <c r="AB32" s="26">
        <f t="shared" si="1"/>
        <v>8.3000000000000007</v>
      </c>
      <c r="AC32" s="27">
        <f t="shared" si="2"/>
        <v>7.6999999999999993</v>
      </c>
      <c r="AD32" s="26">
        <f t="shared" si="3"/>
        <v>9.5</v>
      </c>
      <c r="AE32" s="27">
        <f t="shared" si="4"/>
        <v>10.5</v>
      </c>
      <c r="AF32" s="26">
        <f t="shared" si="5"/>
        <v>10.7</v>
      </c>
      <c r="AG32" s="27">
        <f t="shared" si="6"/>
        <v>13.299999999999999</v>
      </c>
      <c r="AH32" s="26">
        <f t="shared" si="7"/>
        <v>14</v>
      </c>
      <c r="AI32" s="27">
        <f t="shared" si="8"/>
        <v>21</v>
      </c>
      <c r="AJ32" s="28" t="s">
        <v>45</v>
      </c>
      <c r="AK32" s="15" t="s">
        <v>96</v>
      </c>
      <c r="AL32" s="15" t="s">
        <v>97</v>
      </c>
    </row>
    <row r="33" spans="1:40" ht="14.25" customHeight="1">
      <c r="A33" s="70" t="s">
        <v>98</v>
      </c>
      <c r="B33" s="16">
        <v>200</v>
      </c>
      <c r="C33" s="32" t="s">
        <v>40</v>
      </c>
      <c r="D33" s="15" t="s">
        <v>92</v>
      </c>
      <c r="E33" s="33" t="s">
        <v>42</v>
      </c>
      <c r="F33" s="17">
        <v>14</v>
      </c>
      <c r="G33" s="19">
        <v>1</v>
      </c>
      <c r="H33" s="19">
        <f t="shared" si="0"/>
        <v>14</v>
      </c>
      <c r="I33" s="38" t="s">
        <v>42</v>
      </c>
      <c r="J33" s="32"/>
      <c r="K33" s="32"/>
      <c r="L33" s="39">
        <v>0.39</v>
      </c>
      <c r="M33" s="32" t="s">
        <v>95</v>
      </c>
      <c r="N33" s="17">
        <v>14</v>
      </c>
      <c r="O33" s="25">
        <v>56</v>
      </c>
      <c r="U33" s="21"/>
      <c r="V33" s="21">
        <v>4</v>
      </c>
      <c r="W33" s="21">
        <v>5</v>
      </c>
      <c r="X33" s="21">
        <v>20</v>
      </c>
      <c r="Y33" s="21">
        <v>24</v>
      </c>
      <c r="Z33" s="21">
        <v>28</v>
      </c>
      <c r="AA33" s="21">
        <v>39</v>
      </c>
      <c r="AB33" s="26">
        <f t="shared" si="1"/>
        <v>8.3000000000000007</v>
      </c>
      <c r="AC33" s="27">
        <f t="shared" si="2"/>
        <v>7.6999999999999993</v>
      </c>
      <c r="AD33" s="26">
        <f t="shared" si="3"/>
        <v>9.5</v>
      </c>
      <c r="AE33" s="27">
        <f t="shared" si="4"/>
        <v>10.5</v>
      </c>
      <c r="AF33" s="26">
        <f t="shared" si="5"/>
        <v>10.7</v>
      </c>
      <c r="AG33" s="27">
        <f t="shared" si="6"/>
        <v>13.299999999999999</v>
      </c>
      <c r="AH33" s="26">
        <f t="shared" si="7"/>
        <v>14</v>
      </c>
      <c r="AI33" s="27">
        <f t="shared" si="8"/>
        <v>21</v>
      </c>
      <c r="AJ33" s="28" t="s">
        <v>45</v>
      </c>
      <c r="AK33" s="15" t="s">
        <v>96</v>
      </c>
      <c r="AL33" s="15" t="s">
        <v>97</v>
      </c>
    </row>
    <row r="34" spans="1:40" ht="14.25" customHeight="1">
      <c r="A34" s="70" t="s">
        <v>99</v>
      </c>
      <c r="B34" s="35">
        <v>20</v>
      </c>
      <c r="C34" s="17" t="s">
        <v>40</v>
      </c>
      <c r="D34" s="15" t="s">
        <v>41</v>
      </c>
      <c r="E34" s="33" t="s">
        <v>94</v>
      </c>
      <c r="F34" s="17">
        <f>28*1</f>
        <v>28</v>
      </c>
      <c r="G34" s="19">
        <v>1</v>
      </c>
      <c r="H34" s="19">
        <f t="shared" ref="H34:H65" si="9">F34*G34</f>
        <v>28</v>
      </c>
      <c r="I34" s="38" t="s">
        <v>94</v>
      </c>
      <c r="J34" s="32"/>
      <c r="K34" s="32"/>
      <c r="L34" s="39">
        <f>0.87*1</f>
        <v>0.87</v>
      </c>
      <c r="M34" s="32" t="s">
        <v>100</v>
      </c>
      <c r="N34" s="17">
        <v>112</v>
      </c>
      <c r="O34" s="25">
        <v>168</v>
      </c>
      <c r="U34" s="21"/>
      <c r="V34" s="21">
        <v>4</v>
      </c>
      <c r="W34" s="21">
        <v>5</v>
      </c>
      <c r="X34" s="21">
        <v>20</v>
      </c>
      <c r="Y34" s="21">
        <v>24</v>
      </c>
      <c r="Z34" s="21">
        <v>28</v>
      </c>
      <c r="AA34" s="21">
        <v>39</v>
      </c>
      <c r="AB34" s="26">
        <f t="shared" ref="AB34:AB65" si="10">W34+(X34-V34-W34)*0.3</f>
        <v>8.3000000000000007</v>
      </c>
      <c r="AC34" s="27">
        <f t="shared" ref="AC34:AC65" si="11">(X34-V34-W34)*0.7</f>
        <v>7.6999999999999993</v>
      </c>
      <c r="AD34" s="26">
        <f t="shared" ref="AD34:AD65" si="12">W34+(Y34-V34-W34)*0.3</f>
        <v>9.5</v>
      </c>
      <c r="AE34" s="27">
        <f t="shared" ref="AE34:AE65" si="13">(Y34-V34-W34)*0.7</f>
        <v>10.5</v>
      </c>
      <c r="AF34" s="26">
        <f t="shared" ref="AF34:AF65" si="14">W34+(Z34-V34-W34)*0.3</f>
        <v>10.7</v>
      </c>
      <c r="AG34" s="27">
        <f t="shared" ref="AG34:AG65" si="15">(Z34-V34-W34)*0.7</f>
        <v>13.299999999999999</v>
      </c>
      <c r="AH34" s="26">
        <f t="shared" ref="AH34:AH65" si="16">W34+(AA34-V34-W34)*0.3</f>
        <v>14</v>
      </c>
      <c r="AI34" s="27">
        <f t="shared" ref="AI34:AI65" si="17">(AA34-V34-W34)*0.7</f>
        <v>21</v>
      </c>
      <c r="AJ34" s="28" t="s">
        <v>45</v>
      </c>
    </row>
    <row r="35" spans="1:40" ht="14.25" customHeight="1">
      <c r="A35" s="70" t="s">
        <v>99</v>
      </c>
      <c r="B35" s="35">
        <v>40</v>
      </c>
      <c r="C35" s="17" t="s">
        <v>40</v>
      </c>
      <c r="D35" s="15" t="s">
        <v>41</v>
      </c>
      <c r="E35" s="33" t="s">
        <v>94</v>
      </c>
      <c r="F35" s="17">
        <f>28*1</f>
        <v>28</v>
      </c>
      <c r="G35" s="19">
        <v>1</v>
      </c>
      <c r="H35" s="19">
        <f t="shared" si="9"/>
        <v>28</v>
      </c>
      <c r="I35" s="38" t="s">
        <v>94</v>
      </c>
      <c r="J35" s="32"/>
      <c r="K35" s="32"/>
      <c r="L35" s="39">
        <f>2.45*1</f>
        <v>2.4500000000000002</v>
      </c>
      <c r="M35" s="32" t="s">
        <v>100</v>
      </c>
      <c r="N35" s="17">
        <v>112</v>
      </c>
      <c r="O35" s="25">
        <v>168</v>
      </c>
      <c r="U35" s="21"/>
      <c r="V35" s="21">
        <v>4</v>
      </c>
      <c r="W35" s="21">
        <v>5</v>
      </c>
      <c r="X35" s="22">
        <v>20</v>
      </c>
      <c r="Y35" s="21">
        <v>24</v>
      </c>
      <c r="Z35" s="21">
        <v>28</v>
      </c>
      <c r="AA35" s="21">
        <v>39</v>
      </c>
      <c r="AB35" s="26">
        <f t="shared" si="10"/>
        <v>8.3000000000000007</v>
      </c>
      <c r="AC35" s="27">
        <f t="shared" si="11"/>
        <v>7.6999999999999993</v>
      </c>
      <c r="AD35" s="26">
        <f t="shared" si="12"/>
        <v>9.5</v>
      </c>
      <c r="AE35" s="27">
        <f t="shared" si="13"/>
        <v>10.5</v>
      </c>
      <c r="AF35" s="26">
        <f t="shared" si="14"/>
        <v>10.7</v>
      </c>
      <c r="AG35" s="27">
        <f t="shared" si="15"/>
        <v>13.299999999999999</v>
      </c>
      <c r="AH35" s="26">
        <f t="shared" si="16"/>
        <v>14</v>
      </c>
      <c r="AI35" s="27">
        <f t="shared" si="17"/>
        <v>21</v>
      </c>
      <c r="AJ35" s="28" t="s">
        <v>45</v>
      </c>
    </row>
    <row r="36" spans="1:40" ht="14.25" customHeight="1">
      <c r="A36" s="70" t="s">
        <v>101</v>
      </c>
      <c r="B36" s="35">
        <v>15</v>
      </c>
      <c r="C36" s="17" t="s">
        <v>40</v>
      </c>
      <c r="D36" s="15" t="s">
        <v>41</v>
      </c>
      <c r="E36" s="33" t="s">
        <v>94</v>
      </c>
      <c r="F36" s="17">
        <f>28*1</f>
        <v>28</v>
      </c>
      <c r="G36" s="19">
        <v>1</v>
      </c>
      <c r="H36" s="19">
        <f t="shared" si="9"/>
        <v>28</v>
      </c>
      <c r="I36" s="38" t="s">
        <v>94</v>
      </c>
      <c r="J36" s="32"/>
      <c r="K36" s="32"/>
      <c r="L36" s="39">
        <f>0.42*1</f>
        <v>0.42</v>
      </c>
      <c r="M36" s="32" t="s">
        <v>100</v>
      </c>
      <c r="N36" s="17">
        <v>112</v>
      </c>
      <c r="O36" s="25">
        <v>168</v>
      </c>
      <c r="U36" s="21"/>
      <c r="V36" s="21">
        <v>4</v>
      </c>
      <c r="W36" s="21">
        <v>5</v>
      </c>
      <c r="X36" s="22">
        <v>20</v>
      </c>
      <c r="Y36" s="21">
        <v>24</v>
      </c>
      <c r="Z36" s="21">
        <v>28</v>
      </c>
      <c r="AA36" s="21">
        <v>39</v>
      </c>
      <c r="AB36" s="26">
        <f t="shared" si="10"/>
        <v>8.3000000000000007</v>
      </c>
      <c r="AC36" s="27">
        <f t="shared" si="11"/>
        <v>7.6999999999999993</v>
      </c>
      <c r="AD36" s="26">
        <f t="shared" si="12"/>
        <v>9.5</v>
      </c>
      <c r="AE36" s="27">
        <f t="shared" si="13"/>
        <v>10.5</v>
      </c>
      <c r="AF36" s="26">
        <f t="shared" si="14"/>
        <v>10.7</v>
      </c>
      <c r="AG36" s="27">
        <f t="shared" si="15"/>
        <v>13.299999999999999</v>
      </c>
      <c r="AH36" s="26">
        <f t="shared" si="16"/>
        <v>14</v>
      </c>
      <c r="AI36" s="27">
        <f t="shared" si="17"/>
        <v>21</v>
      </c>
      <c r="AJ36" s="28" t="s">
        <v>45</v>
      </c>
    </row>
    <row r="37" spans="1:40" ht="14.25" customHeight="1">
      <c r="A37" s="70" t="s">
        <v>101</v>
      </c>
      <c r="B37" s="35">
        <v>30</v>
      </c>
      <c r="C37" s="17" t="s">
        <v>40</v>
      </c>
      <c r="D37" s="15" t="s">
        <v>41</v>
      </c>
      <c r="E37" s="33" t="s">
        <v>94</v>
      </c>
      <c r="F37" s="17">
        <f>28*1</f>
        <v>28</v>
      </c>
      <c r="G37" s="19">
        <v>1</v>
      </c>
      <c r="H37" s="19">
        <f t="shared" si="9"/>
        <v>28</v>
      </c>
      <c r="I37" s="38" t="s">
        <v>94</v>
      </c>
      <c r="J37" s="32"/>
      <c r="K37" s="32"/>
      <c r="L37" s="39">
        <f>1.07*1</f>
        <v>1.07</v>
      </c>
      <c r="M37" s="32" t="s">
        <v>100</v>
      </c>
      <c r="N37" s="17">
        <v>112</v>
      </c>
      <c r="O37" s="25">
        <v>168</v>
      </c>
      <c r="U37" s="21"/>
      <c r="V37" s="21">
        <v>4</v>
      </c>
      <c r="W37" s="21">
        <v>5</v>
      </c>
      <c r="X37" s="21">
        <v>20</v>
      </c>
      <c r="Y37" s="21">
        <v>24</v>
      </c>
      <c r="Z37" s="21">
        <v>28</v>
      </c>
      <c r="AA37" s="21">
        <v>39</v>
      </c>
      <c r="AB37" s="26">
        <f t="shared" si="10"/>
        <v>8.3000000000000007</v>
      </c>
      <c r="AC37" s="27">
        <f t="shared" si="11"/>
        <v>7.6999999999999993</v>
      </c>
      <c r="AD37" s="26">
        <f t="shared" si="12"/>
        <v>9.5</v>
      </c>
      <c r="AE37" s="27">
        <f t="shared" si="13"/>
        <v>10.5</v>
      </c>
      <c r="AF37" s="26">
        <f t="shared" si="14"/>
        <v>10.7</v>
      </c>
      <c r="AG37" s="27">
        <f t="shared" si="15"/>
        <v>13.299999999999999</v>
      </c>
      <c r="AH37" s="26">
        <f t="shared" si="16"/>
        <v>14</v>
      </c>
      <c r="AI37" s="27">
        <f t="shared" si="17"/>
        <v>21</v>
      </c>
      <c r="AJ37" s="28" t="s">
        <v>45</v>
      </c>
    </row>
    <row r="38" spans="1:40" ht="14.25" customHeight="1">
      <c r="A38" s="70" t="s">
        <v>102</v>
      </c>
      <c r="B38" s="35">
        <v>20</v>
      </c>
      <c r="C38" s="17" t="s">
        <v>40</v>
      </c>
      <c r="D38" s="15" t="s">
        <v>41</v>
      </c>
      <c r="E38" s="33" t="s">
        <v>94</v>
      </c>
      <c r="F38" s="17">
        <f>28*1</f>
        <v>28</v>
      </c>
      <c r="G38" s="19">
        <v>1</v>
      </c>
      <c r="H38" s="19">
        <f t="shared" si="9"/>
        <v>28</v>
      </c>
      <c r="I38" s="38" t="s">
        <v>94</v>
      </c>
      <c r="J38" s="32"/>
      <c r="K38" s="32"/>
      <c r="L38" s="39">
        <f>3.64*1</f>
        <v>3.64</v>
      </c>
      <c r="M38" s="32" t="s">
        <v>100</v>
      </c>
      <c r="N38" s="17">
        <v>112</v>
      </c>
      <c r="O38" s="25">
        <v>168</v>
      </c>
      <c r="U38" s="21"/>
      <c r="V38" s="21">
        <v>4</v>
      </c>
      <c r="W38" s="21">
        <v>5</v>
      </c>
      <c r="X38" s="21">
        <v>20</v>
      </c>
      <c r="Y38" s="21">
        <v>24</v>
      </c>
      <c r="Z38" s="21">
        <v>28</v>
      </c>
      <c r="AA38" s="21">
        <v>39</v>
      </c>
      <c r="AB38" s="26">
        <f t="shared" si="10"/>
        <v>8.3000000000000007</v>
      </c>
      <c r="AC38" s="27">
        <f t="shared" si="11"/>
        <v>7.6999999999999993</v>
      </c>
      <c r="AD38" s="26">
        <f t="shared" si="12"/>
        <v>9.5</v>
      </c>
      <c r="AE38" s="27">
        <f t="shared" si="13"/>
        <v>10.5</v>
      </c>
      <c r="AF38" s="26">
        <f t="shared" si="14"/>
        <v>10.7</v>
      </c>
      <c r="AG38" s="27">
        <f t="shared" si="15"/>
        <v>13.299999999999999</v>
      </c>
      <c r="AH38" s="26">
        <f t="shared" si="16"/>
        <v>14</v>
      </c>
      <c r="AI38" s="27">
        <f t="shared" si="17"/>
        <v>21</v>
      </c>
      <c r="AJ38" s="28" t="s">
        <v>45</v>
      </c>
    </row>
    <row r="39" spans="1:40" ht="14.25" customHeight="1">
      <c r="A39" s="70" t="s">
        <v>103</v>
      </c>
      <c r="B39" s="43" t="s">
        <v>104</v>
      </c>
      <c r="C39" s="17" t="s">
        <v>54</v>
      </c>
      <c r="D39" s="15" t="s">
        <v>92</v>
      </c>
      <c r="E39" s="38" t="s">
        <v>105</v>
      </c>
      <c r="F39" s="28">
        <v>5</v>
      </c>
      <c r="G39" s="19">
        <v>1</v>
      </c>
      <c r="H39" s="19">
        <f t="shared" si="9"/>
        <v>5</v>
      </c>
      <c r="I39" s="38" t="s">
        <v>106</v>
      </c>
      <c r="J39" s="32"/>
      <c r="K39" s="32"/>
      <c r="L39" s="39">
        <v>3.21</v>
      </c>
      <c r="M39" s="32" t="s">
        <v>107</v>
      </c>
      <c r="N39" s="17">
        <v>5</v>
      </c>
      <c r="O39" s="25">
        <v>84</v>
      </c>
      <c r="U39" s="21"/>
      <c r="V39" s="21">
        <v>4</v>
      </c>
      <c r="W39" s="21">
        <v>5</v>
      </c>
      <c r="X39" s="21">
        <v>20</v>
      </c>
      <c r="Y39" s="21">
        <v>24</v>
      </c>
      <c r="Z39" s="21">
        <v>28</v>
      </c>
      <c r="AA39" s="21">
        <v>39</v>
      </c>
      <c r="AB39" s="26">
        <f t="shared" si="10"/>
        <v>8.3000000000000007</v>
      </c>
      <c r="AC39" s="27">
        <f t="shared" si="11"/>
        <v>7.6999999999999993</v>
      </c>
      <c r="AD39" s="26">
        <f t="shared" si="12"/>
        <v>9.5</v>
      </c>
      <c r="AE39" s="27">
        <f t="shared" si="13"/>
        <v>10.5</v>
      </c>
      <c r="AF39" s="26">
        <f t="shared" si="14"/>
        <v>10.7</v>
      </c>
      <c r="AG39" s="27">
        <f t="shared" si="15"/>
        <v>13.299999999999999</v>
      </c>
      <c r="AH39" s="26">
        <f t="shared" si="16"/>
        <v>14</v>
      </c>
      <c r="AI39" s="27">
        <f t="shared" si="17"/>
        <v>21</v>
      </c>
      <c r="AJ39" s="28" t="s">
        <v>45</v>
      </c>
    </row>
    <row r="40" spans="1:40" ht="14.25" customHeight="1">
      <c r="A40" s="70" t="s">
        <v>108</v>
      </c>
      <c r="B40" s="35" t="s">
        <v>109</v>
      </c>
      <c r="C40" s="17" t="s">
        <v>54</v>
      </c>
      <c r="D40" s="15" t="s">
        <v>92</v>
      </c>
      <c r="E40" s="38" t="s">
        <v>110</v>
      </c>
      <c r="F40" s="28">
        <v>10</v>
      </c>
      <c r="G40" s="19">
        <v>1</v>
      </c>
      <c r="H40" s="19">
        <f t="shared" si="9"/>
        <v>10</v>
      </c>
      <c r="I40" s="38" t="s">
        <v>106</v>
      </c>
      <c r="J40" s="32"/>
      <c r="K40" s="32"/>
      <c r="L40" s="39">
        <v>2.39</v>
      </c>
      <c r="M40" s="32" t="s">
        <v>107</v>
      </c>
      <c r="N40" s="17">
        <v>10</v>
      </c>
      <c r="O40" s="25">
        <v>84</v>
      </c>
      <c r="U40" s="21"/>
      <c r="V40" s="21">
        <v>4</v>
      </c>
      <c r="W40" s="21">
        <v>5</v>
      </c>
      <c r="X40" s="21">
        <v>20</v>
      </c>
      <c r="Y40" s="21">
        <v>24</v>
      </c>
      <c r="Z40" s="21">
        <v>28</v>
      </c>
      <c r="AA40" s="21">
        <v>39</v>
      </c>
      <c r="AB40" s="26">
        <f t="shared" si="10"/>
        <v>8.3000000000000007</v>
      </c>
      <c r="AC40" s="27">
        <f t="shared" si="11"/>
        <v>7.6999999999999993</v>
      </c>
      <c r="AD40" s="26">
        <f t="shared" si="12"/>
        <v>9.5</v>
      </c>
      <c r="AE40" s="27">
        <f t="shared" si="13"/>
        <v>10.5</v>
      </c>
      <c r="AF40" s="26">
        <f t="shared" si="14"/>
        <v>10.7</v>
      </c>
      <c r="AG40" s="27">
        <f t="shared" si="15"/>
        <v>13.299999999999999</v>
      </c>
      <c r="AH40" s="26">
        <f t="shared" si="16"/>
        <v>14</v>
      </c>
      <c r="AI40" s="27">
        <f t="shared" si="17"/>
        <v>21</v>
      </c>
      <c r="AJ40" s="28" t="s">
        <v>45</v>
      </c>
    </row>
    <row r="41" spans="1:40" ht="14.25" customHeight="1">
      <c r="A41" s="70" t="s">
        <v>111</v>
      </c>
      <c r="B41" s="16">
        <v>120</v>
      </c>
      <c r="C41" s="32" t="s">
        <v>40</v>
      </c>
      <c r="D41" s="15" t="s">
        <v>41</v>
      </c>
      <c r="E41" s="33" t="s">
        <v>94</v>
      </c>
      <c r="F41" s="17">
        <v>84</v>
      </c>
      <c r="G41" s="19">
        <v>1</v>
      </c>
      <c r="H41" s="19">
        <f t="shared" si="9"/>
        <v>84</v>
      </c>
      <c r="I41" s="38" t="s">
        <v>94</v>
      </c>
      <c r="J41" s="32"/>
      <c r="K41" s="32"/>
      <c r="L41" s="37">
        <v>24.12</v>
      </c>
      <c r="M41" s="32" t="s">
        <v>112</v>
      </c>
      <c r="N41" s="17">
        <v>336</v>
      </c>
      <c r="O41" s="25">
        <v>84</v>
      </c>
      <c r="U41" s="21"/>
      <c r="V41" s="21">
        <f>L41</f>
        <v>24.12</v>
      </c>
      <c r="W41" s="21">
        <v>5</v>
      </c>
      <c r="X41" s="21">
        <f>20+(V41-4)</f>
        <v>40.120000000000005</v>
      </c>
      <c r="Y41" s="21">
        <f>24+(V41-4)</f>
        <v>44.120000000000005</v>
      </c>
      <c r="Z41" s="21">
        <f>28+(V41-4)</f>
        <v>48.120000000000005</v>
      </c>
      <c r="AA41" s="21">
        <f>39+(V41-4)</f>
        <v>59.120000000000005</v>
      </c>
      <c r="AB41" s="26">
        <f t="shared" si="10"/>
        <v>8.3000000000000007</v>
      </c>
      <c r="AC41" s="27">
        <f t="shared" si="11"/>
        <v>7.700000000000002</v>
      </c>
      <c r="AD41" s="26">
        <f t="shared" si="12"/>
        <v>9.5</v>
      </c>
      <c r="AE41" s="27">
        <f t="shared" si="13"/>
        <v>10.500000000000002</v>
      </c>
      <c r="AF41" s="26">
        <f t="shared" si="14"/>
        <v>10.700000000000001</v>
      </c>
      <c r="AG41" s="27">
        <f t="shared" si="15"/>
        <v>13.300000000000002</v>
      </c>
      <c r="AH41" s="26">
        <f t="shared" si="16"/>
        <v>14</v>
      </c>
      <c r="AI41" s="27">
        <f t="shared" si="17"/>
        <v>21</v>
      </c>
      <c r="AJ41" s="28" t="s">
        <v>45</v>
      </c>
    </row>
    <row r="42" spans="1:40" ht="14.25" customHeight="1">
      <c r="A42" s="70" t="s">
        <v>113</v>
      </c>
      <c r="B42" s="16">
        <v>120</v>
      </c>
      <c r="C42" s="32" t="s">
        <v>40</v>
      </c>
      <c r="D42" s="15" t="s">
        <v>41</v>
      </c>
      <c r="E42" s="38" t="s">
        <v>42</v>
      </c>
      <c r="F42" s="17">
        <v>30</v>
      </c>
      <c r="G42" s="19">
        <v>1</v>
      </c>
      <c r="H42" s="19">
        <f t="shared" si="9"/>
        <v>30</v>
      </c>
      <c r="I42" s="38" t="s">
        <v>42</v>
      </c>
      <c r="J42" s="32"/>
      <c r="K42" s="32"/>
      <c r="L42" s="39">
        <v>1</v>
      </c>
      <c r="M42" s="32" t="s">
        <v>114</v>
      </c>
      <c r="N42" s="15">
        <v>180</v>
      </c>
      <c r="O42" s="44">
        <v>140</v>
      </c>
      <c r="P42" s="32" t="s">
        <v>115</v>
      </c>
      <c r="Q42" s="28">
        <v>140</v>
      </c>
      <c r="R42" s="17">
        <v>180</v>
      </c>
      <c r="U42" s="21"/>
      <c r="V42" s="21">
        <v>4</v>
      </c>
      <c r="W42" s="21">
        <v>5</v>
      </c>
      <c r="X42" s="22">
        <v>20</v>
      </c>
      <c r="Y42" s="21">
        <v>24</v>
      </c>
      <c r="Z42" s="21">
        <v>28</v>
      </c>
      <c r="AA42" s="21">
        <v>39</v>
      </c>
      <c r="AB42" s="26">
        <f t="shared" si="10"/>
        <v>8.3000000000000007</v>
      </c>
      <c r="AC42" s="27">
        <f t="shared" si="11"/>
        <v>7.6999999999999993</v>
      </c>
      <c r="AD42" s="26">
        <f t="shared" si="12"/>
        <v>9.5</v>
      </c>
      <c r="AE42" s="27">
        <f t="shared" si="13"/>
        <v>10.5</v>
      </c>
      <c r="AF42" s="26">
        <f t="shared" si="14"/>
        <v>10.7</v>
      </c>
      <c r="AG42" s="27">
        <f t="shared" si="15"/>
        <v>13.299999999999999</v>
      </c>
      <c r="AH42" s="26">
        <f t="shared" si="16"/>
        <v>14</v>
      </c>
      <c r="AI42" s="27">
        <f t="shared" si="17"/>
        <v>21</v>
      </c>
      <c r="AJ42" s="28" t="s">
        <v>45</v>
      </c>
      <c r="AK42" s="15" t="s">
        <v>116</v>
      </c>
      <c r="AL42" s="15" t="s">
        <v>117</v>
      </c>
      <c r="AM42" s="15" t="s">
        <v>118</v>
      </c>
      <c r="AN42" s="15" t="s">
        <v>119</v>
      </c>
    </row>
    <row r="43" spans="1:40" ht="14.25" customHeight="1">
      <c r="A43" s="70" t="s">
        <v>113</v>
      </c>
      <c r="B43" s="16">
        <v>180</v>
      </c>
      <c r="C43" s="32" t="s">
        <v>40</v>
      </c>
      <c r="D43" s="15" t="s">
        <v>41</v>
      </c>
      <c r="E43" s="33" t="s">
        <v>42</v>
      </c>
      <c r="F43" s="17">
        <v>30</v>
      </c>
      <c r="G43" s="19">
        <v>1</v>
      </c>
      <c r="H43" s="19">
        <f t="shared" si="9"/>
        <v>30</v>
      </c>
      <c r="I43" s="38" t="s">
        <v>42</v>
      </c>
      <c r="J43" s="32"/>
      <c r="K43" s="32"/>
      <c r="L43" s="39">
        <f>1.44*1</f>
        <v>1.44</v>
      </c>
      <c r="M43" s="32" t="s">
        <v>114</v>
      </c>
      <c r="N43" s="15">
        <v>180</v>
      </c>
      <c r="O43" s="44">
        <v>140</v>
      </c>
      <c r="P43" s="32" t="s">
        <v>115</v>
      </c>
      <c r="Q43" s="28">
        <v>140</v>
      </c>
      <c r="R43" s="17">
        <v>180</v>
      </c>
      <c r="U43" s="21"/>
      <c r="V43" s="21">
        <v>4</v>
      </c>
      <c r="W43" s="21">
        <v>5</v>
      </c>
      <c r="X43" s="21">
        <v>20</v>
      </c>
      <c r="Y43" s="21">
        <v>24</v>
      </c>
      <c r="Z43" s="21">
        <v>28</v>
      </c>
      <c r="AA43" s="21">
        <v>39</v>
      </c>
      <c r="AB43" s="26">
        <f t="shared" si="10"/>
        <v>8.3000000000000007</v>
      </c>
      <c r="AC43" s="27">
        <f t="shared" si="11"/>
        <v>7.6999999999999993</v>
      </c>
      <c r="AD43" s="26">
        <f t="shared" si="12"/>
        <v>9.5</v>
      </c>
      <c r="AE43" s="27">
        <f t="shared" si="13"/>
        <v>10.5</v>
      </c>
      <c r="AF43" s="26">
        <f t="shared" si="14"/>
        <v>10.7</v>
      </c>
      <c r="AG43" s="27">
        <f t="shared" si="15"/>
        <v>13.299999999999999</v>
      </c>
      <c r="AH43" s="26">
        <f t="shared" si="16"/>
        <v>14</v>
      </c>
      <c r="AI43" s="27">
        <f t="shared" si="17"/>
        <v>21</v>
      </c>
      <c r="AJ43" s="28" t="s">
        <v>45</v>
      </c>
      <c r="AK43" s="15" t="s">
        <v>116</v>
      </c>
      <c r="AL43" s="15" t="s">
        <v>117</v>
      </c>
      <c r="AM43" s="15" t="s">
        <v>118</v>
      </c>
      <c r="AN43" s="15" t="s">
        <v>119</v>
      </c>
    </row>
    <row r="44" spans="1:40" ht="14.25" customHeight="1">
      <c r="A44" s="70" t="s">
        <v>120</v>
      </c>
      <c r="B44" s="35">
        <v>1</v>
      </c>
      <c r="C44" s="15" t="s">
        <v>121</v>
      </c>
      <c r="D44" s="15" t="s">
        <v>41</v>
      </c>
      <c r="E44" s="33" t="s">
        <v>122</v>
      </c>
      <c r="F44" s="15">
        <v>5</v>
      </c>
      <c r="G44" s="19">
        <v>1</v>
      </c>
      <c r="H44" s="19">
        <f t="shared" si="9"/>
        <v>5</v>
      </c>
      <c r="I44" s="38" t="s">
        <v>106</v>
      </c>
      <c r="J44" s="32"/>
      <c r="K44" s="32"/>
      <c r="L44" s="39">
        <v>3.41</v>
      </c>
      <c r="M44" s="32" t="s">
        <v>114</v>
      </c>
      <c r="N44" s="17">
        <v>30</v>
      </c>
      <c r="O44" s="44">
        <v>140</v>
      </c>
      <c r="U44" s="21"/>
      <c r="V44" s="21">
        <v>4</v>
      </c>
      <c r="W44" s="21">
        <v>5</v>
      </c>
      <c r="X44" s="21">
        <v>20</v>
      </c>
      <c r="Y44" s="21">
        <v>24</v>
      </c>
      <c r="Z44" s="21">
        <v>28</v>
      </c>
      <c r="AA44" s="21">
        <v>39</v>
      </c>
      <c r="AB44" s="26">
        <f t="shared" si="10"/>
        <v>8.3000000000000007</v>
      </c>
      <c r="AC44" s="27">
        <f t="shared" si="11"/>
        <v>7.6999999999999993</v>
      </c>
      <c r="AD44" s="26">
        <f t="shared" si="12"/>
        <v>9.5</v>
      </c>
      <c r="AE44" s="27">
        <f t="shared" si="13"/>
        <v>10.5</v>
      </c>
      <c r="AF44" s="26">
        <f t="shared" si="14"/>
        <v>10.7</v>
      </c>
      <c r="AG44" s="27">
        <f t="shared" si="15"/>
        <v>13.299999999999999</v>
      </c>
      <c r="AH44" s="26">
        <f t="shared" si="16"/>
        <v>14</v>
      </c>
      <c r="AI44" s="27">
        <f t="shared" si="17"/>
        <v>21</v>
      </c>
      <c r="AJ44" s="28" t="s">
        <v>45</v>
      </c>
      <c r="AK44" s="15" t="s">
        <v>123</v>
      </c>
      <c r="AL44" s="15" t="s">
        <v>116</v>
      </c>
      <c r="AM44" s="15" t="s">
        <v>117</v>
      </c>
      <c r="AN44" s="15" t="s">
        <v>118</v>
      </c>
    </row>
    <row r="45" spans="1:40" ht="14.25" customHeight="1">
      <c r="A45" s="71" t="s">
        <v>124</v>
      </c>
      <c r="B45" s="35">
        <v>27.5</v>
      </c>
      <c r="C45" s="17" t="s">
        <v>70</v>
      </c>
      <c r="D45" s="15" t="s">
        <v>41</v>
      </c>
      <c r="E45" s="33" t="s">
        <v>125</v>
      </c>
      <c r="F45" s="17">
        <v>1</v>
      </c>
      <c r="G45" s="19">
        <v>1</v>
      </c>
      <c r="H45" s="19">
        <f t="shared" si="9"/>
        <v>1</v>
      </c>
      <c r="I45" s="38" t="s">
        <v>126</v>
      </c>
      <c r="J45" s="32"/>
      <c r="K45" s="32"/>
      <c r="L45" s="39">
        <v>6.44</v>
      </c>
      <c r="M45" s="32" t="s">
        <v>114</v>
      </c>
      <c r="N45" s="15">
        <v>6</v>
      </c>
      <c r="O45" s="44">
        <v>140</v>
      </c>
      <c r="P45" s="32" t="s">
        <v>127</v>
      </c>
      <c r="Q45" s="28">
        <v>140</v>
      </c>
      <c r="R45" s="17">
        <v>6</v>
      </c>
      <c r="V45" s="17">
        <v>4</v>
      </c>
      <c r="W45" s="21">
        <v>5</v>
      </c>
      <c r="X45" s="21">
        <v>20</v>
      </c>
      <c r="Y45" s="21">
        <v>24</v>
      </c>
      <c r="Z45" s="21">
        <v>28</v>
      </c>
      <c r="AA45" s="21">
        <v>39</v>
      </c>
      <c r="AB45" s="26">
        <f t="shared" si="10"/>
        <v>8.3000000000000007</v>
      </c>
      <c r="AC45" s="27">
        <f t="shared" si="11"/>
        <v>7.6999999999999993</v>
      </c>
      <c r="AD45" s="26">
        <f t="shared" si="12"/>
        <v>9.5</v>
      </c>
      <c r="AE45" s="27">
        <f t="shared" si="13"/>
        <v>10.5</v>
      </c>
      <c r="AF45" s="26">
        <f t="shared" si="14"/>
        <v>10.7</v>
      </c>
      <c r="AG45" s="27">
        <f t="shared" si="15"/>
        <v>13.299999999999999</v>
      </c>
      <c r="AH45" s="26">
        <f t="shared" si="16"/>
        <v>14</v>
      </c>
      <c r="AI45" s="27">
        <f t="shared" si="17"/>
        <v>21</v>
      </c>
      <c r="AJ45" s="28" t="s">
        <v>45</v>
      </c>
      <c r="AK45" s="15" t="s">
        <v>117</v>
      </c>
      <c r="AL45" s="15" t="s">
        <v>118</v>
      </c>
      <c r="AM45" s="15" t="s">
        <v>123</v>
      </c>
      <c r="AN45" s="15" t="s">
        <v>119</v>
      </c>
    </row>
    <row r="46" spans="1:40" ht="14.25" customHeight="1">
      <c r="A46" s="70" t="s">
        <v>128</v>
      </c>
      <c r="B46" s="35">
        <v>0.1</v>
      </c>
      <c r="C46" s="17" t="s">
        <v>54</v>
      </c>
      <c r="D46" s="15" t="s">
        <v>41</v>
      </c>
      <c r="E46" s="33" t="s">
        <v>125</v>
      </c>
      <c r="F46" s="17">
        <v>1</v>
      </c>
      <c r="G46" s="19">
        <v>1</v>
      </c>
      <c r="H46" s="19">
        <f t="shared" si="9"/>
        <v>1</v>
      </c>
      <c r="I46" s="38" t="s">
        <v>126</v>
      </c>
      <c r="J46" s="32"/>
      <c r="K46" s="32"/>
      <c r="L46" s="37">
        <v>10.5</v>
      </c>
      <c r="M46" s="32" t="s">
        <v>114</v>
      </c>
      <c r="N46" s="15">
        <v>6</v>
      </c>
      <c r="O46" s="44">
        <v>140</v>
      </c>
      <c r="V46" s="17">
        <f>L46</f>
        <v>10.5</v>
      </c>
      <c r="W46" s="21">
        <v>5</v>
      </c>
      <c r="X46" s="21">
        <f>20+V46-4</f>
        <v>26.5</v>
      </c>
      <c r="Y46" s="21">
        <f>24+V46-4</f>
        <v>30.5</v>
      </c>
      <c r="Z46" s="21">
        <f>28+V46-4</f>
        <v>34.5</v>
      </c>
      <c r="AA46" s="21">
        <f>39+V46-4</f>
        <v>45.5</v>
      </c>
      <c r="AB46" s="26">
        <f t="shared" si="10"/>
        <v>8.3000000000000007</v>
      </c>
      <c r="AC46" s="27">
        <f t="shared" si="11"/>
        <v>7.6999999999999993</v>
      </c>
      <c r="AD46" s="26">
        <f t="shared" si="12"/>
        <v>9.5</v>
      </c>
      <c r="AE46" s="27">
        <f t="shared" si="13"/>
        <v>10.5</v>
      </c>
      <c r="AF46" s="26">
        <f t="shared" si="14"/>
        <v>10.7</v>
      </c>
      <c r="AG46" s="27">
        <f t="shared" si="15"/>
        <v>13.299999999999999</v>
      </c>
      <c r="AH46" s="26">
        <f t="shared" si="16"/>
        <v>14</v>
      </c>
      <c r="AI46" s="27">
        <f t="shared" si="17"/>
        <v>21</v>
      </c>
      <c r="AJ46" s="28" t="s">
        <v>45</v>
      </c>
      <c r="AK46" s="15" t="s">
        <v>118</v>
      </c>
      <c r="AL46" s="15" t="s">
        <v>116</v>
      </c>
      <c r="AM46" s="15" t="s">
        <v>123</v>
      </c>
      <c r="AN46" s="15" t="s">
        <v>119</v>
      </c>
    </row>
    <row r="47" spans="1:40" ht="14.25" customHeight="1">
      <c r="A47" s="70" t="s">
        <v>129</v>
      </c>
      <c r="B47" s="35">
        <v>50</v>
      </c>
      <c r="C47" s="17" t="s">
        <v>130</v>
      </c>
      <c r="D47" s="15" t="s">
        <v>41</v>
      </c>
      <c r="E47" s="33" t="s">
        <v>125</v>
      </c>
      <c r="F47" s="17">
        <v>1</v>
      </c>
      <c r="G47" s="19">
        <v>1</v>
      </c>
      <c r="H47" s="19">
        <f t="shared" si="9"/>
        <v>1</v>
      </c>
      <c r="I47" s="38" t="s">
        <v>126</v>
      </c>
      <c r="J47" s="32"/>
      <c r="K47" s="32"/>
      <c r="L47" s="39">
        <v>5.26</v>
      </c>
      <c r="M47" s="32" t="s">
        <v>114</v>
      </c>
      <c r="N47" s="15">
        <v>6</v>
      </c>
      <c r="O47" s="44">
        <v>140</v>
      </c>
      <c r="P47" s="32" t="s">
        <v>127</v>
      </c>
      <c r="Q47" s="28">
        <v>140</v>
      </c>
      <c r="R47" s="15">
        <v>6</v>
      </c>
      <c r="S47" s="32"/>
      <c r="T47" s="32"/>
      <c r="V47" s="17">
        <v>4</v>
      </c>
      <c r="W47" s="21">
        <v>5</v>
      </c>
      <c r="X47" s="21">
        <v>20</v>
      </c>
      <c r="Y47" s="21">
        <v>24</v>
      </c>
      <c r="Z47" s="21">
        <v>28</v>
      </c>
      <c r="AA47" s="21">
        <v>39</v>
      </c>
      <c r="AB47" s="26">
        <f t="shared" si="10"/>
        <v>8.3000000000000007</v>
      </c>
      <c r="AC47" s="27">
        <f t="shared" si="11"/>
        <v>7.6999999999999993</v>
      </c>
      <c r="AD47" s="26">
        <f t="shared" si="12"/>
        <v>9.5</v>
      </c>
      <c r="AE47" s="27">
        <f t="shared" si="13"/>
        <v>10.5</v>
      </c>
      <c r="AF47" s="26">
        <f t="shared" si="14"/>
        <v>10.7</v>
      </c>
      <c r="AG47" s="27">
        <f t="shared" si="15"/>
        <v>13.299999999999999</v>
      </c>
      <c r="AH47" s="26">
        <f t="shared" si="16"/>
        <v>14</v>
      </c>
      <c r="AI47" s="27">
        <f t="shared" si="17"/>
        <v>21</v>
      </c>
      <c r="AJ47" s="28" t="s">
        <v>45</v>
      </c>
      <c r="AK47" s="15" t="s">
        <v>117</v>
      </c>
      <c r="AL47" s="15" t="s">
        <v>116</v>
      </c>
      <c r="AM47" s="15" t="s">
        <v>123</v>
      </c>
      <c r="AN47" s="15" t="s">
        <v>119</v>
      </c>
    </row>
    <row r="48" spans="1:40" ht="14.25" customHeight="1">
      <c r="A48" s="70" t="s">
        <v>131</v>
      </c>
      <c r="B48" s="35">
        <v>0.5</v>
      </c>
      <c r="C48" s="17" t="s">
        <v>121</v>
      </c>
      <c r="D48" s="15" t="s">
        <v>41</v>
      </c>
      <c r="E48" s="33" t="s">
        <v>122</v>
      </c>
      <c r="F48" s="15">
        <v>8</v>
      </c>
      <c r="G48" s="19">
        <v>1</v>
      </c>
      <c r="H48" s="19">
        <f t="shared" si="9"/>
        <v>8</v>
      </c>
      <c r="I48" s="38" t="s">
        <v>106</v>
      </c>
      <c r="J48" s="32"/>
      <c r="K48" s="32"/>
      <c r="L48" s="39">
        <v>5.32</v>
      </c>
      <c r="M48" s="32" t="s">
        <v>114</v>
      </c>
      <c r="N48" s="17">
        <v>48</v>
      </c>
      <c r="O48" s="44">
        <v>140</v>
      </c>
      <c r="V48" s="17">
        <v>4</v>
      </c>
      <c r="W48" s="21">
        <v>5</v>
      </c>
      <c r="X48" s="21">
        <v>20</v>
      </c>
      <c r="Y48" s="21">
        <v>24</v>
      </c>
      <c r="Z48" s="21">
        <v>28</v>
      </c>
      <c r="AA48" s="21">
        <v>39</v>
      </c>
      <c r="AB48" s="26">
        <f t="shared" si="10"/>
        <v>8.3000000000000007</v>
      </c>
      <c r="AC48" s="27">
        <f t="shared" si="11"/>
        <v>7.6999999999999993</v>
      </c>
      <c r="AD48" s="26">
        <f t="shared" si="12"/>
        <v>9.5</v>
      </c>
      <c r="AE48" s="27">
        <f t="shared" si="13"/>
        <v>10.5</v>
      </c>
      <c r="AF48" s="26">
        <f t="shared" si="14"/>
        <v>10.7</v>
      </c>
      <c r="AG48" s="27">
        <f t="shared" si="15"/>
        <v>13.299999999999999</v>
      </c>
      <c r="AH48" s="26">
        <f t="shared" si="16"/>
        <v>14</v>
      </c>
      <c r="AI48" s="27">
        <f t="shared" si="17"/>
        <v>21</v>
      </c>
      <c r="AJ48" s="28" t="s">
        <v>45</v>
      </c>
      <c r="AK48" s="15" t="s">
        <v>117</v>
      </c>
      <c r="AL48" s="15" t="s">
        <v>116</v>
      </c>
      <c r="AM48" s="15" t="s">
        <v>123</v>
      </c>
      <c r="AN48" s="15" t="s">
        <v>118</v>
      </c>
    </row>
    <row r="49" spans="1:37" ht="14.25" customHeight="1">
      <c r="A49" s="70" t="s">
        <v>132</v>
      </c>
      <c r="B49" s="35">
        <v>300</v>
      </c>
      <c r="C49" s="17" t="s">
        <v>70</v>
      </c>
      <c r="D49" s="15" t="s">
        <v>41</v>
      </c>
      <c r="E49" s="38" t="s">
        <v>133</v>
      </c>
      <c r="F49" s="15">
        <v>1</v>
      </c>
      <c r="G49" s="19">
        <v>1</v>
      </c>
      <c r="H49" s="19">
        <f t="shared" si="9"/>
        <v>1</v>
      </c>
      <c r="I49" s="38" t="s">
        <v>126</v>
      </c>
      <c r="J49" s="32"/>
      <c r="K49" s="32"/>
      <c r="L49" s="40">
        <f>34.3/4</f>
        <v>8.5749999999999993</v>
      </c>
      <c r="M49" s="32" t="s">
        <v>115</v>
      </c>
      <c r="N49" s="17">
        <v>4</v>
      </c>
      <c r="O49" s="25">
        <v>280</v>
      </c>
      <c r="V49" s="17">
        <f>L49</f>
        <v>8.5749999999999993</v>
      </c>
      <c r="W49" s="21">
        <v>5</v>
      </c>
      <c r="X49" s="21">
        <f>20+$V$225-4</f>
        <v>33.549999999999997</v>
      </c>
      <c r="Y49" s="21">
        <f>24+$V$225-4</f>
        <v>37.549999999999997</v>
      </c>
      <c r="Z49" s="21">
        <f>28+$V$225-4</f>
        <v>41.55</v>
      </c>
      <c r="AA49" s="21">
        <f>39+$V$225-4</f>
        <v>52.55</v>
      </c>
      <c r="AB49" s="26">
        <f t="shared" si="10"/>
        <v>10.9925</v>
      </c>
      <c r="AC49" s="27">
        <f t="shared" si="11"/>
        <v>13.982499999999998</v>
      </c>
      <c r="AD49" s="26">
        <f t="shared" si="12"/>
        <v>12.192499999999999</v>
      </c>
      <c r="AE49" s="27">
        <f t="shared" si="13"/>
        <v>16.782499999999999</v>
      </c>
      <c r="AF49" s="26">
        <f t="shared" si="14"/>
        <v>13.392499999999998</v>
      </c>
      <c r="AG49" s="27">
        <f t="shared" si="15"/>
        <v>19.582499999999996</v>
      </c>
      <c r="AH49" s="26">
        <f t="shared" si="16"/>
        <v>16.692499999999995</v>
      </c>
      <c r="AI49" s="27">
        <f t="shared" si="17"/>
        <v>27.282499999999995</v>
      </c>
      <c r="AJ49" s="28" t="s">
        <v>45</v>
      </c>
      <c r="AK49" s="15" t="s">
        <v>113</v>
      </c>
    </row>
    <row r="50" spans="1:37" ht="14.25" customHeight="1">
      <c r="A50" s="70" t="s">
        <v>134</v>
      </c>
      <c r="B50" s="35">
        <v>0.5</v>
      </c>
      <c r="C50" s="17" t="s">
        <v>54</v>
      </c>
      <c r="D50" s="15" t="s">
        <v>41</v>
      </c>
      <c r="E50" s="38" t="s">
        <v>135</v>
      </c>
      <c r="F50" s="28">
        <v>60</v>
      </c>
      <c r="G50" s="19">
        <v>1</v>
      </c>
      <c r="H50" s="19">
        <f t="shared" si="9"/>
        <v>60</v>
      </c>
      <c r="I50" s="38" t="s">
        <v>56</v>
      </c>
      <c r="J50" s="32"/>
      <c r="K50" s="32"/>
      <c r="L50" s="39">
        <v>1.25</v>
      </c>
      <c r="M50" s="32" t="s">
        <v>87</v>
      </c>
      <c r="N50" s="28">
        <v>180</v>
      </c>
      <c r="O50" s="25">
        <v>112</v>
      </c>
      <c r="V50" s="17">
        <v>4</v>
      </c>
      <c r="W50" s="21">
        <v>5</v>
      </c>
      <c r="X50" s="21">
        <v>20</v>
      </c>
      <c r="Y50" s="21">
        <v>24</v>
      </c>
      <c r="Z50" s="21">
        <v>28</v>
      </c>
      <c r="AA50" s="21">
        <v>39</v>
      </c>
      <c r="AB50" s="26">
        <f t="shared" si="10"/>
        <v>8.3000000000000007</v>
      </c>
      <c r="AC50" s="27">
        <f t="shared" si="11"/>
        <v>7.6999999999999993</v>
      </c>
      <c r="AD50" s="26">
        <f t="shared" si="12"/>
        <v>9.5</v>
      </c>
      <c r="AE50" s="27">
        <f t="shared" si="13"/>
        <v>10.5</v>
      </c>
      <c r="AF50" s="26">
        <f t="shared" si="14"/>
        <v>10.7</v>
      </c>
      <c r="AG50" s="27">
        <f t="shared" si="15"/>
        <v>13.299999999999999</v>
      </c>
      <c r="AH50" s="26">
        <f t="shared" si="16"/>
        <v>14</v>
      </c>
      <c r="AI50" s="27">
        <f t="shared" si="17"/>
        <v>21</v>
      </c>
      <c r="AJ50" s="28" t="s">
        <v>45</v>
      </c>
      <c r="AK50" s="15" t="s">
        <v>86</v>
      </c>
    </row>
    <row r="51" spans="1:37" ht="14.25" customHeight="1">
      <c r="A51" s="70" t="s">
        <v>134</v>
      </c>
      <c r="B51" s="35">
        <v>0.5</v>
      </c>
      <c r="C51" s="17" t="s">
        <v>54</v>
      </c>
      <c r="D51" s="15" t="s">
        <v>41</v>
      </c>
      <c r="E51" s="38" t="s">
        <v>135</v>
      </c>
      <c r="F51" s="28">
        <v>112</v>
      </c>
      <c r="G51" s="19">
        <v>1</v>
      </c>
      <c r="H51" s="19">
        <f t="shared" si="9"/>
        <v>112</v>
      </c>
      <c r="I51" s="38" t="s">
        <v>56</v>
      </c>
      <c r="J51" s="32"/>
      <c r="K51" s="32"/>
      <c r="L51" s="39">
        <v>2.8</v>
      </c>
      <c r="M51" s="32" t="s">
        <v>87</v>
      </c>
      <c r="N51" s="28">
        <v>224</v>
      </c>
      <c r="O51" s="25">
        <v>112</v>
      </c>
      <c r="V51" s="17">
        <v>8</v>
      </c>
      <c r="W51" s="21">
        <v>5</v>
      </c>
      <c r="X51" s="21">
        <v>24</v>
      </c>
      <c r="Y51" s="21">
        <v>28</v>
      </c>
      <c r="Z51" s="21">
        <v>32</v>
      </c>
      <c r="AA51" s="21">
        <v>43</v>
      </c>
      <c r="AB51" s="26">
        <f t="shared" si="10"/>
        <v>8.3000000000000007</v>
      </c>
      <c r="AC51" s="27">
        <f t="shared" si="11"/>
        <v>7.6999999999999993</v>
      </c>
      <c r="AD51" s="26">
        <f t="shared" si="12"/>
        <v>9.5</v>
      </c>
      <c r="AE51" s="27">
        <f t="shared" si="13"/>
        <v>10.5</v>
      </c>
      <c r="AF51" s="26">
        <f t="shared" si="14"/>
        <v>10.7</v>
      </c>
      <c r="AG51" s="27">
        <f t="shared" si="15"/>
        <v>13.299999999999999</v>
      </c>
      <c r="AH51" s="26">
        <f t="shared" si="16"/>
        <v>14</v>
      </c>
      <c r="AI51" s="27">
        <f t="shared" si="17"/>
        <v>21</v>
      </c>
      <c r="AJ51" s="28" t="s">
        <v>45</v>
      </c>
      <c r="AK51" s="15" t="s">
        <v>86</v>
      </c>
    </row>
    <row r="52" spans="1:37" ht="14.25" customHeight="1">
      <c r="A52" s="70" t="s">
        <v>136</v>
      </c>
      <c r="B52" s="35">
        <v>5</v>
      </c>
      <c r="C52" s="17" t="s">
        <v>40</v>
      </c>
      <c r="D52" s="15" t="s">
        <v>41</v>
      </c>
      <c r="E52" s="33" t="s">
        <v>42</v>
      </c>
      <c r="F52" s="17">
        <v>28</v>
      </c>
      <c r="G52" s="19">
        <v>1</v>
      </c>
      <c r="H52" s="19">
        <f t="shared" si="9"/>
        <v>28</v>
      </c>
      <c r="I52" s="38" t="s">
        <v>42</v>
      </c>
      <c r="J52" s="32"/>
      <c r="K52" s="32"/>
      <c r="L52" s="39">
        <v>5.38</v>
      </c>
      <c r="M52" s="32" t="s">
        <v>137</v>
      </c>
      <c r="N52" s="17">
        <v>84</v>
      </c>
      <c r="O52" s="25">
        <v>84</v>
      </c>
      <c r="V52" s="17">
        <v>4</v>
      </c>
      <c r="W52" s="21">
        <v>5</v>
      </c>
      <c r="X52" s="21">
        <v>20</v>
      </c>
      <c r="Y52" s="21">
        <v>24</v>
      </c>
      <c r="Z52" s="21">
        <v>28</v>
      </c>
      <c r="AA52" s="21">
        <v>39</v>
      </c>
      <c r="AB52" s="26">
        <f t="shared" si="10"/>
        <v>8.3000000000000007</v>
      </c>
      <c r="AC52" s="27">
        <f t="shared" si="11"/>
        <v>7.6999999999999993</v>
      </c>
      <c r="AD52" s="26">
        <f t="shared" si="12"/>
        <v>9.5</v>
      </c>
      <c r="AE52" s="27">
        <f t="shared" si="13"/>
        <v>10.5</v>
      </c>
      <c r="AF52" s="26">
        <f t="shared" si="14"/>
        <v>10.7</v>
      </c>
      <c r="AG52" s="27">
        <f t="shared" si="15"/>
        <v>13.299999999999999</v>
      </c>
      <c r="AH52" s="26">
        <f t="shared" si="16"/>
        <v>14</v>
      </c>
      <c r="AI52" s="27">
        <f t="shared" si="17"/>
        <v>21</v>
      </c>
      <c r="AJ52" s="28" t="s">
        <v>45</v>
      </c>
    </row>
    <row r="53" spans="1:37" ht="14.25" customHeight="1">
      <c r="A53" s="70" t="s">
        <v>138</v>
      </c>
      <c r="B53" s="35">
        <v>50</v>
      </c>
      <c r="C53" s="17" t="s">
        <v>40</v>
      </c>
      <c r="D53" s="15" t="s">
        <v>41</v>
      </c>
      <c r="E53" s="33" t="s">
        <v>42</v>
      </c>
      <c r="F53" s="17">
        <v>50</v>
      </c>
      <c r="G53" s="19">
        <v>1</v>
      </c>
      <c r="H53" s="19">
        <f t="shared" si="9"/>
        <v>50</v>
      </c>
      <c r="I53" s="38" t="s">
        <v>42</v>
      </c>
      <c r="J53" s="32"/>
      <c r="K53" s="32"/>
      <c r="L53" s="39">
        <v>3.48</v>
      </c>
      <c r="M53" s="32" t="s">
        <v>137</v>
      </c>
      <c r="N53" s="17">
        <v>100</v>
      </c>
      <c r="O53" s="25">
        <v>84</v>
      </c>
      <c r="V53" s="17">
        <v>4</v>
      </c>
      <c r="W53" s="21">
        <v>5</v>
      </c>
      <c r="X53" s="21">
        <v>20</v>
      </c>
      <c r="Y53" s="21">
        <v>24</v>
      </c>
      <c r="Z53" s="21">
        <v>28</v>
      </c>
      <c r="AA53" s="21">
        <v>39</v>
      </c>
      <c r="AB53" s="26">
        <f t="shared" si="10"/>
        <v>8.3000000000000007</v>
      </c>
      <c r="AC53" s="27">
        <f t="shared" si="11"/>
        <v>7.6999999999999993</v>
      </c>
      <c r="AD53" s="26">
        <f t="shared" si="12"/>
        <v>9.5</v>
      </c>
      <c r="AE53" s="27">
        <f t="shared" si="13"/>
        <v>10.5</v>
      </c>
      <c r="AF53" s="26">
        <f t="shared" si="14"/>
        <v>10.7</v>
      </c>
      <c r="AG53" s="27">
        <f t="shared" si="15"/>
        <v>13.299999999999999</v>
      </c>
      <c r="AH53" s="26">
        <f t="shared" si="16"/>
        <v>14</v>
      </c>
      <c r="AI53" s="27">
        <f t="shared" si="17"/>
        <v>21</v>
      </c>
      <c r="AJ53" s="28" t="s">
        <v>45</v>
      </c>
    </row>
    <row r="54" spans="1:37" ht="14.25" customHeight="1">
      <c r="A54" s="70" t="s">
        <v>139</v>
      </c>
      <c r="B54" s="35">
        <v>2</v>
      </c>
      <c r="C54" s="17" t="s">
        <v>54</v>
      </c>
      <c r="D54" s="15" t="s">
        <v>41</v>
      </c>
      <c r="E54" s="38" t="s">
        <v>140</v>
      </c>
      <c r="F54" s="17">
        <v>120</v>
      </c>
      <c r="G54" s="19">
        <v>1</v>
      </c>
      <c r="H54" s="19">
        <f t="shared" si="9"/>
        <v>120</v>
      </c>
      <c r="I54" s="15" t="s">
        <v>106</v>
      </c>
      <c r="J54" s="32"/>
      <c r="K54" s="32"/>
      <c r="L54" s="37">
        <v>14.8</v>
      </c>
      <c r="M54" s="32" t="s">
        <v>141</v>
      </c>
      <c r="N54" s="17">
        <v>360</v>
      </c>
      <c r="O54" s="25">
        <v>112</v>
      </c>
      <c r="V54" s="17">
        <f>L54</f>
        <v>14.8</v>
      </c>
      <c r="W54" s="21">
        <v>5</v>
      </c>
      <c r="X54" s="21">
        <f>20+$V$236-4</f>
        <v>20</v>
      </c>
      <c r="Y54" s="21">
        <f>24+$V$236-4</f>
        <v>24</v>
      </c>
      <c r="Z54" s="21">
        <f>28+$V$236-4</f>
        <v>28</v>
      </c>
      <c r="AA54" s="21">
        <f>39+$V$236-4</f>
        <v>39</v>
      </c>
      <c r="AB54" s="26">
        <f t="shared" si="10"/>
        <v>5.0599999999999996</v>
      </c>
      <c r="AC54" s="27">
        <f t="shared" si="11"/>
        <v>0.13999999999999949</v>
      </c>
      <c r="AD54" s="26">
        <f t="shared" si="12"/>
        <v>6.26</v>
      </c>
      <c r="AE54" s="27">
        <f t="shared" si="13"/>
        <v>2.9399999999999995</v>
      </c>
      <c r="AF54" s="26">
        <f t="shared" si="14"/>
        <v>7.4599999999999991</v>
      </c>
      <c r="AG54" s="27">
        <f t="shared" si="15"/>
        <v>5.7399999999999993</v>
      </c>
      <c r="AH54" s="26">
        <f t="shared" si="16"/>
        <v>10.76</v>
      </c>
      <c r="AI54" s="27">
        <f t="shared" si="17"/>
        <v>13.44</v>
      </c>
      <c r="AJ54" s="28" t="s">
        <v>45</v>
      </c>
    </row>
    <row r="55" spans="1:37" ht="14.25" customHeight="1">
      <c r="A55" s="72" t="s">
        <v>142</v>
      </c>
      <c r="B55" s="47" t="s">
        <v>143</v>
      </c>
      <c r="C55" s="17" t="s">
        <v>54</v>
      </c>
      <c r="D55" s="15" t="s">
        <v>41</v>
      </c>
      <c r="E55" s="38" t="s">
        <v>140</v>
      </c>
      <c r="F55" s="17">
        <v>250</v>
      </c>
      <c r="G55" s="19">
        <v>1</v>
      </c>
      <c r="H55" s="19">
        <f t="shared" si="9"/>
        <v>250</v>
      </c>
      <c r="I55" s="15" t="s">
        <v>106</v>
      </c>
      <c r="J55" s="32"/>
      <c r="K55" s="32"/>
      <c r="L55" s="39">
        <v>5.24</v>
      </c>
      <c r="M55" s="32" t="s">
        <v>141</v>
      </c>
      <c r="N55" s="17">
        <v>750</v>
      </c>
      <c r="O55" s="25">
        <v>112</v>
      </c>
      <c r="V55" s="17">
        <v>4</v>
      </c>
      <c r="W55" s="21">
        <v>5</v>
      </c>
      <c r="X55" s="21">
        <v>20</v>
      </c>
      <c r="Y55" s="21">
        <v>24</v>
      </c>
      <c r="Z55" s="21">
        <v>28</v>
      </c>
      <c r="AA55" s="21">
        <v>39</v>
      </c>
      <c r="AB55" s="26">
        <f t="shared" si="10"/>
        <v>8.3000000000000007</v>
      </c>
      <c r="AC55" s="27">
        <f t="shared" si="11"/>
        <v>7.6999999999999993</v>
      </c>
      <c r="AD55" s="26">
        <f t="shared" si="12"/>
        <v>9.5</v>
      </c>
      <c r="AE55" s="27">
        <f t="shared" si="13"/>
        <v>10.5</v>
      </c>
      <c r="AF55" s="26">
        <f t="shared" si="14"/>
        <v>10.7</v>
      </c>
      <c r="AG55" s="27">
        <f t="shared" si="15"/>
        <v>13.299999999999999</v>
      </c>
      <c r="AH55" s="26">
        <f t="shared" si="16"/>
        <v>14</v>
      </c>
      <c r="AI55" s="27">
        <f t="shared" si="17"/>
        <v>21</v>
      </c>
      <c r="AJ55" s="28" t="s">
        <v>45</v>
      </c>
    </row>
    <row r="56" spans="1:37" ht="14.25" customHeight="1">
      <c r="A56" s="70" t="s">
        <v>144</v>
      </c>
      <c r="B56" s="35">
        <v>0.1</v>
      </c>
      <c r="C56" s="17" t="s">
        <v>54</v>
      </c>
      <c r="D56" s="15" t="s">
        <v>41</v>
      </c>
      <c r="E56" s="38" t="s">
        <v>140</v>
      </c>
      <c r="F56" s="15">
        <v>100</v>
      </c>
      <c r="G56" s="19">
        <v>1</v>
      </c>
      <c r="H56" s="19">
        <f t="shared" si="9"/>
        <v>100</v>
      </c>
      <c r="I56" s="38" t="s">
        <v>106</v>
      </c>
      <c r="J56" s="32"/>
      <c r="K56" s="32"/>
      <c r="L56" s="39">
        <v>3.9</v>
      </c>
      <c r="M56" s="32" t="s">
        <v>141</v>
      </c>
      <c r="N56" s="15">
        <v>300</v>
      </c>
      <c r="O56" s="44">
        <v>112</v>
      </c>
      <c r="P56" s="32" t="s">
        <v>145</v>
      </c>
      <c r="Q56" s="44">
        <v>112</v>
      </c>
      <c r="R56" s="15">
        <v>300</v>
      </c>
      <c r="S56" s="32" t="s">
        <v>146</v>
      </c>
      <c r="T56" s="15">
        <v>300</v>
      </c>
      <c r="U56" s="44">
        <v>112</v>
      </c>
      <c r="V56" s="17">
        <v>4</v>
      </c>
      <c r="W56" s="21">
        <v>5</v>
      </c>
      <c r="X56" s="21">
        <v>20</v>
      </c>
      <c r="Y56" s="21">
        <v>24</v>
      </c>
      <c r="Z56" s="21">
        <v>28</v>
      </c>
      <c r="AA56" s="21">
        <v>39</v>
      </c>
      <c r="AB56" s="26">
        <f t="shared" si="10"/>
        <v>8.3000000000000007</v>
      </c>
      <c r="AC56" s="27">
        <f t="shared" si="11"/>
        <v>7.6999999999999993</v>
      </c>
      <c r="AD56" s="26">
        <f t="shared" si="12"/>
        <v>9.5</v>
      </c>
      <c r="AE56" s="27">
        <f t="shared" si="13"/>
        <v>10.5</v>
      </c>
      <c r="AF56" s="26">
        <f t="shared" si="14"/>
        <v>10.7</v>
      </c>
      <c r="AG56" s="27">
        <f t="shared" si="15"/>
        <v>13.299999999999999</v>
      </c>
      <c r="AH56" s="26">
        <f t="shared" si="16"/>
        <v>14</v>
      </c>
      <c r="AI56" s="27">
        <f t="shared" si="17"/>
        <v>21</v>
      </c>
      <c r="AJ56" s="28" t="s">
        <v>45</v>
      </c>
    </row>
    <row r="57" spans="1:37" ht="14.25" customHeight="1">
      <c r="A57" s="70" t="s">
        <v>147</v>
      </c>
      <c r="B57" s="35">
        <v>0.1</v>
      </c>
      <c r="C57" s="17" t="s">
        <v>54</v>
      </c>
      <c r="D57" s="15" t="s">
        <v>41</v>
      </c>
      <c r="E57" s="38" t="s">
        <v>148</v>
      </c>
      <c r="F57" s="15">
        <v>30</v>
      </c>
      <c r="G57" s="19">
        <v>1</v>
      </c>
      <c r="H57" s="19">
        <f t="shared" si="9"/>
        <v>30</v>
      </c>
      <c r="I57" s="38" t="s">
        <v>106</v>
      </c>
      <c r="J57" s="32"/>
      <c r="K57" s="32"/>
      <c r="L57" s="39">
        <v>4.2699999999999996</v>
      </c>
      <c r="M57" s="32" t="s">
        <v>141</v>
      </c>
      <c r="N57" s="17">
        <v>90</v>
      </c>
      <c r="O57" s="25">
        <v>112</v>
      </c>
      <c r="V57" s="17">
        <v>4</v>
      </c>
      <c r="W57" s="21">
        <v>5</v>
      </c>
      <c r="X57" s="21">
        <v>20</v>
      </c>
      <c r="Y57" s="21">
        <v>24</v>
      </c>
      <c r="Z57" s="21">
        <v>28</v>
      </c>
      <c r="AA57" s="21">
        <v>39</v>
      </c>
      <c r="AB57" s="26">
        <f t="shared" si="10"/>
        <v>8.3000000000000007</v>
      </c>
      <c r="AC57" s="27">
        <f t="shared" si="11"/>
        <v>7.6999999999999993</v>
      </c>
      <c r="AD57" s="26">
        <f t="shared" si="12"/>
        <v>9.5</v>
      </c>
      <c r="AE57" s="27">
        <f t="shared" si="13"/>
        <v>10.5</v>
      </c>
      <c r="AF57" s="26">
        <f t="shared" si="14"/>
        <v>10.7</v>
      </c>
      <c r="AG57" s="27">
        <f t="shared" si="15"/>
        <v>13.299999999999999</v>
      </c>
      <c r="AH57" s="26">
        <f t="shared" si="16"/>
        <v>14</v>
      </c>
      <c r="AI57" s="27">
        <f t="shared" si="17"/>
        <v>21</v>
      </c>
      <c r="AJ57" s="28" t="s">
        <v>45</v>
      </c>
    </row>
    <row r="58" spans="1:37" ht="14.25" customHeight="1">
      <c r="A58" s="70" t="s">
        <v>150</v>
      </c>
      <c r="B58" s="35">
        <v>250</v>
      </c>
      <c r="C58" s="28" t="s">
        <v>40</v>
      </c>
      <c r="D58" s="15" t="s">
        <v>41</v>
      </c>
      <c r="E58" s="38" t="s">
        <v>42</v>
      </c>
      <c r="F58" s="17">
        <v>28</v>
      </c>
      <c r="G58" s="19">
        <v>1</v>
      </c>
      <c r="H58" s="19">
        <f t="shared" si="9"/>
        <v>28</v>
      </c>
      <c r="I58" s="38" t="s">
        <v>42</v>
      </c>
      <c r="J58" s="32"/>
      <c r="K58" s="32"/>
      <c r="L58" s="39">
        <v>1.42</v>
      </c>
      <c r="M58" s="32" t="s">
        <v>151</v>
      </c>
      <c r="N58" s="17">
        <v>56</v>
      </c>
      <c r="O58" s="25">
        <v>42</v>
      </c>
      <c r="V58" s="17">
        <v>4</v>
      </c>
      <c r="W58" s="21">
        <v>5</v>
      </c>
      <c r="X58" s="21">
        <v>20</v>
      </c>
      <c r="Y58" s="21">
        <v>24</v>
      </c>
      <c r="Z58" s="21">
        <v>28</v>
      </c>
      <c r="AA58" s="21">
        <v>39</v>
      </c>
      <c r="AB58" s="26">
        <f t="shared" si="10"/>
        <v>8.3000000000000007</v>
      </c>
      <c r="AC58" s="27">
        <f t="shared" si="11"/>
        <v>7.6999999999999993</v>
      </c>
      <c r="AD58" s="26">
        <f t="shared" si="12"/>
        <v>9.5</v>
      </c>
      <c r="AE58" s="27">
        <f t="shared" si="13"/>
        <v>10.5</v>
      </c>
      <c r="AF58" s="26">
        <f t="shared" si="14"/>
        <v>10.7</v>
      </c>
      <c r="AG58" s="27">
        <f t="shared" si="15"/>
        <v>13.299999999999999</v>
      </c>
      <c r="AH58" s="26">
        <f t="shared" si="16"/>
        <v>14</v>
      </c>
      <c r="AI58" s="27">
        <f t="shared" si="17"/>
        <v>21</v>
      </c>
      <c r="AJ58" s="28" t="s">
        <v>45</v>
      </c>
    </row>
    <row r="59" spans="1:37" ht="14.25" customHeight="1">
      <c r="A59" s="73" t="s">
        <v>152</v>
      </c>
      <c r="B59" s="41">
        <v>45417</v>
      </c>
      <c r="C59" s="17" t="s">
        <v>40</v>
      </c>
      <c r="D59" s="15" t="s">
        <v>41</v>
      </c>
      <c r="E59" s="38" t="s">
        <v>153</v>
      </c>
      <c r="F59" s="17">
        <v>12</v>
      </c>
      <c r="G59" s="19">
        <v>1</v>
      </c>
      <c r="H59" s="19">
        <f t="shared" si="9"/>
        <v>12</v>
      </c>
      <c r="I59" s="38" t="s">
        <v>126</v>
      </c>
      <c r="J59" s="32"/>
      <c r="K59" s="32"/>
      <c r="L59" s="39">
        <v>2.67</v>
      </c>
      <c r="M59" s="32" t="s">
        <v>154</v>
      </c>
      <c r="N59" s="17">
        <v>24</v>
      </c>
      <c r="O59" s="25">
        <v>56</v>
      </c>
      <c r="V59" s="17">
        <v>4</v>
      </c>
      <c r="W59" s="21">
        <v>5</v>
      </c>
      <c r="X59" s="21">
        <v>20</v>
      </c>
      <c r="Y59" s="21">
        <v>24</v>
      </c>
      <c r="Z59" s="21">
        <v>28</v>
      </c>
      <c r="AA59" s="21">
        <v>39</v>
      </c>
      <c r="AB59" s="26">
        <f t="shared" si="10"/>
        <v>8.3000000000000007</v>
      </c>
      <c r="AC59" s="27">
        <f t="shared" si="11"/>
        <v>7.6999999999999993</v>
      </c>
      <c r="AD59" s="26">
        <f t="shared" si="12"/>
        <v>9.5</v>
      </c>
      <c r="AE59" s="27">
        <f t="shared" si="13"/>
        <v>10.5</v>
      </c>
      <c r="AF59" s="26">
        <f t="shared" si="14"/>
        <v>10.7</v>
      </c>
      <c r="AG59" s="27">
        <f t="shared" si="15"/>
        <v>13.299999999999999</v>
      </c>
      <c r="AH59" s="26">
        <f t="shared" si="16"/>
        <v>14</v>
      </c>
      <c r="AI59" s="27">
        <f t="shared" si="17"/>
        <v>21</v>
      </c>
      <c r="AJ59" s="28" t="s">
        <v>45</v>
      </c>
    </row>
    <row r="60" spans="1:37" ht="14.25" customHeight="1">
      <c r="A60" s="38" t="s">
        <v>155</v>
      </c>
      <c r="B60" s="41">
        <v>45417</v>
      </c>
      <c r="C60" s="17" t="s">
        <v>40</v>
      </c>
      <c r="D60" s="15" t="s">
        <v>41</v>
      </c>
      <c r="E60" s="38" t="s">
        <v>156</v>
      </c>
      <c r="F60" s="17">
        <v>30</v>
      </c>
      <c r="G60" s="19">
        <v>1</v>
      </c>
      <c r="H60" s="19">
        <f t="shared" si="9"/>
        <v>30</v>
      </c>
      <c r="I60" s="38" t="s">
        <v>56</v>
      </c>
      <c r="J60" s="15"/>
      <c r="K60" s="15"/>
      <c r="L60" s="49">
        <v>5.53</v>
      </c>
      <c r="M60" s="32" t="s">
        <v>154</v>
      </c>
      <c r="N60" s="17">
        <v>60</v>
      </c>
      <c r="O60" s="25">
        <v>56</v>
      </c>
      <c r="V60" s="17">
        <v>4</v>
      </c>
      <c r="W60" s="21">
        <v>5</v>
      </c>
      <c r="X60" s="21">
        <v>20</v>
      </c>
      <c r="Y60" s="21">
        <v>24</v>
      </c>
      <c r="Z60" s="21">
        <v>28</v>
      </c>
      <c r="AA60" s="21">
        <v>39</v>
      </c>
      <c r="AB60" s="26">
        <f t="shared" si="10"/>
        <v>8.3000000000000007</v>
      </c>
      <c r="AC60" s="27">
        <f t="shared" si="11"/>
        <v>7.6999999999999993</v>
      </c>
      <c r="AD60" s="26">
        <f t="shared" si="12"/>
        <v>9.5</v>
      </c>
      <c r="AE60" s="27">
        <f t="shared" si="13"/>
        <v>10.5</v>
      </c>
      <c r="AF60" s="26">
        <f t="shared" si="14"/>
        <v>10.7</v>
      </c>
      <c r="AG60" s="27">
        <f t="shared" si="15"/>
        <v>13.299999999999999</v>
      </c>
      <c r="AH60" s="26">
        <f t="shared" si="16"/>
        <v>14</v>
      </c>
      <c r="AI60" s="27">
        <f t="shared" si="17"/>
        <v>21</v>
      </c>
      <c r="AJ60" s="28" t="s">
        <v>45</v>
      </c>
    </row>
    <row r="61" spans="1:37" ht="14.25" customHeight="1">
      <c r="A61" s="38" t="s">
        <v>157</v>
      </c>
      <c r="B61" s="41">
        <v>45292</v>
      </c>
      <c r="C61" s="28" t="s">
        <v>40</v>
      </c>
      <c r="D61" s="15" t="s">
        <v>41</v>
      </c>
      <c r="E61" s="38" t="s">
        <v>158</v>
      </c>
      <c r="F61" s="17">
        <v>12</v>
      </c>
      <c r="G61" s="19">
        <v>1</v>
      </c>
      <c r="H61" s="19">
        <f t="shared" si="9"/>
        <v>12</v>
      </c>
      <c r="I61" s="38" t="s">
        <v>126</v>
      </c>
      <c r="J61" s="32"/>
      <c r="K61" s="32"/>
      <c r="L61" s="39">
        <v>1.52</v>
      </c>
      <c r="M61" s="32" t="s">
        <v>154</v>
      </c>
      <c r="N61" s="17">
        <v>24</v>
      </c>
      <c r="O61" s="25">
        <v>56</v>
      </c>
      <c r="V61" s="17">
        <v>4</v>
      </c>
      <c r="W61" s="21">
        <v>5</v>
      </c>
      <c r="X61" s="21">
        <v>20</v>
      </c>
      <c r="Y61" s="21">
        <v>24</v>
      </c>
      <c r="Z61" s="21">
        <v>28</v>
      </c>
      <c r="AA61" s="21">
        <v>39</v>
      </c>
      <c r="AB61" s="26">
        <f t="shared" si="10"/>
        <v>8.3000000000000007</v>
      </c>
      <c r="AC61" s="27">
        <f t="shared" si="11"/>
        <v>7.6999999999999993</v>
      </c>
      <c r="AD61" s="26">
        <f t="shared" si="12"/>
        <v>9.5</v>
      </c>
      <c r="AE61" s="27">
        <f t="shared" si="13"/>
        <v>10.5</v>
      </c>
      <c r="AF61" s="26">
        <f t="shared" si="14"/>
        <v>10.7</v>
      </c>
      <c r="AG61" s="27">
        <f t="shared" si="15"/>
        <v>13.299999999999999</v>
      </c>
      <c r="AH61" s="26">
        <f t="shared" si="16"/>
        <v>14</v>
      </c>
      <c r="AI61" s="27">
        <f t="shared" si="17"/>
        <v>21</v>
      </c>
      <c r="AJ61" s="28" t="s">
        <v>45</v>
      </c>
    </row>
    <row r="62" spans="1:37" ht="14.25" customHeight="1">
      <c r="A62" s="38" t="s">
        <v>159</v>
      </c>
      <c r="B62" s="35" t="s">
        <v>160</v>
      </c>
      <c r="C62" s="17" t="s">
        <v>54</v>
      </c>
      <c r="D62" s="15" t="s">
        <v>41</v>
      </c>
      <c r="E62" s="38" t="s">
        <v>156</v>
      </c>
      <c r="F62" s="28">
        <v>30</v>
      </c>
      <c r="G62" s="19">
        <v>1</v>
      </c>
      <c r="H62" s="19">
        <f t="shared" si="9"/>
        <v>30</v>
      </c>
      <c r="I62" s="38" t="s">
        <v>56</v>
      </c>
      <c r="J62" s="15"/>
      <c r="K62" s="15"/>
      <c r="L62" s="49">
        <v>3.23</v>
      </c>
      <c r="M62" s="32" t="s">
        <v>154</v>
      </c>
      <c r="N62" s="17">
        <v>60</v>
      </c>
      <c r="O62" s="25">
        <v>56</v>
      </c>
      <c r="V62" s="17">
        <v>4</v>
      </c>
      <c r="W62" s="21">
        <v>5</v>
      </c>
      <c r="X62" s="21">
        <v>20</v>
      </c>
      <c r="Y62" s="21">
        <v>24</v>
      </c>
      <c r="Z62" s="21">
        <v>28</v>
      </c>
      <c r="AA62" s="21">
        <v>39</v>
      </c>
      <c r="AB62" s="26">
        <f t="shared" si="10"/>
        <v>8.3000000000000007</v>
      </c>
      <c r="AC62" s="27">
        <f t="shared" si="11"/>
        <v>7.6999999999999993</v>
      </c>
      <c r="AD62" s="26">
        <f t="shared" si="12"/>
        <v>9.5</v>
      </c>
      <c r="AE62" s="27">
        <f t="shared" si="13"/>
        <v>10.5</v>
      </c>
      <c r="AF62" s="26">
        <f t="shared" si="14"/>
        <v>10.7</v>
      </c>
      <c r="AG62" s="27">
        <f t="shared" si="15"/>
        <v>13.299999999999999</v>
      </c>
      <c r="AH62" s="26">
        <f t="shared" si="16"/>
        <v>14</v>
      </c>
      <c r="AI62" s="27">
        <f t="shared" si="17"/>
        <v>21</v>
      </c>
      <c r="AJ62" s="28" t="s">
        <v>45</v>
      </c>
    </row>
    <row r="63" spans="1:37" ht="14.25" customHeight="1">
      <c r="A63" s="15" t="s">
        <v>161</v>
      </c>
      <c r="B63" s="35" t="s">
        <v>162</v>
      </c>
      <c r="C63" s="17" t="s">
        <v>54</v>
      </c>
      <c r="D63" s="15" t="s">
        <v>41</v>
      </c>
      <c r="E63" s="38" t="s">
        <v>156</v>
      </c>
      <c r="F63" s="15">
        <v>20</v>
      </c>
      <c r="G63" s="19">
        <v>1</v>
      </c>
      <c r="H63" s="19">
        <f t="shared" si="9"/>
        <v>20</v>
      </c>
      <c r="I63" s="38" t="s">
        <v>56</v>
      </c>
      <c r="J63" s="32"/>
      <c r="K63" s="32"/>
      <c r="L63" s="39">
        <v>4.1900000000000004</v>
      </c>
      <c r="M63" s="32" t="s">
        <v>154</v>
      </c>
      <c r="N63" s="17">
        <v>40</v>
      </c>
      <c r="O63" s="25">
        <v>56</v>
      </c>
      <c r="V63" s="17">
        <v>4</v>
      </c>
      <c r="W63" s="21">
        <v>5</v>
      </c>
      <c r="X63" s="21">
        <v>20</v>
      </c>
      <c r="Y63" s="21">
        <v>24</v>
      </c>
      <c r="Z63" s="21">
        <v>28</v>
      </c>
      <c r="AA63" s="21">
        <v>39</v>
      </c>
      <c r="AB63" s="26">
        <f t="shared" si="10"/>
        <v>8.3000000000000007</v>
      </c>
      <c r="AC63" s="27">
        <f t="shared" si="11"/>
        <v>7.6999999999999993</v>
      </c>
      <c r="AD63" s="26">
        <f t="shared" si="12"/>
        <v>9.5</v>
      </c>
      <c r="AE63" s="27">
        <f t="shared" si="13"/>
        <v>10.5</v>
      </c>
      <c r="AF63" s="26">
        <f t="shared" si="14"/>
        <v>10.7</v>
      </c>
      <c r="AG63" s="27">
        <f t="shared" si="15"/>
        <v>13.299999999999999</v>
      </c>
      <c r="AH63" s="26">
        <f t="shared" si="16"/>
        <v>14</v>
      </c>
      <c r="AI63" s="27">
        <f t="shared" si="17"/>
        <v>21</v>
      </c>
      <c r="AJ63" s="28" t="s">
        <v>45</v>
      </c>
    </row>
    <row r="64" spans="1:37" ht="14.25" customHeight="1">
      <c r="A64" s="38" t="s">
        <v>163</v>
      </c>
      <c r="B64" s="41">
        <v>45417</v>
      </c>
      <c r="C64" s="17" t="s">
        <v>40</v>
      </c>
      <c r="D64" s="15" t="s">
        <v>41</v>
      </c>
      <c r="E64" s="38" t="s">
        <v>158</v>
      </c>
      <c r="F64" s="32">
        <v>12</v>
      </c>
      <c r="G64" s="19">
        <v>1</v>
      </c>
      <c r="H64" s="19">
        <f t="shared" si="9"/>
        <v>12</v>
      </c>
      <c r="I64" s="38" t="s">
        <v>126</v>
      </c>
      <c r="J64" s="32"/>
      <c r="K64" s="32"/>
      <c r="L64" s="39">
        <v>5.08</v>
      </c>
      <c r="M64" s="32" t="s">
        <v>154</v>
      </c>
      <c r="N64" s="17">
        <v>24</v>
      </c>
      <c r="O64" s="25">
        <v>56</v>
      </c>
      <c r="V64" s="17">
        <v>4</v>
      </c>
      <c r="W64" s="21">
        <v>5</v>
      </c>
      <c r="X64" s="21">
        <v>20</v>
      </c>
      <c r="Y64" s="21">
        <v>24</v>
      </c>
      <c r="Z64" s="21">
        <v>28</v>
      </c>
      <c r="AA64" s="21">
        <v>39</v>
      </c>
      <c r="AB64" s="26">
        <f t="shared" si="10"/>
        <v>8.3000000000000007</v>
      </c>
      <c r="AC64" s="27">
        <f t="shared" si="11"/>
        <v>7.6999999999999993</v>
      </c>
      <c r="AD64" s="26">
        <f t="shared" si="12"/>
        <v>9.5</v>
      </c>
      <c r="AE64" s="27">
        <f t="shared" si="13"/>
        <v>10.5</v>
      </c>
      <c r="AF64" s="26">
        <f t="shared" si="14"/>
        <v>10.7</v>
      </c>
      <c r="AG64" s="27">
        <f t="shared" si="15"/>
        <v>13.299999999999999</v>
      </c>
      <c r="AH64" s="26">
        <f t="shared" si="16"/>
        <v>14</v>
      </c>
      <c r="AI64" s="27">
        <f t="shared" si="17"/>
        <v>21</v>
      </c>
      <c r="AJ64" s="28" t="s">
        <v>45</v>
      </c>
    </row>
    <row r="65" spans="1:38" ht="14.25" customHeight="1">
      <c r="A65" s="38" t="s">
        <v>165</v>
      </c>
      <c r="B65" s="41">
        <v>45417</v>
      </c>
      <c r="C65" s="28" t="s">
        <v>40</v>
      </c>
      <c r="D65" s="15" t="s">
        <v>41</v>
      </c>
      <c r="E65" s="38" t="s">
        <v>156</v>
      </c>
      <c r="F65" s="17">
        <v>30</v>
      </c>
      <c r="G65" s="19">
        <v>1</v>
      </c>
      <c r="H65" s="19">
        <f t="shared" si="9"/>
        <v>30</v>
      </c>
      <c r="I65" s="38" t="s">
        <v>56</v>
      </c>
      <c r="J65" s="15"/>
      <c r="K65" s="15"/>
      <c r="L65" s="50">
        <v>10.17</v>
      </c>
      <c r="M65" s="32" t="s">
        <v>154</v>
      </c>
      <c r="N65" s="17">
        <v>60</v>
      </c>
      <c r="O65" s="25">
        <v>56</v>
      </c>
      <c r="V65" s="17">
        <f>L65</f>
        <v>10.17</v>
      </c>
      <c r="W65" s="21">
        <v>5</v>
      </c>
      <c r="X65" s="21">
        <f>(20*(1))+($V$262-4)</f>
        <v>49.260000000000005</v>
      </c>
      <c r="Y65" s="21">
        <f>(24*(1))+($V$262-4)</f>
        <v>53.260000000000005</v>
      </c>
      <c r="Z65" s="21">
        <f>(28*(1))+($V$262-4)</f>
        <v>57.260000000000005</v>
      </c>
      <c r="AA65" s="21">
        <f>(39*(1))+($V$262-4)</f>
        <v>68.260000000000005</v>
      </c>
      <c r="AB65" s="26">
        <f t="shared" si="10"/>
        <v>15.227</v>
      </c>
      <c r="AC65" s="27">
        <f t="shared" si="11"/>
        <v>23.863</v>
      </c>
      <c r="AD65" s="26">
        <f t="shared" si="12"/>
        <v>16.427</v>
      </c>
      <c r="AE65" s="27">
        <f t="shared" si="13"/>
        <v>26.663</v>
      </c>
      <c r="AF65" s="26">
        <f t="shared" si="14"/>
        <v>17.627000000000002</v>
      </c>
      <c r="AG65" s="27">
        <f t="shared" si="15"/>
        <v>29.463000000000001</v>
      </c>
      <c r="AH65" s="26">
        <f t="shared" si="16"/>
        <v>20.927</v>
      </c>
      <c r="AI65" s="27">
        <f t="shared" si="17"/>
        <v>37.162999999999997</v>
      </c>
      <c r="AJ65" s="28" t="s">
        <v>45</v>
      </c>
    </row>
    <row r="66" spans="1:38" ht="14.25" customHeight="1">
      <c r="A66" s="15" t="s">
        <v>171</v>
      </c>
      <c r="B66" s="35">
        <v>0.1</v>
      </c>
      <c r="C66" s="17" t="s">
        <v>54</v>
      </c>
      <c r="D66" s="15" t="s">
        <v>41</v>
      </c>
      <c r="E66" s="38" t="s">
        <v>55</v>
      </c>
      <c r="F66" s="15">
        <v>30</v>
      </c>
      <c r="G66" s="19">
        <v>1</v>
      </c>
      <c r="H66" s="19">
        <f t="shared" ref="H66:H97" si="18">F66*G66</f>
        <v>30</v>
      </c>
      <c r="I66" s="38" t="s">
        <v>56</v>
      </c>
      <c r="J66" s="32"/>
      <c r="K66" s="32"/>
      <c r="L66" s="39">
        <v>1.49</v>
      </c>
      <c r="M66" s="32" t="s">
        <v>145</v>
      </c>
      <c r="N66" s="15">
        <v>90</v>
      </c>
      <c r="O66" s="44">
        <v>84</v>
      </c>
      <c r="P66" s="32" t="s">
        <v>146</v>
      </c>
      <c r="Q66" s="44">
        <v>84</v>
      </c>
      <c r="R66" s="15">
        <v>90</v>
      </c>
      <c r="S66" s="32" t="s">
        <v>172</v>
      </c>
      <c r="T66" s="15">
        <v>90</v>
      </c>
      <c r="U66" s="44">
        <v>84</v>
      </c>
      <c r="V66" s="21">
        <v>4</v>
      </c>
      <c r="W66" s="21">
        <v>5</v>
      </c>
      <c r="X66" s="21">
        <v>20</v>
      </c>
      <c r="Y66" s="21">
        <v>24</v>
      </c>
      <c r="Z66" s="21">
        <v>28</v>
      </c>
      <c r="AA66" s="21">
        <v>39</v>
      </c>
      <c r="AB66" s="26">
        <f t="shared" ref="AB66:AB73" si="19">W66+(X66-V66-W66)*0.3</f>
        <v>8.3000000000000007</v>
      </c>
      <c r="AC66" s="27">
        <f t="shared" ref="AC66:AC73" si="20">(X66-V66-W66)*0.7</f>
        <v>7.6999999999999993</v>
      </c>
      <c r="AD66" s="26">
        <f t="shared" ref="AD66:AD73" si="21">W66+(Y66-V66-W66)*0.3</f>
        <v>9.5</v>
      </c>
      <c r="AE66" s="27">
        <f t="shared" ref="AE66:AE73" si="22">(Y66-V66-W66)*0.7</f>
        <v>10.5</v>
      </c>
      <c r="AF66" s="26">
        <f t="shared" ref="AF66:AF73" si="23">W66+(Z66-V66-W66)*0.3</f>
        <v>10.7</v>
      </c>
      <c r="AG66" s="27">
        <f t="shared" ref="AG66:AG73" si="24">(Z66-V66-W66)*0.7</f>
        <v>13.299999999999999</v>
      </c>
      <c r="AH66" s="26">
        <f t="shared" ref="AH66:AH73" si="25">W66+(AA66-V66-W66)*0.3</f>
        <v>14</v>
      </c>
      <c r="AI66" s="27">
        <f t="shared" ref="AI66:AI73" si="26">(AA66-V66-W66)*0.7</f>
        <v>21</v>
      </c>
      <c r="AJ66" s="28" t="s">
        <v>45</v>
      </c>
    </row>
    <row r="67" spans="1:38" ht="14.25" customHeight="1">
      <c r="A67" s="15" t="s">
        <v>173</v>
      </c>
      <c r="B67" s="35">
        <v>0.1</v>
      </c>
      <c r="C67" s="17" t="s">
        <v>54</v>
      </c>
      <c r="D67" s="15" t="s">
        <v>41</v>
      </c>
      <c r="E67" s="38" t="s">
        <v>156</v>
      </c>
      <c r="F67" s="15">
        <v>100</v>
      </c>
      <c r="G67" s="19">
        <v>1</v>
      </c>
      <c r="H67" s="19">
        <f t="shared" si="18"/>
        <v>100</v>
      </c>
      <c r="I67" s="38" t="s">
        <v>56</v>
      </c>
      <c r="J67" s="32"/>
      <c r="K67" s="32"/>
      <c r="L67" s="39">
        <v>2.65</v>
      </c>
      <c r="M67" s="32" t="s">
        <v>145</v>
      </c>
      <c r="N67" s="15">
        <v>200</v>
      </c>
      <c r="O67" s="44">
        <v>84</v>
      </c>
      <c r="P67" s="32" t="s">
        <v>146</v>
      </c>
      <c r="Q67" s="44">
        <v>84</v>
      </c>
      <c r="R67" s="15">
        <v>200</v>
      </c>
      <c r="S67" s="32" t="s">
        <v>172</v>
      </c>
      <c r="T67" s="15">
        <v>200</v>
      </c>
      <c r="U67" s="44">
        <v>84</v>
      </c>
      <c r="V67" s="21">
        <v>4</v>
      </c>
      <c r="W67" s="21">
        <v>5</v>
      </c>
      <c r="X67" s="21">
        <v>20</v>
      </c>
      <c r="Y67" s="21">
        <v>24</v>
      </c>
      <c r="Z67" s="21">
        <v>28</v>
      </c>
      <c r="AA67" s="21">
        <v>39</v>
      </c>
      <c r="AB67" s="26">
        <f t="shared" si="19"/>
        <v>8.3000000000000007</v>
      </c>
      <c r="AC67" s="27">
        <f t="shared" si="20"/>
        <v>7.6999999999999993</v>
      </c>
      <c r="AD67" s="26">
        <f t="shared" si="21"/>
        <v>9.5</v>
      </c>
      <c r="AE67" s="27">
        <f t="shared" si="22"/>
        <v>10.5</v>
      </c>
      <c r="AF67" s="26">
        <f t="shared" si="23"/>
        <v>10.7</v>
      </c>
      <c r="AG67" s="27">
        <f t="shared" si="24"/>
        <v>13.299999999999999</v>
      </c>
      <c r="AH67" s="26">
        <f t="shared" si="25"/>
        <v>14</v>
      </c>
      <c r="AI67" s="27">
        <f t="shared" si="26"/>
        <v>21</v>
      </c>
      <c r="AJ67" s="28" t="s">
        <v>45</v>
      </c>
    </row>
    <row r="68" spans="1:38" ht="14.25" customHeight="1">
      <c r="A68" s="15" t="s">
        <v>174</v>
      </c>
      <c r="B68" s="35">
        <v>0.1</v>
      </c>
      <c r="C68" s="17" t="s">
        <v>54</v>
      </c>
      <c r="D68" s="15" t="s">
        <v>41</v>
      </c>
      <c r="E68" s="38" t="s">
        <v>55</v>
      </c>
      <c r="F68" s="15">
        <v>30</v>
      </c>
      <c r="G68" s="19">
        <v>1</v>
      </c>
      <c r="H68" s="19">
        <f t="shared" si="18"/>
        <v>30</v>
      </c>
      <c r="I68" s="38" t="s">
        <v>56</v>
      </c>
      <c r="J68" s="32"/>
      <c r="K68" s="32"/>
      <c r="L68" s="39">
        <v>4.18</v>
      </c>
      <c r="M68" s="32" t="s">
        <v>145</v>
      </c>
      <c r="N68" s="15">
        <v>90</v>
      </c>
      <c r="O68" s="44">
        <v>84</v>
      </c>
      <c r="P68" s="32" t="s">
        <v>172</v>
      </c>
      <c r="Q68" s="44">
        <v>84</v>
      </c>
      <c r="R68" s="15">
        <v>90</v>
      </c>
      <c r="U68" s="21"/>
      <c r="V68" s="21">
        <v>4</v>
      </c>
      <c r="W68" s="21">
        <v>5</v>
      </c>
      <c r="X68" s="21">
        <v>20</v>
      </c>
      <c r="Y68" s="21">
        <v>24</v>
      </c>
      <c r="Z68" s="21">
        <v>28</v>
      </c>
      <c r="AA68" s="21">
        <v>39</v>
      </c>
      <c r="AB68" s="26">
        <f t="shared" si="19"/>
        <v>8.3000000000000007</v>
      </c>
      <c r="AC68" s="27">
        <f t="shared" si="20"/>
        <v>7.6999999999999993</v>
      </c>
      <c r="AD68" s="26">
        <f t="shared" si="21"/>
        <v>9.5</v>
      </c>
      <c r="AE68" s="27">
        <f t="shared" si="22"/>
        <v>10.5</v>
      </c>
      <c r="AF68" s="26">
        <f t="shared" si="23"/>
        <v>10.7</v>
      </c>
      <c r="AG68" s="27">
        <f t="shared" si="24"/>
        <v>13.299999999999999</v>
      </c>
      <c r="AH68" s="26">
        <f t="shared" si="25"/>
        <v>14</v>
      </c>
      <c r="AI68" s="27">
        <f t="shared" si="26"/>
        <v>21</v>
      </c>
      <c r="AJ68" s="28" t="s">
        <v>45</v>
      </c>
    </row>
    <row r="69" spans="1:38" ht="14.25" customHeight="1">
      <c r="A69" s="15" t="s">
        <v>175</v>
      </c>
      <c r="B69" s="35">
        <v>0.1</v>
      </c>
      <c r="C69" s="17" t="s">
        <v>54</v>
      </c>
      <c r="D69" s="15" t="s">
        <v>41</v>
      </c>
      <c r="E69" s="38" t="s">
        <v>156</v>
      </c>
      <c r="F69" s="15">
        <v>100</v>
      </c>
      <c r="G69" s="19">
        <v>1</v>
      </c>
      <c r="H69" s="19">
        <f t="shared" si="18"/>
        <v>100</v>
      </c>
      <c r="I69" s="38" t="s">
        <v>56</v>
      </c>
      <c r="J69" s="32"/>
      <c r="K69" s="32"/>
      <c r="L69" s="40">
        <v>8.4</v>
      </c>
      <c r="M69" s="32" t="s">
        <v>145</v>
      </c>
      <c r="N69" s="15">
        <v>200</v>
      </c>
      <c r="O69" s="44">
        <v>84</v>
      </c>
      <c r="P69" s="32" t="s">
        <v>172</v>
      </c>
      <c r="Q69" s="44">
        <v>84</v>
      </c>
      <c r="R69" s="15">
        <v>200</v>
      </c>
      <c r="U69" s="21"/>
      <c r="V69" s="21">
        <v>8</v>
      </c>
      <c r="W69" s="21">
        <v>5</v>
      </c>
      <c r="X69" s="21">
        <f>X66+4</f>
        <v>24</v>
      </c>
      <c r="Y69" s="21">
        <f>Y66+4</f>
        <v>28</v>
      </c>
      <c r="Z69" s="21">
        <f>Z66+4</f>
        <v>32</v>
      </c>
      <c r="AA69" s="21">
        <f>AA66+4</f>
        <v>43</v>
      </c>
      <c r="AB69" s="26">
        <f t="shared" si="19"/>
        <v>8.3000000000000007</v>
      </c>
      <c r="AC69" s="27">
        <f t="shared" si="20"/>
        <v>7.6999999999999993</v>
      </c>
      <c r="AD69" s="26">
        <f t="shared" si="21"/>
        <v>9.5</v>
      </c>
      <c r="AE69" s="27">
        <f t="shared" si="22"/>
        <v>10.5</v>
      </c>
      <c r="AF69" s="26">
        <f t="shared" si="23"/>
        <v>10.7</v>
      </c>
      <c r="AG69" s="27">
        <f t="shared" si="24"/>
        <v>13.299999999999999</v>
      </c>
      <c r="AH69" s="26">
        <f t="shared" si="25"/>
        <v>14</v>
      </c>
      <c r="AI69" s="27">
        <f t="shared" si="26"/>
        <v>21</v>
      </c>
      <c r="AJ69" s="28" t="s">
        <v>45</v>
      </c>
    </row>
    <row r="70" spans="1:38" ht="14.25" customHeight="1">
      <c r="A70" s="15" t="s">
        <v>176</v>
      </c>
      <c r="B70" s="35">
        <v>0.05</v>
      </c>
      <c r="C70" s="17" t="s">
        <v>54</v>
      </c>
      <c r="D70" s="15" t="s">
        <v>41</v>
      </c>
      <c r="E70" s="38" t="s">
        <v>55</v>
      </c>
      <c r="F70" s="15">
        <v>30</v>
      </c>
      <c r="G70" s="19">
        <v>1</v>
      </c>
      <c r="H70" s="19">
        <f t="shared" si="18"/>
        <v>30</v>
      </c>
      <c r="I70" s="38" t="s">
        <v>56</v>
      </c>
      <c r="J70" s="32"/>
      <c r="K70" s="32"/>
      <c r="L70" s="39">
        <v>1.86</v>
      </c>
      <c r="M70" s="32" t="s">
        <v>145</v>
      </c>
      <c r="N70" s="15">
        <v>90</v>
      </c>
      <c r="O70" s="44">
        <v>84</v>
      </c>
      <c r="P70" s="32" t="s">
        <v>146</v>
      </c>
      <c r="Q70" s="44">
        <v>84</v>
      </c>
      <c r="R70" s="15">
        <v>90</v>
      </c>
      <c r="S70" s="32" t="s">
        <v>172</v>
      </c>
      <c r="T70" s="15">
        <v>90</v>
      </c>
      <c r="U70" s="44">
        <v>84</v>
      </c>
      <c r="V70" s="21">
        <v>4</v>
      </c>
      <c r="W70" s="21">
        <v>5</v>
      </c>
      <c r="X70" s="21">
        <v>20</v>
      </c>
      <c r="Y70" s="21">
        <v>24</v>
      </c>
      <c r="Z70" s="21">
        <v>28</v>
      </c>
      <c r="AA70" s="21">
        <v>39</v>
      </c>
      <c r="AB70" s="26">
        <f t="shared" si="19"/>
        <v>8.3000000000000007</v>
      </c>
      <c r="AC70" s="27">
        <f t="shared" si="20"/>
        <v>7.6999999999999993</v>
      </c>
      <c r="AD70" s="26">
        <f t="shared" si="21"/>
        <v>9.5</v>
      </c>
      <c r="AE70" s="27">
        <f t="shared" si="22"/>
        <v>10.5</v>
      </c>
      <c r="AF70" s="26">
        <f t="shared" si="23"/>
        <v>10.7</v>
      </c>
      <c r="AG70" s="27">
        <f t="shared" si="24"/>
        <v>13.299999999999999</v>
      </c>
      <c r="AH70" s="26">
        <f t="shared" si="25"/>
        <v>14</v>
      </c>
      <c r="AI70" s="27">
        <f t="shared" si="26"/>
        <v>21</v>
      </c>
      <c r="AJ70" s="28" t="s">
        <v>45</v>
      </c>
    </row>
    <row r="71" spans="1:38" ht="14.25" customHeight="1">
      <c r="A71" s="15" t="s">
        <v>177</v>
      </c>
      <c r="B71" s="35">
        <v>0.05</v>
      </c>
      <c r="C71" s="17" t="s">
        <v>54</v>
      </c>
      <c r="D71" s="15" t="s">
        <v>41</v>
      </c>
      <c r="E71" s="38" t="s">
        <v>156</v>
      </c>
      <c r="F71" s="15">
        <v>100</v>
      </c>
      <c r="G71" s="19">
        <v>1</v>
      </c>
      <c r="H71" s="19">
        <f t="shared" si="18"/>
        <v>100</v>
      </c>
      <c r="I71" s="38" t="s">
        <v>56</v>
      </c>
      <c r="J71" s="32"/>
      <c r="K71" s="32"/>
      <c r="L71" s="39">
        <v>1.49</v>
      </c>
      <c r="M71" s="32" t="s">
        <v>145</v>
      </c>
      <c r="N71" s="15">
        <v>200</v>
      </c>
      <c r="O71" s="44">
        <v>84</v>
      </c>
      <c r="P71" s="32" t="s">
        <v>146</v>
      </c>
      <c r="Q71" s="44">
        <v>84</v>
      </c>
      <c r="R71" s="15">
        <v>200</v>
      </c>
      <c r="S71" s="32" t="s">
        <v>172</v>
      </c>
      <c r="T71" s="15">
        <v>200</v>
      </c>
      <c r="U71" s="44">
        <v>84</v>
      </c>
      <c r="V71" s="21">
        <v>4</v>
      </c>
      <c r="W71" s="21">
        <v>5</v>
      </c>
      <c r="X71" s="21">
        <v>20</v>
      </c>
      <c r="Y71" s="21">
        <v>24</v>
      </c>
      <c r="Z71" s="21">
        <v>28</v>
      </c>
      <c r="AA71" s="21">
        <v>39</v>
      </c>
      <c r="AB71" s="26">
        <f t="shared" si="19"/>
        <v>8.3000000000000007</v>
      </c>
      <c r="AC71" s="27">
        <f t="shared" si="20"/>
        <v>7.6999999999999993</v>
      </c>
      <c r="AD71" s="26">
        <f t="shared" si="21"/>
        <v>9.5</v>
      </c>
      <c r="AE71" s="27">
        <f t="shared" si="22"/>
        <v>10.5</v>
      </c>
      <c r="AF71" s="26">
        <f t="shared" si="23"/>
        <v>10.7</v>
      </c>
      <c r="AG71" s="27">
        <f t="shared" si="24"/>
        <v>13.299999999999999</v>
      </c>
      <c r="AH71" s="26">
        <f t="shared" si="25"/>
        <v>14</v>
      </c>
      <c r="AI71" s="27">
        <f t="shared" si="26"/>
        <v>21</v>
      </c>
      <c r="AJ71" s="28" t="s">
        <v>45</v>
      </c>
    </row>
    <row r="72" spans="1:38" ht="14.25" customHeight="1">
      <c r="A72" s="15" t="s">
        <v>178</v>
      </c>
      <c r="B72" s="35">
        <v>1</v>
      </c>
      <c r="C72" s="17" t="s">
        <v>54</v>
      </c>
      <c r="D72" s="15" t="s">
        <v>41</v>
      </c>
      <c r="E72" s="38" t="s">
        <v>55</v>
      </c>
      <c r="F72" s="15">
        <v>15</v>
      </c>
      <c r="G72" s="19">
        <v>1</v>
      </c>
      <c r="H72" s="19">
        <f t="shared" si="18"/>
        <v>15</v>
      </c>
      <c r="I72" s="38" t="s">
        <v>56</v>
      </c>
      <c r="J72" s="32"/>
      <c r="K72" s="32"/>
      <c r="L72" s="39">
        <v>1.46</v>
      </c>
      <c r="M72" s="32" t="s">
        <v>145</v>
      </c>
      <c r="N72" s="15">
        <v>45</v>
      </c>
      <c r="O72" s="44">
        <v>84</v>
      </c>
      <c r="P72" s="32" t="s">
        <v>172</v>
      </c>
      <c r="Q72" s="44">
        <v>84</v>
      </c>
      <c r="R72" s="15">
        <v>45</v>
      </c>
      <c r="U72" s="21"/>
      <c r="V72" s="21">
        <v>4</v>
      </c>
      <c r="W72" s="21">
        <v>5</v>
      </c>
      <c r="X72" s="21">
        <v>20</v>
      </c>
      <c r="Y72" s="21">
        <v>24</v>
      </c>
      <c r="Z72" s="21">
        <v>28</v>
      </c>
      <c r="AA72" s="21">
        <v>39</v>
      </c>
      <c r="AB72" s="26">
        <f t="shared" si="19"/>
        <v>8.3000000000000007</v>
      </c>
      <c r="AC72" s="27">
        <f t="shared" si="20"/>
        <v>7.6999999999999993</v>
      </c>
      <c r="AD72" s="26">
        <f t="shared" si="21"/>
        <v>9.5</v>
      </c>
      <c r="AE72" s="27">
        <f t="shared" si="22"/>
        <v>10.5</v>
      </c>
      <c r="AF72" s="26">
        <f t="shared" si="23"/>
        <v>10.7</v>
      </c>
      <c r="AG72" s="27">
        <f t="shared" si="24"/>
        <v>13.299999999999999</v>
      </c>
      <c r="AH72" s="26">
        <f t="shared" si="25"/>
        <v>14</v>
      </c>
      <c r="AI72" s="27">
        <f t="shared" si="26"/>
        <v>21</v>
      </c>
      <c r="AJ72" s="28" t="s">
        <v>45</v>
      </c>
    </row>
    <row r="73" spans="1:38" ht="14.25" customHeight="1">
      <c r="A73" s="15" t="s">
        <v>179</v>
      </c>
      <c r="B73" s="35">
        <v>1</v>
      </c>
      <c r="C73" s="17" t="s">
        <v>54</v>
      </c>
      <c r="D73" s="15" t="s">
        <v>41</v>
      </c>
      <c r="E73" s="38" t="s">
        <v>156</v>
      </c>
      <c r="F73" s="15">
        <v>30</v>
      </c>
      <c r="G73" s="19">
        <v>1</v>
      </c>
      <c r="H73" s="19">
        <f t="shared" si="18"/>
        <v>30</v>
      </c>
      <c r="I73" s="38" t="s">
        <v>56</v>
      </c>
      <c r="J73" s="32"/>
      <c r="K73" s="32"/>
      <c r="L73" s="39">
        <v>1.46</v>
      </c>
      <c r="M73" s="32" t="s">
        <v>145</v>
      </c>
      <c r="N73" s="15">
        <v>90</v>
      </c>
      <c r="O73" s="44">
        <v>84</v>
      </c>
      <c r="P73" s="32" t="s">
        <v>172</v>
      </c>
      <c r="Q73" s="44">
        <v>84</v>
      </c>
      <c r="R73" s="15">
        <v>90</v>
      </c>
      <c r="U73" s="21"/>
      <c r="V73" s="21">
        <v>4</v>
      </c>
      <c r="W73" s="21">
        <v>5</v>
      </c>
      <c r="X73" s="21">
        <v>20</v>
      </c>
      <c r="Y73" s="21">
        <v>24</v>
      </c>
      <c r="Z73" s="21">
        <v>28</v>
      </c>
      <c r="AA73" s="21">
        <v>39</v>
      </c>
      <c r="AB73" s="26">
        <f t="shared" si="19"/>
        <v>8.3000000000000007</v>
      </c>
      <c r="AC73" s="27">
        <f t="shared" si="20"/>
        <v>7.6999999999999993</v>
      </c>
      <c r="AD73" s="26">
        <f t="shared" si="21"/>
        <v>9.5</v>
      </c>
      <c r="AE73" s="27">
        <f t="shared" si="22"/>
        <v>10.5</v>
      </c>
      <c r="AF73" s="26">
        <f t="shared" si="23"/>
        <v>10.7</v>
      </c>
      <c r="AG73" s="27">
        <f t="shared" si="24"/>
        <v>13.299999999999999</v>
      </c>
      <c r="AH73" s="26">
        <f t="shared" si="25"/>
        <v>14</v>
      </c>
      <c r="AI73" s="27">
        <f t="shared" si="26"/>
        <v>21</v>
      </c>
      <c r="AJ73" s="28" t="s">
        <v>45</v>
      </c>
    </row>
    <row r="74" spans="1:38" ht="14.25" customHeight="1">
      <c r="A74" s="54" t="s">
        <v>180</v>
      </c>
      <c r="B74" s="35" t="s">
        <v>181</v>
      </c>
      <c r="C74" s="17" t="s">
        <v>54</v>
      </c>
      <c r="D74" s="15" t="s">
        <v>41</v>
      </c>
      <c r="E74" s="38" t="s">
        <v>55</v>
      </c>
      <c r="F74" s="15">
        <v>30</v>
      </c>
      <c r="G74" s="19">
        <v>1</v>
      </c>
      <c r="H74" s="19">
        <f t="shared" si="18"/>
        <v>30</v>
      </c>
      <c r="I74" s="38" t="s">
        <v>56</v>
      </c>
      <c r="J74" s="32"/>
      <c r="K74" s="32"/>
      <c r="L74" s="39"/>
      <c r="M74" s="15" t="s">
        <v>182</v>
      </c>
      <c r="N74" s="28">
        <v>120</v>
      </c>
      <c r="O74" s="25">
        <v>84</v>
      </c>
      <c r="V74" s="17">
        <f>L74</f>
        <v>0</v>
      </c>
      <c r="W74" s="21">
        <v>5</v>
      </c>
      <c r="AB74" s="26"/>
      <c r="AC74" s="27"/>
      <c r="AD74" s="26"/>
      <c r="AE74" s="27"/>
      <c r="AF74" s="26"/>
      <c r="AG74" s="27"/>
      <c r="AH74" s="26"/>
      <c r="AI74" s="27"/>
      <c r="AJ74" s="28" t="s">
        <v>169</v>
      </c>
    </row>
    <row r="75" spans="1:38" ht="14.25" customHeight="1">
      <c r="A75" s="54" t="s">
        <v>180</v>
      </c>
      <c r="B75" s="35" t="s">
        <v>181</v>
      </c>
      <c r="C75" s="17" t="s">
        <v>54</v>
      </c>
      <c r="D75" s="15" t="s">
        <v>41</v>
      </c>
      <c r="E75" s="38" t="s">
        <v>55</v>
      </c>
      <c r="F75" s="15">
        <v>60</v>
      </c>
      <c r="G75" s="19">
        <v>1</v>
      </c>
      <c r="H75" s="19">
        <f t="shared" si="18"/>
        <v>60</v>
      </c>
      <c r="I75" s="38" t="s">
        <v>56</v>
      </c>
      <c r="J75" s="15"/>
      <c r="K75" s="15"/>
      <c r="L75" s="50">
        <v>11.8</v>
      </c>
      <c r="M75" s="15" t="s">
        <v>145</v>
      </c>
      <c r="N75" s="15">
        <v>120</v>
      </c>
      <c r="O75" s="44">
        <v>84</v>
      </c>
      <c r="P75" s="32"/>
      <c r="V75" s="17">
        <f>L75</f>
        <v>11.8</v>
      </c>
      <c r="W75" s="22">
        <v>5</v>
      </c>
      <c r="X75" s="22">
        <f>20*1.6+($V$288-4)</f>
        <v>32</v>
      </c>
      <c r="Y75" s="22">
        <f>24*1.6+($V$288-4)</f>
        <v>38.400000000000006</v>
      </c>
      <c r="Z75" s="22">
        <f>28*1.6+($V$288-4)</f>
        <v>44.800000000000004</v>
      </c>
      <c r="AA75" s="22">
        <f>39*1.6+($V$288-4)</f>
        <v>62.400000000000006</v>
      </c>
      <c r="AB75" s="26">
        <f t="shared" ref="AB75:AB106" si="27">W75+(X75-V75-W75)*0.3</f>
        <v>9.5599999999999987</v>
      </c>
      <c r="AC75" s="27">
        <f t="shared" ref="AC75:AC106" si="28">(X75-V75-W75)*0.7</f>
        <v>10.639999999999999</v>
      </c>
      <c r="AD75" s="26">
        <f t="shared" ref="AD75:AD106" si="29">W75+(Y75-V75-W75)*0.3</f>
        <v>11.48</v>
      </c>
      <c r="AE75" s="27">
        <f t="shared" ref="AE75:AE106" si="30">(Y75-V75-W75)*0.7</f>
        <v>15.120000000000003</v>
      </c>
      <c r="AF75" s="26">
        <f t="shared" ref="AF75:AF106" si="31">W75+(Z75-V75-W75)*0.3</f>
        <v>13.4</v>
      </c>
      <c r="AG75" s="27">
        <f t="shared" ref="AG75:AG106" si="32">(Z75-V75-W75)*0.7</f>
        <v>19.599999999999998</v>
      </c>
      <c r="AH75" s="26">
        <f t="shared" ref="AH75:AH106" si="33">W75+(AA75-V75-W75)*0.3</f>
        <v>18.68</v>
      </c>
      <c r="AI75" s="27">
        <f t="shared" ref="AI75:AI106" si="34">(AA75-V75-W75)*0.7</f>
        <v>31.920000000000005</v>
      </c>
      <c r="AJ75" s="28" t="s">
        <v>45</v>
      </c>
    </row>
    <row r="76" spans="1:38" ht="14.25" customHeight="1">
      <c r="A76" s="15" t="s">
        <v>184</v>
      </c>
      <c r="B76" s="35">
        <v>15</v>
      </c>
      <c r="C76" s="17" t="s">
        <v>54</v>
      </c>
      <c r="D76" s="15" t="s">
        <v>41</v>
      </c>
      <c r="E76" s="38" t="s">
        <v>135</v>
      </c>
      <c r="F76" s="15">
        <v>30</v>
      </c>
      <c r="G76" s="19">
        <v>1</v>
      </c>
      <c r="H76" s="19">
        <f t="shared" si="18"/>
        <v>30</v>
      </c>
      <c r="I76" s="38" t="s">
        <v>56</v>
      </c>
      <c r="J76" s="32"/>
      <c r="K76" s="32"/>
      <c r="L76" s="40">
        <v>7.48</v>
      </c>
      <c r="M76" s="32" t="s">
        <v>185</v>
      </c>
      <c r="N76" s="15">
        <v>90</v>
      </c>
      <c r="O76" s="44">
        <v>84</v>
      </c>
      <c r="P76" s="32" t="s">
        <v>186</v>
      </c>
      <c r="Q76" s="44">
        <v>84</v>
      </c>
      <c r="R76" s="15">
        <v>90</v>
      </c>
      <c r="V76" s="17">
        <v>8</v>
      </c>
      <c r="W76" s="21">
        <v>5</v>
      </c>
      <c r="X76" s="21">
        <f>20+4</f>
        <v>24</v>
      </c>
      <c r="Y76" s="21">
        <v>28</v>
      </c>
      <c r="Z76" s="21">
        <v>32</v>
      </c>
      <c r="AA76" s="21">
        <v>43</v>
      </c>
      <c r="AB76" s="26">
        <f t="shared" si="27"/>
        <v>8.3000000000000007</v>
      </c>
      <c r="AC76" s="27">
        <f t="shared" si="28"/>
        <v>7.6999999999999993</v>
      </c>
      <c r="AD76" s="26">
        <f t="shared" si="29"/>
        <v>9.5</v>
      </c>
      <c r="AE76" s="27">
        <f t="shared" si="30"/>
        <v>10.5</v>
      </c>
      <c r="AF76" s="26">
        <f t="shared" si="31"/>
        <v>10.7</v>
      </c>
      <c r="AG76" s="27">
        <f t="shared" si="32"/>
        <v>13.299999999999999</v>
      </c>
      <c r="AH76" s="26">
        <f t="shared" si="33"/>
        <v>14</v>
      </c>
      <c r="AI76" s="27">
        <f t="shared" si="34"/>
        <v>21</v>
      </c>
      <c r="AJ76" s="28" t="s">
        <v>45</v>
      </c>
    </row>
    <row r="77" spans="1:38" ht="14.25" customHeight="1">
      <c r="A77" s="15" t="s">
        <v>187</v>
      </c>
      <c r="B77" s="35">
        <v>0.75</v>
      </c>
      <c r="C77" s="17" t="s">
        <v>54</v>
      </c>
      <c r="D77" s="15" t="s">
        <v>41</v>
      </c>
      <c r="E77" s="38" t="s">
        <v>135</v>
      </c>
      <c r="F77" s="15">
        <v>40</v>
      </c>
      <c r="G77" s="19">
        <v>1</v>
      </c>
      <c r="H77" s="19">
        <f t="shared" si="18"/>
        <v>40</v>
      </c>
      <c r="I77" s="38" t="s">
        <v>56</v>
      </c>
      <c r="J77" s="32"/>
      <c r="K77" s="32"/>
      <c r="L77" s="39">
        <v>3.2</v>
      </c>
      <c r="M77" s="32" t="s">
        <v>185</v>
      </c>
      <c r="N77" s="17">
        <v>120</v>
      </c>
      <c r="O77" s="25">
        <v>84</v>
      </c>
      <c r="Q77" s="44"/>
      <c r="V77" s="17">
        <v>4</v>
      </c>
      <c r="W77" s="21">
        <v>5</v>
      </c>
      <c r="X77" s="21">
        <v>20</v>
      </c>
      <c r="Y77" s="21">
        <v>24</v>
      </c>
      <c r="Z77" s="21">
        <v>28</v>
      </c>
      <c r="AA77" s="21">
        <v>39</v>
      </c>
      <c r="AB77" s="26">
        <f t="shared" si="27"/>
        <v>8.3000000000000007</v>
      </c>
      <c r="AC77" s="27">
        <f t="shared" si="28"/>
        <v>7.6999999999999993</v>
      </c>
      <c r="AD77" s="26">
        <f t="shared" si="29"/>
        <v>9.5</v>
      </c>
      <c r="AE77" s="27">
        <f t="shared" si="30"/>
        <v>10.5</v>
      </c>
      <c r="AF77" s="26">
        <f t="shared" si="31"/>
        <v>10.7</v>
      </c>
      <c r="AG77" s="27">
        <f t="shared" si="32"/>
        <v>13.299999999999999</v>
      </c>
      <c r="AH77" s="26">
        <f t="shared" si="33"/>
        <v>14</v>
      </c>
      <c r="AI77" s="27">
        <f t="shared" si="34"/>
        <v>21</v>
      </c>
      <c r="AJ77" s="28" t="s">
        <v>45</v>
      </c>
    </row>
    <row r="78" spans="1:38" ht="14.25" customHeight="1">
      <c r="A78" s="15" t="s">
        <v>188</v>
      </c>
      <c r="B78" s="35">
        <v>0.1</v>
      </c>
      <c r="C78" s="17" t="s">
        <v>54</v>
      </c>
      <c r="D78" s="15" t="s">
        <v>41</v>
      </c>
      <c r="E78" s="38" t="s">
        <v>135</v>
      </c>
      <c r="F78" s="15">
        <v>45</v>
      </c>
      <c r="G78" s="19">
        <v>1</v>
      </c>
      <c r="H78" s="19">
        <f t="shared" si="18"/>
        <v>45</v>
      </c>
      <c r="I78" s="38" t="s">
        <v>56</v>
      </c>
      <c r="J78" s="32"/>
      <c r="K78" s="32"/>
      <c r="L78" s="37">
        <v>13.4</v>
      </c>
      <c r="M78" s="32" t="s">
        <v>186</v>
      </c>
      <c r="N78" s="17">
        <v>135</v>
      </c>
      <c r="O78" s="25">
        <v>112</v>
      </c>
      <c r="V78" s="17">
        <f>L78</f>
        <v>13.4</v>
      </c>
      <c r="W78" s="21">
        <v>5</v>
      </c>
      <c r="X78" s="21">
        <f>(20+($V$297-4))</f>
        <v>33.92</v>
      </c>
      <c r="Y78" s="21">
        <f>(24+($V$297-4))</f>
        <v>37.92</v>
      </c>
      <c r="Z78" s="21">
        <f>(28+($V$297-4))</f>
        <v>41.92</v>
      </c>
      <c r="AA78" s="21">
        <f>(39+($V$297-4))</f>
        <v>52.92</v>
      </c>
      <c r="AB78" s="26">
        <f t="shared" si="27"/>
        <v>9.6560000000000006</v>
      </c>
      <c r="AC78" s="27">
        <f t="shared" si="28"/>
        <v>10.864000000000001</v>
      </c>
      <c r="AD78" s="26">
        <f t="shared" si="29"/>
        <v>10.856000000000002</v>
      </c>
      <c r="AE78" s="27">
        <f t="shared" si="30"/>
        <v>13.664000000000001</v>
      </c>
      <c r="AF78" s="26">
        <f t="shared" si="31"/>
        <v>12.056000000000001</v>
      </c>
      <c r="AG78" s="27">
        <f t="shared" si="32"/>
        <v>16.464000000000002</v>
      </c>
      <c r="AH78" s="26">
        <f t="shared" si="33"/>
        <v>15.356</v>
      </c>
      <c r="AI78" s="27">
        <f t="shared" si="34"/>
        <v>24.164000000000001</v>
      </c>
      <c r="AJ78" s="28" t="s">
        <v>45</v>
      </c>
      <c r="AK78" s="15" t="s">
        <v>189</v>
      </c>
      <c r="AL78" s="15" t="s">
        <v>190</v>
      </c>
    </row>
    <row r="79" spans="1:38" ht="14.25" customHeight="1">
      <c r="A79" s="15" t="s">
        <v>191</v>
      </c>
      <c r="B79" s="35">
        <v>0.1</v>
      </c>
      <c r="C79" s="17" t="s">
        <v>54</v>
      </c>
      <c r="D79" s="15" t="s">
        <v>41</v>
      </c>
      <c r="E79" s="38" t="s">
        <v>55</v>
      </c>
      <c r="F79" s="15">
        <v>45</v>
      </c>
      <c r="G79" s="19">
        <v>1</v>
      </c>
      <c r="H79" s="19">
        <f t="shared" si="18"/>
        <v>45</v>
      </c>
      <c r="I79" s="38" t="s">
        <v>56</v>
      </c>
      <c r="J79" s="32"/>
      <c r="K79" s="32"/>
      <c r="L79" s="37">
        <v>13.73</v>
      </c>
      <c r="M79" s="32" t="s">
        <v>186</v>
      </c>
      <c r="N79" s="17">
        <v>135</v>
      </c>
      <c r="O79" s="25">
        <v>112</v>
      </c>
      <c r="V79" s="17">
        <f>L79</f>
        <v>13.73</v>
      </c>
      <c r="W79" s="21">
        <v>5</v>
      </c>
      <c r="X79" s="21">
        <f>(20+($V$300-4))</f>
        <v>26.28</v>
      </c>
      <c r="Y79" s="21">
        <f>(24+($V$300-4))</f>
        <v>30.28</v>
      </c>
      <c r="Z79" s="21">
        <f>(28+($V$300-4))</f>
        <v>34.28</v>
      </c>
      <c r="AA79" s="21">
        <f>(39+($V$300-4))</f>
        <v>45.28</v>
      </c>
      <c r="AB79" s="26">
        <f t="shared" si="27"/>
        <v>7.2650000000000006</v>
      </c>
      <c r="AC79" s="27">
        <f t="shared" si="28"/>
        <v>5.2850000000000001</v>
      </c>
      <c r="AD79" s="26">
        <f t="shared" si="29"/>
        <v>8.4649999999999999</v>
      </c>
      <c r="AE79" s="27">
        <f t="shared" si="30"/>
        <v>8.0850000000000009</v>
      </c>
      <c r="AF79" s="26">
        <f t="shared" si="31"/>
        <v>9.6649999999999991</v>
      </c>
      <c r="AG79" s="27">
        <f t="shared" si="32"/>
        <v>10.885</v>
      </c>
      <c r="AH79" s="26">
        <f t="shared" si="33"/>
        <v>12.965</v>
      </c>
      <c r="AI79" s="27">
        <f t="shared" si="34"/>
        <v>18.585000000000001</v>
      </c>
      <c r="AJ79" s="28" t="s">
        <v>45</v>
      </c>
      <c r="AK79" s="15" t="s">
        <v>189</v>
      </c>
      <c r="AL79" s="15" t="s">
        <v>190</v>
      </c>
    </row>
    <row r="80" spans="1:38" ht="14.25" customHeight="1">
      <c r="A80" s="15" t="s">
        <v>192</v>
      </c>
      <c r="B80" s="35" t="s">
        <v>193</v>
      </c>
      <c r="C80" s="17" t="s">
        <v>54</v>
      </c>
      <c r="D80" s="15" t="s">
        <v>41</v>
      </c>
      <c r="E80" s="38" t="s">
        <v>135</v>
      </c>
      <c r="F80" s="15">
        <v>45</v>
      </c>
      <c r="G80" s="19">
        <v>1</v>
      </c>
      <c r="H80" s="19">
        <f t="shared" si="18"/>
        <v>45</v>
      </c>
      <c r="I80" s="38" t="s">
        <v>56</v>
      </c>
      <c r="J80" s="32"/>
      <c r="K80" s="32"/>
      <c r="L80" s="37">
        <v>19.53</v>
      </c>
      <c r="M80" s="32" t="s">
        <v>186</v>
      </c>
      <c r="N80" s="17">
        <v>135</v>
      </c>
      <c r="O80" s="25">
        <v>112</v>
      </c>
      <c r="V80" s="17">
        <f>L80</f>
        <v>19.53</v>
      </c>
      <c r="W80" s="21">
        <v>5</v>
      </c>
      <c r="X80" s="21">
        <f>(20+($V$303-4))</f>
        <v>39.4</v>
      </c>
      <c r="Y80" s="21">
        <f>(24+($V$303-4))</f>
        <v>43.4</v>
      </c>
      <c r="Z80" s="21">
        <f>(28+($V$303-4))</f>
        <v>47.4</v>
      </c>
      <c r="AA80" s="21">
        <f>(39+($V$303-4))</f>
        <v>58.4</v>
      </c>
      <c r="AB80" s="26">
        <f t="shared" si="27"/>
        <v>9.4609999999999985</v>
      </c>
      <c r="AC80" s="27">
        <f t="shared" si="28"/>
        <v>10.408999999999997</v>
      </c>
      <c r="AD80" s="26">
        <f t="shared" si="29"/>
        <v>10.660999999999998</v>
      </c>
      <c r="AE80" s="27">
        <f t="shared" si="30"/>
        <v>13.208999999999998</v>
      </c>
      <c r="AF80" s="26">
        <f t="shared" si="31"/>
        <v>11.860999999999999</v>
      </c>
      <c r="AG80" s="27">
        <f t="shared" si="32"/>
        <v>16.008999999999997</v>
      </c>
      <c r="AH80" s="26">
        <f t="shared" si="33"/>
        <v>15.161</v>
      </c>
      <c r="AI80" s="27">
        <f t="shared" si="34"/>
        <v>23.708999999999996</v>
      </c>
      <c r="AJ80" s="28" t="s">
        <v>45</v>
      </c>
      <c r="AK80" s="15" t="s">
        <v>189</v>
      </c>
      <c r="AL80" s="15" t="s">
        <v>190</v>
      </c>
    </row>
    <row r="81" spans="1:39" ht="14.25" customHeight="1">
      <c r="A81" s="15" t="s">
        <v>192</v>
      </c>
      <c r="B81" s="35" t="s">
        <v>194</v>
      </c>
      <c r="C81" s="17" t="s">
        <v>54</v>
      </c>
      <c r="D81" s="15" t="s">
        <v>41</v>
      </c>
      <c r="E81" s="38" t="s">
        <v>135</v>
      </c>
      <c r="F81" s="15">
        <v>45</v>
      </c>
      <c r="G81" s="19">
        <v>1</v>
      </c>
      <c r="H81" s="19">
        <f t="shared" si="18"/>
        <v>45</v>
      </c>
      <c r="I81" s="38" t="s">
        <v>56</v>
      </c>
      <c r="J81" s="32"/>
      <c r="K81" s="32"/>
      <c r="L81" s="37">
        <v>19.53</v>
      </c>
      <c r="M81" s="32" t="s">
        <v>186</v>
      </c>
      <c r="N81" s="17">
        <v>135</v>
      </c>
      <c r="O81" s="25">
        <v>112</v>
      </c>
      <c r="V81" s="17">
        <f>L81</f>
        <v>19.53</v>
      </c>
      <c r="W81" s="21">
        <v>5</v>
      </c>
      <c r="X81" s="21">
        <f>(20+($V$306-4))</f>
        <v>54.2</v>
      </c>
      <c r="Y81" s="21">
        <f>(24+($V$306-4))</f>
        <v>58.2</v>
      </c>
      <c r="Z81" s="21">
        <f>(28+($V$306-4))</f>
        <v>62.2</v>
      </c>
      <c r="AA81" s="21">
        <f>(39+($V$306-4))</f>
        <v>73.2</v>
      </c>
      <c r="AB81" s="26">
        <f t="shared" si="27"/>
        <v>13.901</v>
      </c>
      <c r="AC81" s="27">
        <f t="shared" si="28"/>
        <v>20.768999999999998</v>
      </c>
      <c r="AD81" s="26">
        <f t="shared" si="29"/>
        <v>15.101000000000001</v>
      </c>
      <c r="AE81" s="27">
        <f t="shared" si="30"/>
        <v>23.568999999999999</v>
      </c>
      <c r="AF81" s="26">
        <f t="shared" si="31"/>
        <v>16.301000000000002</v>
      </c>
      <c r="AG81" s="27">
        <f t="shared" si="32"/>
        <v>26.369</v>
      </c>
      <c r="AH81" s="26">
        <f t="shared" si="33"/>
        <v>19.600999999999999</v>
      </c>
      <c r="AI81" s="27">
        <f t="shared" si="34"/>
        <v>34.068999999999996</v>
      </c>
      <c r="AJ81" s="28" t="s">
        <v>45</v>
      </c>
      <c r="AK81" s="15" t="s">
        <v>189</v>
      </c>
      <c r="AL81" s="15" t="s">
        <v>190</v>
      </c>
    </row>
    <row r="82" spans="1:39" ht="14.25" customHeight="1">
      <c r="A82" s="15" t="s">
        <v>195</v>
      </c>
      <c r="B82" s="41">
        <v>45294</v>
      </c>
      <c r="C82" s="17" t="s">
        <v>54</v>
      </c>
      <c r="D82" s="15" t="s">
        <v>41</v>
      </c>
      <c r="E82" s="38" t="s">
        <v>135</v>
      </c>
      <c r="F82" s="15">
        <v>30</v>
      </c>
      <c r="G82" s="19">
        <v>1</v>
      </c>
      <c r="H82" s="19">
        <f t="shared" si="18"/>
        <v>30</v>
      </c>
      <c r="I82" s="38" t="s">
        <v>56</v>
      </c>
      <c r="J82" s="32"/>
      <c r="K82" s="32"/>
      <c r="L82" s="37">
        <v>13.14</v>
      </c>
      <c r="M82" s="32" t="s">
        <v>186</v>
      </c>
      <c r="N82" s="17">
        <v>90</v>
      </c>
      <c r="O82" s="25">
        <v>84</v>
      </c>
      <c r="V82" s="17">
        <f>L82</f>
        <v>13.14</v>
      </c>
      <c r="W82" s="21">
        <v>5</v>
      </c>
      <c r="X82" s="21">
        <f>(20+($V$309-4))</f>
        <v>20</v>
      </c>
      <c r="Y82" s="21">
        <f>(24+($V$309-4))</f>
        <v>24</v>
      </c>
      <c r="Z82" s="21">
        <f>(28+($V$309-4))</f>
        <v>28</v>
      </c>
      <c r="AA82" s="21">
        <f>(39+($V$309-4))</f>
        <v>39</v>
      </c>
      <c r="AB82" s="26">
        <f t="shared" si="27"/>
        <v>5.5579999999999998</v>
      </c>
      <c r="AC82" s="27">
        <f t="shared" si="28"/>
        <v>1.3019999999999996</v>
      </c>
      <c r="AD82" s="26">
        <f t="shared" si="29"/>
        <v>6.758</v>
      </c>
      <c r="AE82" s="27">
        <f t="shared" si="30"/>
        <v>4.1019999999999994</v>
      </c>
      <c r="AF82" s="26">
        <f t="shared" si="31"/>
        <v>7.9580000000000002</v>
      </c>
      <c r="AG82" s="27">
        <f t="shared" si="32"/>
        <v>6.9019999999999992</v>
      </c>
      <c r="AH82" s="26">
        <f t="shared" si="33"/>
        <v>11.257999999999999</v>
      </c>
      <c r="AI82" s="27">
        <f t="shared" si="34"/>
        <v>14.601999999999999</v>
      </c>
      <c r="AJ82" s="28" t="s">
        <v>45</v>
      </c>
    </row>
    <row r="83" spans="1:39" ht="14.25" customHeight="1">
      <c r="A83" s="15" t="s">
        <v>195</v>
      </c>
      <c r="B83" s="41">
        <v>45296</v>
      </c>
      <c r="C83" s="17" t="s">
        <v>54</v>
      </c>
      <c r="D83" s="15" t="s">
        <v>41</v>
      </c>
      <c r="E83" s="38" t="s">
        <v>135</v>
      </c>
      <c r="F83" s="15">
        <v>30</v>
      </c>
      <c r="G83" s="19">
        <v>1</v>
      </c>
      <c r="H83" s="19">
        <f t="shared" si="18"/>
        <v>30</v>
      </c>
      <c r="I83" s="38" t="s">
        <v>56</v>
      </c>
      <c r="J83" s="32"/>
      <c r="K83" s="32"/>
      <c r="L83" s="40">
        <v>8.92</v>
      </c>
      <c r="M83" s="32" t="s">
        <v>186</v>
      </c>
      <c r="N83" s="17">
        <v>90</v>
      </c>
      <c r="O83" s="25">
        <v>84</v>
      </c>
      <c r="V83" s="17">
        <v>8</v>
      </c>
      <c r="W83" s="21">
        <v>5</v>
      </c>
      <c r="X83" s="21">
        <f>(20+($V$312-4))</f>
        <v>24</v>
      </c>
      <c r="Y83" s="21">
        <f>(24+($V$312-4))</f>
        <v>28</v>
      </c>
      <c r="Z83" s="21">
        <f>(28+($V$312-4))</f>
        <v>32</v>
      </c>
      <c r="AA83" s="21">
        <f>(39+($V$312-4))</f>
        <v>43</v>
      </c>
      <c r="AB83" s="26">
        <f t="shared" si="27"/>
        <v>8.3000000000000007</v>
      </c>
      <c r="AC83" s="27">
        <f t="shared" si="28"/>
        <v>7.6999999999999993</v>
      </c>
      <c r="AD83" s="26">
        <f t="shared" si="29"/>
        <v>9.5</v>
      </c>
      <c r="AE83" s="27">
        <f t="shared" si="30"/>
        <v>10.5</v>
      </c>
      <c r="AF83" s="26">
        <f t="shared" si="31"/>
        <v>10.7</v>
      </c>
      <c r="AG83" s="27">
        <f t="shared" si="32"/>
        <v>13.299999999999999</v>
      </c>
      <c r="AH83" s="26">
        <f t="shared" si="33"/>
        <v>14</v>
      </c>
      <c r="AI83" s="27">
        <f t="shared" si="34"/>
        <v>21</v>
      </c>
      <c r="AJ83" s="28" t="s">
        <v>45</v>
      </c>
    </row>
    <row r="84" spans="1:39" ht="14.25" customHeight="1">
      <c r="A84" s="15" t="s">
        <v>196</v>
      </c>
      <c r="B84" s="35" t="s">
        <v>197</v>
      </c>
      <c r="C84" s="17" t="s">
        <v>121</v>
      </c>
      <c r="D84" s="15" t="s">
        <v>41</v>
      </c>
      <c r="E84" s="38" t="s">
        <v>148</v>
      </c>
      <c r="F84" s="15">
        <v>30</v>
      </c>
      <c r="G84" s="19">
        <v>1</v>
      </c>
      <c r="H84" s="19">
        <f t="shared" si="18"/>
        <v>30</v>
      </c>
      <c r="I84" s="38" t="s">
        <v>56</v>
      </c>
      <c r="J84" s="32"/>
      <c r="K84" s="32"/>
      <c r="L84" s="40">
        <v>7.96</v>
      </c>
      <c r="M84" s="32" t="s">
        <v>186</v>
      </c>
      <c r="N84" s="17">
        <v>90</v>
      </c>
      <c r="O84" s="25">
        <v>84</v>
      </c>
      <c r="V84" s="17">
        <v>8</v>
      </c>
      <c r="W84" s="21">
        <v>5</v>
      </c>
      <c r="X84" s="21">
        <f>(20+($V$315-4))</f>
        <v>30.560000000000002</v>
      </c>
      <c r="Y84" s="21">
        <f>(24+($V$315-4))</f>
        <v>34.56</v>
      </c>
      <c r="Z84" s="21">
        <f>(28+($V$315-4))</f>
        <v>38.56</v>
      </c>
      <c r="AA84" s="21">
        <f>(39+($V$315-4))</f>
        <v>49.56</v>
      </c>
      <c r="AB84" s="26">
        <f t="shared" si="27"/>
        <v>10.268000000000001</v>
      </c>
      <c r="AC84" s="27">
        <f t="shared" si="28"/>
        <v>12.292000000000002</v>
      </c>
      <c r="AD84" s="26">
        <f t="shared" si="29"/>
        <v>11.468</v>
      </c>
      <c r="AE84" s="27">
        <f t="shared" si="30"/>
        <v>15.092000000000001</v>
      </c>
      <c r="AF84" s="26">
        <f t="shared" si="31"/>
        <v>12.667999999999999</v>
      </c>
      <c r="AG84" s="27">
        <f t="shared" si="32"/>
        <v>17.891999999999999</v>
      </c>
      <c r="AH84" s="26">
        <f t="shared" si="33"/>
        <v>15.968</v>
      </c>
      <c r="AI84" s="27">
        <f t="shared" si="34"/>
        <v>25.591999999999999</v>
      </c>
      <c r="AJ84" s="28" t="s">
        <v>45</v>
      </c>
    </row>
    <row r="85" spans="1:39" ht="14.25" customHeight="1">
      <c r="A85" s="15" t="s">
        <v>189</v>
      </c>
      <c r="B85" s="35">
        <v>100</v>
      </c>
      <c r="C85" s="17" t="s">
        <v>40</v>
      </c>
      <c r="D85" s="15" t="s">
        <v>41</v>
      </c>
      <c r="E85" s="38" t="s">
        <v>94</v>
      </c>
      <c r="F85" s="17">
        <v>28</v>
      </c>
      <c r="G85" s="19">
        <v>1</v>
      </c>
      <c r="H85" s="19">
        <f t="shared" si="18"/>
        <v>28</v>
      </c>
      <c r="I85" s="38" t="s">
        <v>94</v>
      </c>
      <c r="J85" s="32"/>
      <c r="K85" s="32"/>
      <c r="L85" s="39">
        <v>3.27</v>
      </c>
      <c r="M85" s="32" t="s">
        <v>186</v>
      </c>
      <c r="N85" s="17">
        <v>84</v>
      </c>
      <c r="O85" s="25">
        <v>168</v>
      </c>
      <c r="V85" s="17">
        <v>4</v>
      </c>
      <c r="W85" s="21">
        <v>5</v>
      </c>
      <c r="X85" s="21">
        <v>20</v>
      </c>
      <c r="Y85" s="21">
        <v>24</v>
      </c>
      <c r="Z85" s="21">
        <v>28</v>
      </c>
      <c r="AA85" s="21">
        <v>39</v>
      </c>
      <c r="AB85" s="26">
        <f t="shared" si="27"/>
        <v>8.3000000000000007</v>
      </c>
      <c r="AC85" s="27">
        <f t="shared" si="28"/>
        <v>7.6999999999999993</v>
      </c>
      <c r="AD85" s="26">
        <f t="shared" si="29"/>
        <v>9.5</v>
      </c>
      <c r="AE85" s="27">
        <f t="shared" si="30"/>
        <v>10.5</v>
      </c>
      <c r="AF85" s="26">
        <f t="shared" si="31"/>
        <v>10.7</v>
      </c>
      <c r="AG85" s="27">
        <f t="shared" si="32"/>
        <v>13.299999999999999</v>
      </c>
      <c r="AH85" s="26">
        <f t="shared" si="33"/>
        <v>14</v>
      </c>
      <c r="AI85" s="27">
        <f t="shared" si="34"/>
        <v>21</v>
      </c>
      <c r="AJ85" s="28" t="s">
        <v>45</v>
      </c>
      <c r="AK85" s="15" t="s">
        <v>198</v>
      </c>
      <c r="AL85" s="15" t="s">
        <v>199</v>
      </c>
      <c r="AM85" s="15" t="s">
        <v>200</v>
      </c>
    </row>
    <row r="86" spans="1:39" ht="14.25" customHeight="1">
      <c r="A86" s="15" t="s">
        <v>190</v>
      </c>
      <c r="B86" s="35">
        <v>408</v>
      </c>
      <c r="C86" s="17" t="s">
        <v>40</v>
      </c>
      <c r="D86" s="15" t="s">
        <v>41</v>
      </c>
      <c r="E86" s="38" t="s">
        <v>94</v>
      </c>
      <c r="F86" s="17">
        <v>28</v>
      </c>
      <c r="G86" s="19">
        <v>1</v>
      </c>
      <c r="H86" s="19">
        <f t="shared" si="18"/>
        <v>28</v>
      </c>
      <c r="I86" s="38" t="s">
        <v>94</v>
      </c>
      <c r="J86" s="32"/>
      <c r="K86" s="32"/>
      <c r="L86" s="39">
        <v>3.7</v>
      </c>
      <c r="M86" s="32" t="s">
        <v>186</v>
      </c>
      <c r="N86" s="17">
        <v>84</v>
      </c>
      <c r="O86" s="25">
        <v>168</v>
      </c>
      <c r="V86" s="17">
        <v>4</v>
      </c>
      <c r="W86" s="21">
        <v>5</v>
      </c>
      <c r="X86" s="21">
        <v>20</v>
      </c>
      <c r="Y86" s="21">
        <v>24</v>
      </c>
      <c r="Z86" s="21">
        <v>28</v>
      </c>
      <c r="AA86" s="21">
        <v>39</v>
      </c>
      <c r="AB86" s="26">
        <f t="shared" si="27"/>
        <v>8.3000000000000007</v>
      </c>
      <c r="AC86" s="27">
        <f t="shared" si="28"/>
        <v>7.6999999999999993</v>
      </c>
      <c r="AD86" s="26">
        <f t="shared" si="29"/>
        <v>9.5</v>
      </c>
      <c r="AE86" s="27">
        <f t="shared" si="30"/>
        <v>10.5</v>
      </c>
      <c r="AF86" s="26">
        <f t="shared" si="31"/>
        <v>10.7</v>
      </c>
      <c r="AG86" s="27">
        <f t="shared" si="32"/>
        <v>13.299999999999999</v>
      </c>
      <c r="AH86" s="26">
        <f t="shared" si="33"/>
        <v>14</v>
      </c>
      <c r="AI86" s="27">
        <f t="shared" si="34"/>
        <v>21</v>
      </c>
      <c r="AJ86" s="28" t="s">
        <v>45</v>
      </c>
      <c r="AK86" s="15" t="s">
        <v>198</v>
      </c>
      <c r="AL86" s="15" t="s">
        <v>199</v>
      </c>
      <c r="AM86" s="15" t="s">
        <v>200</v>
      </c>
    </row>
    <row r="87" spans="1:39" ht="14.25" customHeight="1">
      <c r="A87" s="15" t="s">
        <v>201</v>
      </c>
      <c r="B87" s="35" t="s">
        <v>202</v>
      </c>
      <c r="C87" s="17" t="s">
        <v>40</v>
      </c>
      <c r="D87" s="15" t="s">
        <v>41</v>
      </c>
      <c r="E87" s="38" t="s">
        <v>156</v>
      </c>
      <c r="F87" s="15">
        <v>30</v>
      </c>
      <c r="G87" s="19">
        <v>1</v>
      </c>
      <c r="H87" s="19">
        <f t="shared" si="18"/>
        <v>30</v>
      </c>
      <c r="I87" s="38" t="s">
        <v>56</v>
      </c>
      <c r="J87" s="32"/>
      <c r="K87" s="32"/>
      <c r="L87" s="39">
        <v>2.54</v>
      </c>
      <c r="M87" s="32" t="s">
        <v>146</v>
      </c>
      <c r="N87" s="17">
        <v>90</v>
      </c>
      <c r="O87" s="25">
        <v>84</v>
      </c>
      <c r="V87" s="17">
        <v>4</v>
      </c>
      <c r="W87" s="21">
        <v>5</v>
      </c>
      <c r="X87" s="21">
        <v>20</v>
      </c>
      <c r="Y87" s="21">
        <v>24</v>
      </c>
      <c r="Z87" s="21">
        <v>28</v>
      </c>
      <c r="AA87" s="21">
        <v>39</v>
      </c>
      <c r="AB87" s="26">
        <f t="shared" si="27"/>
        <v>8.3000000000000007</v>
      </c>
      <c r="AC87" s="27">
        <f t="shared" si="28"/>
        <v>7.6999999999999993</v>
      </c>
      <c r="AD87" s="26">
        <f t="shared" si="29"/>
        <v>9.5</v>
      </c>
      <c r="AE87" s="27">
        <f t="shared" si="30"/>
        <v>10.5</v>
      </c>
      <c r="AF87" s="26">
        <f t="shared" si="31"/>
        <v>10.7</v>
      </c>
      <c r="AG87" s="27">
        <f t="shared" si="32"/>
        <v>13.299999999999999</v>
      </c>
      <c r="AH87" s="26">
        <f t="shared" si="33"/>
        <v>14</v>
      </c>
      <c r="AI87" s="27">
        <f t="shared" si="34"/>
        <v>21</v>
      </c>
      <c r="AJ87" s="28" t="s">
        <v>45</v>
      </c>
    </row>
    <row r="88" spans="1:39" ht="14.25" customHeight="1">
      <c r="A88" s="15" t="s">
        <v>203</v>
      </c>
      <c r="B88" s="35" t="s">
        <v>204</v>
      </c>
      <c r="C88" s="17" t="s">
        <v>40</v>
      </c>
      <c r="D88" s="15" t="s">
        <v>41</v>
      </c>
      <c r="E88" s="38" t="s">
        <v>156</v>
      </c>
      <c r="F88" s="15">
        <v>30</v>
      </c>
      <c r="G88" s="19">
        <v>1</v>
      </c>
      <c r="H88" s="19">
        <f t="shared" si="18"/>
        <v>30</v>
      </c>
      <c r="I88" s="38" t="s">
        <v>56</v>
      </c>
      <c r="J88" s="32"/>
      <c r="K88" s="32"/>
      <c r="L88" s="40">
        <v>9.08</v>
      </c>
      <c r="M88" s="32" t="s">
        <v>146</v>
      </c>
      <c r="N88" s="17">
        <v>90</v>
      </c>
      <c r="O88" s="25">
        <v>84</v>
      </c>
      <c r="V88" s="17">
        <v>8</v>
      </c>
      <c r="W88" s="21">
        <v>5</v>
      </c>
      <c r="X88" s="21">
        <v>24</v>
      </c>
      <c r="Y88" s="21">
        <v>28</v>
      </c>
      <c r="Z88" s="21">
        <v>32</v>
      </c>
      <c r="AA88" s="21">
        <v>43</v>
      </c>
      <c r="AB88" s="26">
        <f t="shared" si="27"/>
        <v>8.3000000000000007</v>
      </c>
      <c r="AC88" s="27">
        <f t="shared" si="28"/>
        <v>7.6999999999999993</v>
      </c>
      <c r="AD88" s="26">
        <f t="shared" si="29"/>
        <v>9.5</v>
      </c>
      <c r="AE88" s="27">
        <f t="shared" si="30"/>
        <v>10.5</v>
      </c>
      <c r="AF88" s="26">
        <f t="shared" si="31"/>
        <v>10.7</v>
      </c>
      <c r="AG88" s="27">
        <f t="shared" si="32"/>
        <v>13.299999999999999</v>
      </c>
      <c r="AH88" s="26">
        <f t="shared" si="33"/>
        <v>14</v>
      </c>
      <c r="AI88" s="27">
        <f t="shared" si="34"/>
        <v>21</v>
      </c>
      <c r="AJ88" s="28" t="s">
        <v>45</v>
      </c>
    </row>
    <row r="89" spans="1:39" ht="14.25" customHeight="1">
      <c r="A89" s="55" t="s">
        <v>205</v>
      </c>
      <c r="B89" s="56">
        <v>45293</v>
      </c>
      <c r="C89" s="57" t="s">
        <v>54</v>
      </c>
      <c r="D89" s="55" t="s">
        <v>41</v>
      </c>
      <c r="E89" s="55" t="s">
        <v>55</v>
      </c>
      <c r="F89" s="55">
        <v>30</v>
      </c>
      <c r="G89" s="58">
        <v>1</v>
      </c>
      <c r="H89" s="58">
        <f t="shared" si="18"/>
        <v>30</v>
      </c>
      <c r="I89" s="55" t="s">
        <v>56</v>
      </c>
      <c r="J89" s="59"/>
      <c r="K89" s="59"/>
      <c r="L89" s="37">
        <v>2.4900000000000002</v>
      </c>
      <c r="M89" s="55" t="s">
        <v>206</v>
      </c>
      <c r="N89" s="57">
        <v>90</v>
      </c>
      <c r="O89" s="60">
        <v>84</v>
      </c>
      <c r="V89" s="17">
        <v>4</v>
      </c>
      <c r="W89" s="21">
        <v>5</v>
      </c>
      <c r="X89" s="21">
        <v>20</v>
      </c>
      <c r="Y89" s="21">
        <v>24</v>
      </c>
      <c r="Z89" s="21">
        <v>28</v>
      </c>
      <c r="AA89" s="21">
        <v>39</v>
      </c>
      <c r="AB89" s="26">
        <f t="shared" si="27"/>
        <v>8.3000000000000007</v>
      </c>
      <c r="AC89" s="27">
        <f t="shared" si="28"/>
        <v>7.6999999999999993</v>
      </c>
      <c r="AD89" s="26">
        <f t="shared" si="29"/>
        <v>9.5</v>
      </c>
      <c r="AE89" s="27">
        <f t="shared" si="30"/>
        <v>10.5</v>
      </c>
      <c r="AF89" s="26">
        <f t="shared" si="31"/>
        <v>10.7</v>
      </c>
      <c r="AG89" s="27">
        <f t="shared" si="32"/>
        <v>13.299999999999999</v>
      </c>
      <c r="AH89" s="26">
        <f t="shared" si="33"/>
        <v>14</v>
      </c>
      <c r="AI89" s="27">
        <f t="shared" si="34"/>
        <v>21</v>
      </c>
      <c r="AJ89" s="28" t="s">
        <v>45</v>
      </c>
    </row>
    <row r="90" spans="1:39" ht="14.25" customHeight="1">
      <c r="A90" s="55" t="s">
        <v>207</v>
      </c>
      <c r="B90" s="56">
        <v>45293</v>
      </c>
      <c r="C90" s="57" t="s">
        <v>54</v>
      </c>
      <c r="D90" s="55" t="s">
        <v>41</v>
      </c>
      <c r="E90" s="55" t="s">
        <v>156</v>
      </c>
      <c r="F90" s="55">
        <v>30</v>
      </c>
      <c r="G90" s="58">
        <v>1</v>
      </c>
      <c r="H90" s="58">
        <f t="shared" si="18"/>
        <v>30</v>
      </c>
      <c r="I90" s="55" t="s">
        <v>56</v>
      </c>
      <c r="J90" s="59"/>
      <c r="K90" s="59"/>
      <c r="L90" s="37">
        <v>2.5</v>
      </c>
      <c r="M90" s="55" t="s">
        <v>206</v>
      </c>
      <c r="N90" s="57">
        <v>90</v>
      </c>
      <c r="O90" s="60">
        <v>84</v>
      </c>
      <c r="V90" s="17">
        <v>4</v>
      </c>
      <c r="W90" s="21">
        <v>5</v>
      </c>
      <c r="X90" s="21">
        <v>20</v>
      </c>
      <c r="Y90" s="21">
        <v>24</v>
      </c>
      <c r="Z90" s="21">
        <v>28</v>
      </c>
      <c r="AA90" s="21">
        <v>39</v>
      </c>
      <c r="AB90" s="26">
        <f t="shared" si="27"/>
        <v>8.3000000000000007</v>
      </c>
      <c r="AC90" s="27">
        <f t="shared" si="28"/>
        <v>7.6999999999999993</v>
      </c>
      <c r="AD90" s="26">
        <f t="shared" si="29"/>
        <v>9.5</v>
      </c>
      <c r="AE90" s="27">
        <f t="shared" si="30"/>
        <v>10.5</v>
      </c>
      <c r="AF90" s="26">
        <f t="shared" si="31"/>
        <v>10.7</v>
      </c>
      <c r="AG90" s="27">
        <f t="shared" si="32"/>
        <v>13.299999999999999</v>
      </c>
      <c r="AH90" s="26">
        <f t="shared" si="33"/>
        <v>14</v>
      </c>
      <c r="AI90" s="27">
        <f t="shared" si="34"/>
        <v>21</v>
      </c>
      <c r="AJ90" s="28" t="s">
        <v>45</v>
      </c>
    </row>
    <row r="91" spans="1:39" ht="14.25" customHeight="1">
      <c r="A91" s="15" t="s">
        <v>208</v>
      </c>
      <c r="B91" s="35">
        <v>1</v>
      </c>
      <c r="C91" s="17" t="s">
        <v>54</v>
      </c>
      <c r="D91" s="15" t="s">
        <v>41</v>
      </c>
      <c r="E91" s="38" t="s">
        <v>55</v>
      </c>
      <c r="F91" s="15">
        <v>30</v>
      </c>
      <c r="G91" s="19">
        <v>1</v>
      </c>
      <c r="H91" s="19">
        <f t="shared" si="18"/>
        <v>30</v>
      </c>
      <c r="I91" s="38" t="s">
        <v>56</v>
      </c>
      <c r="J91" s="32"/>
      <c r="K91" s="32"/>
      <c r="L91" s="39">
        <v>2.42</v>
      </c>
      <c r="M91" s="15" t="s">
        <v>206</v>
      </c>
      <c r="N91" s="17">
        <v>90</v>
      </c>
      <c r="O91" s="25">
        <v>84</v>
      </c>
      <c r="V91" s="17">
        <v>4</v>
      </c>
      <c r="W91" s="21">
        <v>5</v>
      </c>
      <c r="X91" s="21">
        <v>20</v>
      </c>
      <c r="Y91" s="21">
        <v>24</v>
      </c>
      <c r="Z91" s="21">
        <v>28</v>
      </c>
      <c r="AA91" s="21">
        <v>39</v>
      </c>
      <c r="AB91" s="26">
        <f t="shared" si="27"/>
        <v>8.3000000000000007</v>
      </c>
      <c r="AC91" s="27">
        <f t="shared" si="28"/>
        <v>7.6999999999999993</v>
      </c>
      <c r="AD91" s="26">
        <f t="shared" si="29"/>
        <v>9.5</v>
      </c>
      <c r="AE91" s="27">
        <f t="shared" si="30"/>
        <v>10.5</v>
      </c>
      <c r="AF91" s="26">
        <f t="shared" si="31"/>
        <v>10.7</v>
      </c>
      <c r="AG91" s="27">
        <f t="shared" si="32"/>
        <v>13.299999999999999</v>
      </c>
      <c r="AH91" s="26">
        <f t="shared" si="33"/>
        <v>14</v>
      </c>
      <c r="AI91" s="27">
        <f t="shared" si="34"/>
        <v>21</v>
      </c>
      <c r="AJ91" s="28" t="s">
        <v>45</v>
      </c>
    </row>
    <row r="92" spans="1:39" ht="14.25" customHeight="1">
      <c r="A92" s="15" t="s">
        <v>209</v>
      </c>
      <c r="B92" s="35">
        <v>2</v>
      </c>
      <c r="C92" s="17" t="s">
        <v>54</v>
      </c>
      <c r="D92" s="15" t="s">
        <v>41</v>
      </c>
      <c r="E92" s="38" t="s">
        <v>55</v>
      </c>
      <c r="F92" s="15">
        <v>30</v>
      </c>
      <c r="G92" s="19">
        <v>1</v>
      </c>
      <c r="H92" s="19">
        <f t="shared" si="18"/>
        <v>30</v>
      </c>
      <c r="I92" s="38" t="s">
        <v>56</v>
      </c>
      <c r="J92" s="32"/>
      <c r="K92" s="32"/>
      <c r="L92" s="39">
        <v>3.37</v>
      </c>
      <c r="M92" s="15" t="s">
        <v>206</v>
      </c>
      <c r="N92" s="17">
        <v>90</v>
      </c>
      <c r="O92" s="25">
        <v>84</v>
      </c>
      <c r="V92" s="17">
        <v>4</v>
      </c>
      <c r="W92" s="21">
        <v>5</v>
      </c>
      <c r="X92" s="21">
        <v>20</v>
      </c>
      <c r="Y92" s="21">
        <v>24</v>
      </c>
      <c r="Z92" s="21">
        <v>28</v>
      </c>
      <c r="AA92" s="21">
        <v>39</v>
      </c>
      <c r="AB92" s="26">
        <f t="shared" si="27"/>
        <v>8.3000000000000007</v>
      </c>
      <c r="AC92" s="27">
        <f t="shared" si="28"/>
        <v>7.6999999999999993</v>
      </c>
      <c r="AD92" s="26">
        <f t="shared" si="29"/>
        <v>9.5</v>
      </c>
      <c r="AE92" s="27">
        <f t="shared" si="30"/>
        <v>10.5</v>
      </c>
      <c r="AF92" s="26">
        <f t="shared" si="31"/>
        <v>10.7</v>
      </c>
      <c r="AG92" s="27">
        <f t="shared" si="32"/>
        <v>13.299999999999999</v>
      </c>
      <c r="AH92" s="26">
        <f t="shared" si="33"/>
        <v>14</v>
      </c>
      <c r="AI92" s="27">
        <f t="shared" si="34"/>
        <v>21</v>
      </c>
      <c r="AJ92" s="28" t="s">
        <v>45</v>
      </c>
    </row>
    <row r="93" spans="1:39" ht="14.25" customHeight="1">
      <c r="A93" s="15" t="s">
        <v>210</v>
      </c>
      <c r="B93" s="35">
        <v>2</v>
      </c>
      <c r="C93" s="17" t="s">
        <v>54</v>
      </c>
      <c r="D93" s="15" t="s">
        <v>41</v>
      </c>
      <c r="E93" s="38" t="s">
        <v>156</v>
      </c>
      <c r="F93" s="15">
        <v>30</v>
      </c>
      <c r="G93" s="19">
        <v>1</v>
      </c>
      <c r="H93" s="19">
        <f t="shared" si="18"/>
        <v>30</v>
      </c>
      <c r="I93" s="38" t="s">
        <v>56</v>
      </c>
      <c r="J93" s="32"/>
      <c r="K93" s="32"/>
      <c r="L93" s="39">
        <v>4.55</v>
      </c>
      <c r="M93" s="15" t="s">
        <v>206</v>
      </c>
      <c r="N93" s="17">
        <v>90</v>
      </c>
      <c r="O93" s="25">
        <v>84</v>
      </c>
      <c r="V93" s="17">
        <v>4</v>
      </c>
      <c r="W93" s="21">
        <v>5</v>
      </c>
      <c r="X93" s="21">
        <v>20</v>
      </c>
      <c r="Y93" s="21">
        <v>24</v>
      </c>
      <c r="Z93" s="21">
        <v>28</v>
      </c>
      <c r="AA93" s="21">
        <v>39</v>
      </c>
      <c r="AB93" s="26">
        <f t="shared" si="27"/>
        <v>8.3000000000000007</v>
      </c>
      <c r="AC93" s="27">
        <f t="shared" si="28"/>
        <v>7.6999999999999993</v>
      </c>
      <c r="AD93" s="26">
        <f t="shared" si="29"/>
        <v>9.5</v>
      </c>
      <c r="AE93" s="27">
        <f t="shared" si="30"/>
        <v>10.5</v>
      </c>
      <c r="AF93" s="26">
        <f t="shared" si="31"/>
        <v>10.7</v>
      </c>
      <c r="AG93" s="27">
        <f t="shared" si="32"/>
        <v>13.299999999999999</v>
      </c>
      <c r="AH93" s="26">
        <f t="shared" si="33"/>
        <v>14</v>
      </c>
      <c r="AI93" s="27">
        <f t="shared" si="34"/>
        <v>21</v>
      </c>
      <c r="AJ93" s="28" t="s">
        <v>45</v>
      </c>
    </row>
    <row r="94" spans="1:39" ht="14.25" customHeight="1">
      <c r="A94" s="15" t="s">
        <v>211</v>
      </c>
      <c r="B94" s="41">
        <v>45293</v>
      </c>
      <c r="C94" s="17" t="s">
        <v>54</v>
      </c>
      <c r="D94" s="15" t="s">
        <v>41</v>
      </c>
      <c r="E94" s="38" t="s">
        <v>55</v>
      </c>
      <c r="F94" s="15">
        <v>30</v>
      </c>
      <c r="G94" s="19">
        <v>1</v>
      </c>
      <c r="H94" s="19">
        <f t="shared" si="18"/>
        <v>30</v>
      </c>
      <c r="I94" s="38" t="s">
        <v>56</v>
      </c>
      <c r="J94" s="32"/>
      <c r="K94" s="32"/>
      <c r="L94" s="39">
        <v>6.02</v>
      </c>
      <c r="M94" s="15" t="s">
        <v>206</v>
      </c>
      <c r="N94" s="17">
        <v>90</v>
      </c>
      <c r="O94" s="25">
        <v>84</v>
      </c>
      <c r="V94" s="17">
        <v>4</v>
      </c>
      <c r="W94" s="21">
        <v>5</v>
      </c>
      <c r="X94" s="21">
        <v>20</v>
      </c>
      <c r="Y94" s="21">
        <v>24</v>
      </c>
      <c r="Z94" s="21">
        <v>28</v>
      </c>
      <c r="AA94" s="21">
        <v>39</v>
      </c>
      <c r="AB94" s="26">
        <f t="shared" si="27"/>
        <v>8.3000000000000007</v>
      </c>
      <c r="AC94" s="27">
        <f t="shared" si="28"/>
        <v>7.6999999999999993</v>
      </c>
      <c r="AD94" s="26">
        <f t="shared" si="29"/>
        <v>9.5</v>
      </c>
      <c r="AE94" s="27">
        <f t="shared" si="30"/>
        <v>10.5</v>
      </c>
      <c r="AF94" s="26">
        <f t="shared" si="31"/>
        <v>10.7</v>
      </c>
      <c r="AG94" s="27">
        <f t="shared" si="32"/>
        <v>13.299999999999999</v>
      </c>
      <c r="AH94" s="26">
        <f t="shared" si="33"/>
        <v>14</v>
      </c>
      <c r="AI94" s="27">
        <f t="shared" si="34"/>
        <v>21</v>
      </c>
      <c r="AJ94" s="28" t="s">
        <v>45</v>
      </c>
    </row>
    <row r="95" spans="1:39" ht="14.25" customHeight="1">
      <c r="A95" s="15" t="s">
        <v>212</v>
      </c>
      <c r="B95" s="35">
        <v>2</v>
      </c>
      <c r="C95" s="17" t="s">
        <v>54</v>
      </c>
      <c r="D95" s="15" t="s">
        <v>92</v>
      </c>
      <c r="E95" s="38" t="s">
        <v>55</v>
      </c>
      <c r="F95" s="28">
        <v>15</v>
      </c>
      <c r="G95" s="19">
        <v>1</v>
      </c>
      <c r="H95" s="19">
        <f t="shared" si="18"/>
        <v>15</v>
      </c>
      <c r="I95" s="38" t="s">
        <v>56</v>
      </c>
      <c r="J95" s="32"/>
      <c r="K95" s="32"/>
      <c r="L95" s="39">
        <v>5.26</v>
      </c>
      <c r="M95" s="15" t="s">
        <v>206</v>
      </c>
      <c r="N95" s="17">
        <v>15</v>
      </c>
      <c r="O95" s="25">
        <v>84</v>
      </c>
      <c r="V95" s="17">
        <v>4</v>
      </c>
      <c r="W95" s="21">
        <v>5</v>
      </c>
      <c r="X95" s="21">
        <v>20</v>
      </c>
      <c r="Y95" s="21">
        <v>24</v>
      </c>
      <c r="Z95" s="21">
        <v>28</v>
      </c>
      <c r="AA95" s="21">
        <v>39</v>
      </c>
      <c r="AB95" s="26">
        <f t="shared" si="27"/>
        <v>8.3000000000000007</v>
      </c>
      <c r="AC95" s="27">
        <f t="shared" si="28"/>
        <v>7.6999999999999993</v>
      </c>
      <c r="AD95" s="26">
        <f t="shared" si="29"/>
        <v>9.5</v>
      </c>
      <c r="AE95" s="27">
        <f t="shared" si="30"/>
        <v>10.5</v>
      </c>
      <c r="AF95" s="26">
        <f t="shared" si="31"/>
        <v>10.7</v>
      </c>
      <c r="AG95" s="27">
        <f t="shared" si="32"/>
        <v>13.299999999999999</v>
      </c>
      <c r="AH95" s="26">
        <f t="shared" si="33"/>
        <v>14</v>
      </c>
      <c r="AI95" s="27">
        <f t="shared" si="34"/>
        <v>21</v>
      </c>
      <c r="AJ95" s="28" t="s">
        <v>45</v>
      </c>
    </row>
    <row r="96" spans="1:39" ht="14.25" customHeight="1">
      <c r="A96" s="15" t="s">
        <v>213</v>
      </c>
      <c r="B96" s="35">
        <v>2</v>
      </c>
      <c r="C96" s="17" t="s">
        <v>54</v>
      </c>
      <c r="D96" s="15" t="s">
        <v>92</v>
      </c>
      <c r="E96" s="38" t="s">
        <v>156</v>
      </c>
      <c r="F96" s="17">
        <v>15</v>
      </c>
      <c r="G96" s="19">
        <v>1</v>
      </c>
      <c r="H96" s="19">
        <f t="shared" si="18"/>
        <v>15</v>
      </c>
      <c r="I96" s="38" t="s">
        <v>56</v>
      </c>
      <c r="J96" s="32"/>
      <c r="K96" s="32"/>
      <c r="L96" s="39">
        <v>5.05</v>
      </c>
      <c r="M96" s="15" t="s">
        <v>206</v>
      </c>
      <c r="N96" s="17">
        <v>15</v>
      </c>
      <c r="O96" s="25">
        <v>84</v>
      </c>
      <c r="V96" s="17">
        <v>4</v>
      </c>
      <c r="W96" s="21">
        <v>5</v>
      </c>
      <c r="X96" s="21">
        <v>20</v>
      </c>
      <c r="Y96" s="21">
        <v>24</v>
      </c>
      <c r="Z96" s="21">
        <v>28</v>
      </c>
      <c r="AA96" s="21">
        <v>39</v>
      </c>
      <c r="AB96" s="26">
        <f t="shared" si="27"/>
        <v>8.3000000000000007</v>
      </c>
      <c r="AC96" s="27">
        <f t="shared" si="28"/>
        <v>7.6999999999999993</v>
      </c>
      <c r="AD96" s="26">
        <f t="shared" si="29"/>
        <v>9.5</v>
      </c>
      <c r="AE96" s="27">
        <f t="shared" si="30"/>
        <v>10.5</v>
      </c>
      <c r="AF96" s="26">
        <f t="shared" si="31"/>
        <v>10.7</v>
      </c>
      <c r="AG96" s="27">
        <f t="shared" si="32"/>
        <v>13.299999999999999</v>
      </c>
      <c r="AH96" s="26">
        <f t="shared" si="33"/>
        <v>14</v>
      </c>
      <c r="AI96" s="27">
        <f t="shared" si="34"/>
        <v>21</v>
      </c>
      <c r="AJ96" s="28" t="s">
        <v>45</v>
      </c>
    </row>
    <row r="97" spans="1:37" ht="14.25" customHeight="1">
      <c r="A97" s="15" t="s">
        <v>214</v>
      </c>
      <c r="B97" s="35">
        <v>2</v>
      </c>
      <c r="C97" s="17" t="s">
        <v>54</v>
      </c>
      <c r="D97" s="15" t="s">
        <v>92</v>
      </c>
      <c r="E97" s="38" t="s">
        <v>156</v>
      </c>
      <c r="F97" s="17">
        <v>3</v>
      </c>
      <c r="G97" s="19">
        <v>1</v>
      </c>
      <c r="H97" s="19">
        <f t="shared" si="18"/>
        <v>3</v>
      </c>
      <c r="I97" s="38" t="s">
        <v>56</v>
      </c>
      <c r="J97" s="32"/>
      <c r="K97" s="32"/>
      <c r="L97" s="39">
        <v>4.2</v>
      </c>
      <c r="M97" s="15" t="s">
        <v>206</v>
      </c>
      <c r="N97" s="17">
        <v>3</v>
      </c>
      <c r="O97" s="25">
        <v>84</v>
      </c>
      <c r="V97" s="17">
        <v>4</v>
      </c>
      <c r="W97" s="21">
        <v>5</v>
      </c>
      <c r="X97" s="21">
        <v>20</v>
      </c>
      <c r="Y97" s="21">
        <v>24</v>
      </c>
      <c r="Z97" s="21">
        <v>28</v>
      </c>
      <c r="AA97" s="21">
        <v>39</v>
      </c>
      <c r="AB97" s="26">
        <f t="shared" si="27"/>
        <v>8.3000000000000007</v>
      </c>
      <c r="AC97" s="27">
        <f t="shared" si="28"/>
        <v>7.6999999999999993</v>
      </c>
      <c r="AD97" s="26">
        <f t="shared" si="29"/>
        <v>9.5</v>
      </c>
      <c r="AE97" s="27">
        <f t="shared" si="30"/>
        <v>10.5</v>
      </c>
      <c r="AF97" s="26">
        <f t="shared" si="31"/>
        <v>10.7</v>
      </c>
      <c r="AG97" s="27">
        <f t="shared" si="32"/>
        <v>13.299999999999999</v>
      </c>
      <c r="AH97" s="26">
        <f t="shared" si="33"/>
        <v>14</v>
      </c>
      <c r="AI97" s="27">
        <f t="shared" si="34"/>
        <v>21</v>
      </c>
      <c r="AJ97" s="28" t="s">
        <v>45</v>
      </c>
    </row>
    <row r="98" spans="1:37" ht="14.25" customHeight="1">
      <c r="A98" s="15" t="s">
        <v>215</v>
      </c>
      <c r="B98" s="35">
        <v>250</v>
      </c>
      <c r="C98" s="17" t="s">
        <v>40</v>
      </c>
      <c r="D98" s="15" t="s">
        <v>92</v>
      </c>
      <c r="E98" s="38" t="s">
        <v>94</v>
      </c>
      <c r="F98" s="17">
        <v>28</v>
      </c>
      <c r="G98" s="19">
        <v>1</v>
      </c>
      <c r="H98" s="19">
        <f t="shared" ref="H98:H129" si="35">F98*G98</f>
        <v>28</v>
      </c>
      <c r="I98" s="38" t="s">
        <v>94</v>
      </c>
      <c r="J98" s="32"/>
      <c r="K98" s="32"/>
      <c r="L98" s="39">
        <v>1.41</v>
      </c>
      <c r="M98" s="15" t="s">
        <v>206</v>
      </c>
      <c r="N98" s="17">
        <v>28</v>
      </c>
      <c r="O98" s="25">
        <v>84</v>
      </c>
      <c r="V98" s="17">
        <v>4</v>
      </c>
      <c r="W98" s="21">
        <v>5</v>
      </c>
      <c r="X98" s="21">
        <v>20</v>
      </c>
      <c r="Y98" s="21">
        <v>24</v>
      </c>
      <c r="Z98" s="21">
        <v>28</v>
      </c>
      <c r="AA98" s="21">
        <v>39</v>
      </c>
      <c r="AB98" s="26">
        <f t="shared" si="27"/>
        <v>8.3000000000000007</v>
      </c>
      <c r="AC98" s="27">
        <f t="shared" si="28"/>
        <v>7.6999999999999993</v>
      </c>
      <c r="AD98" s="26">
        <f t="shared" si="29"/>
        <v>9.5</v>
      </c>
      <c r="AE98" s="27">
        <f t="shared" si="30"/>
        <v>10.5</v>
      </c>
      <c r="AF98" s="26">
        <f t="shared" si="31"/>
        <v>10.7</v>
      </c>
      <c r="AG98" s="27">
        <f t="shared" si="32"/>
        <v>13.299999999999999</v>
      </c>
      <c r="AH98" s="26">
        <f t="shared" si="33"/>
        <v>14</v>
      </c>
      <c r="AI98" s="27">
        <f t="shared" si="34"/>
        <v>21</v>
      </c>
      <c r="AJ98" s="28" t="s">
        <v>45</v>
      </c>
    </row>
    <row r="99" spans="1:37" ht="14.25" customHeight="1">
      <c r="A99" s="15" t="s">
        <v>215</v>
      </c>
      <c r="B99" s="35">
        <v>500</v>
      </c>
      <c r="C99" s="17" t="s">
        <v>40</v>
      </c>
      <c r="D99" s="15" t="s">
        <v>92</v>
      </c>
      <c r="E99" s="38" t="s">
        <v>94</v>
      </c>
      <c r="F99" s="17">
        <v>28</v>
      </c>
      <c r="G99" s="19">
        <v>1</v>
      </c>
      <c r="H99" s="19">
        <f t="shared" si="35"/>
        <v>28</v>
      </c>
      <c r="I99" s="38" t="s">
        <v>94</v>
      </c>
      <c r="J99" s="32"/>
      <c r="K99" s="32"/>
      <c r="L99" s="39">
        <v>1.28</v>
      </c>
      <c r="M99" s="15" t="s">
        <v>206</v>
      </c>
      <c r="N99" s="17">
        <v>28</v>
      </c>
      <c r="O99" s="25">
        <v>84</v>
      </c>
      <c r="V99" s="17">
        <v>4</v>
      </c>
      <c r="W99" s="21">
        <v>5</v>
      </c>
      <c r="X99" s="21">
        <v>20</v>
      </c>
      <c r="Y99" s="21">
        <v>24</v>
      </c>
      <c r="Z99" s="21">
        <v>28</v>
      </c>
      <c r="AA99" s="21">
        <v>39</v>
      </c>
      <c r="AB99" s="26">
        <f t="shared" si="27"/>
        <v>8.3000000000000007</v>
      </c>
      <c r="AC99" s="27">
        <f t="shared" si="28"/>
        <v>7.6999999999999993</v>
      </c>
      <c r="AD99" s="26">
        <f t="shared" si="29"/>
        <v>9.5</v>
      </c>
      <c r="AE99" s="27">
        <f t="shared" si="30"/>
        <v>10.5</v>
      </c>
      <c r="AF99" s="26">
        <f t="shared" si="31"/>
        <v>10.7</v>
      </c>
      <c r="AG99" s="27">
        <f t="shared" si="32"/>
        <v>13.299999999999999</v>
      </c>
      <c r="AH99" s="26">
        <f t="shared" si="33"/>
        <v>14</v>
      </c>
      <c r="AI99" s="27">
        <f t="shared" si="34"/>
        <v>21</v>
      </c>
      <c r="AJ99" s="28" t="s">
        <v>45</v>
      </c>
    </row>
    <row r="100" spans="1:37" ht="14.25" customHeight="1">
      <c r="A100" s="51" t="s">
        <v>216</v>
      </c>
      <c r="B100" s="35">
        <v>200</v>
      </c>
      <c r="C100" s="28" t="s">
        <v>40</v>
      </c>
      <c r="D100" s="15" t="s">
        <v>41</v>
      </c>
      <c r="E100" s="38" t="s">
        <v>42</v>
      </c>
      <c r="F100" s="28">
        <v>15</v>
      </c>
      <c r="G100" s="19">
        <v>1</v>
      </c>
      <c r="H100" s="19">
        <f t="shared" si="35"/>
        <v>15</v>
      </c>
      <c r="I100" s="38" t="s">
        <v>42</v>
      </c>
      <c r="J100" s="61"/>
      <c r="K100" s="61"/>
      <c r="L100" s="62"/>
      <c r="M100" t="s">
        <v>217</v>
      </c>
      <c r="N100" s="28">
        <v>45</v>
      </c>
      <c r="O100" s="25">
        <v>168</v>
      </c>
      <c r="V100" s="28">
        <v>4</v>
      </c>
      <c r="W100" s="21">
        <v>5</v>
      </c>
      <c r="AB100" s="26">
        <f t="shared" si="27"/>
        <v>2.3000000000000003</v>
      </c>
      <c r="AC100" s="27">
        <f t="shared" si="28"/>
        <v>-6.3</v>
      </c>
      <c r="AD100" s="26">
        <f t="shared" si="29"/>
        <v>2.3000000000000003</v>
      </c>
      <c r="AE100" s="27">
        <f t="shared" si="30"/>
        <v>-6.3</v>
      </c>
      <c r="AF100" s="26">
        <f t="shared" si="31"/>
        <v>2.3000000000000003</v>
      </c>
      <c r="AG100" s="27">
        <f t="shared" si="32"/>
        <v>-6.3</v>
      </c>
      <c r="AH100" s="26">
        <f t="shared" si="33"/>
        <v>2.3000000000000003</v>
      </c>
      <c r="AI100" s="27">
        <f t="shared" si="34"/>
        <v>-6.3</v>
      </c>
      <c r="AJ100" s="28" t="s">
        <v>169</v>
      </c>
    </row>
    <row r="101" spans="1:37" ht="14.25" customHeight="1">
      <c r="A101" s="38" t="s">
        <v>216</v>
      </c>
      <c r="B101" s="35">
        <v>400</v>
      </c>
      <c r="C101" s="17" t="s">
        <v>40</v>
      </c>
      <c r="D101" s="15" t="s">
        <v>41</v>
      </c>
      <c r="E101" s="38" t="s">
        <v>42</v>
      </c>
      <c r="F101" s="28">
        <v>15</v>
      </c>
      <c r="G101" s="19">
        <v>1</v>
      </c>
      <c r="H101" s="19">
        <f t="shared" si="35"/>
        <v>15</v>
      </c>
      <c r="I101" s="38" t="s">
        <v>42</v>
      </c>
      <c r="J101" s="61"/>
      <c r="K101" s="61"/>
      <c r="L101" s="62">
        <f>2.13/56*15</f>
        <v>0.57053571428571426</v>
      </c>
      <c r="M101" s="15" t="s">
        <v>217</v>
      </c>
      <c r="N101" s="28">
        <v>45</v>
      </c>
      <c r="O101" s="25">
        <v>168</v>
      </c>
      <c r="V101" s="28">
        <v>4</v>
      </c>
      <c r="W101" s="21">
        <v>5</v>
      </c>
      <c r="X101" s="28">
        <v>20</v>
      </c>
      <c r="Y101" s="28">
        <v>24</v>
      </c>
      <c r="Z101" s="28">
        <v>28</v>
      </c>
      <c r="AA101" s="28">
        <v>39</v>
      </c>
      <c r="AB101" s="26">
        <f t="shared" si="27"/>
        <v>8.3000000000000007</v>
      </c>
      <c r="AC101" s="27">
        <f t="shared" si="28"/>
        <v>7.6999999999999993</v>
      </c>
      <c r="AD101" s="26">
        <f t="shared" si="29"/>
        <v>9.5</v>
      </c>
      <c r="AE101" s="27">
        <f t="shared" si="30"/>
        <v>10.5</v>
      </c>
      <c r="AF101" s="26">
        <f t="shared" si="31"/>
        <v>10.7</v>
      </c>
      <c r="AG101" s="27">
        <f t="shared" si="32"/>
        <v>13.299999999999999</v>
      </c>
      <c r="AH101" s="26">
        <f t="shared" si="33"/>
        <v>14</v>
      </c>
      <c r="AI101" s="27">
        <f t="shared" si="34"/>
        <v>21</v>
      </c>
      <c r="AJ101" s="28" t="s">
        <v>45</v>
      </c>
    </row>
    <row r="102" spans="1:37" ht="14.25" customHeight="1">
      <c r="A102" s="15" t="s">
        <v>218</v>
      </c>
      <c r="B102" s="35">
        <v>0.05</v>
      </c>
      <c r="C102" s="17" t="s">
        <v>54</v>
      </c>
      <c r="D102" s="15" t="s">
        <v>41</v>
      </c>
      <c r="E102" s="38" t="s">
        <v>55</v>
      </c>
      <c r="F102" s="15">
        <v>30</v>
      </c>
      <c r="G102" s="19">
        <v>1</v>
      </c>
      <c r="H102" s="19">
        <f t="shared" si="35"/>
        <v>30</v>
      </c>
      <c r="I102" s="38" t="s">
        <v>56</v>
      </c>
      <c r="J102" s="32"/>
      <c r="K102" s="32"/>
      <c r="L102" s="39">
        <v>2.69</v>
      </c>
      <c r="M102" s="32" t="s">
        <v>172</v>
      </c>
      <c r="N102" s="17">
        <v>90</v>
      </c>
      <c r="O102" s="25">
        <v>84</v>
      </c>
      <c r="V102" s="17">
        <v>4</v>
      </c>
      <c r="W102" s="21">
        <v>5</v>
      </c>
      <c r="X102" s="21">
        <v>20</v>
      </c>
      <c r="Y102" s="21">
        <v>24</v>
      </c>
      <c r="Z102" s="21">
        <v>28</v>
      </c>
      <c r="AA102" s="21">
        <v>39</v>
      </c>
      <c r="AB102" s="26">
        <f t="shared" si="27"/>
        <v>8.3000000000000007</v>
      </c>
      <c r="AC102" s="27">
        <f t="shared" si="28"/>
        <v>7.6999999999999993</v>
      </c>
      <c r="AD102" s="26">
        <f t="shared" si="29"/>
        <v>9.5</v>
      </c>
      <c r="AE102" s="27">
        <f t="shared" si="30"/>
        <v>10.5</v>
      </c>
      <c r="AF102" s="26">
        <f t="shared" si="31"/>
        <v>10.7</v>
      </c>
      <c r="AG102" s="27">
        <f t="shared" si="32"/>
        <v>13.299999999999999</v>
      </c>
      <c r="AH102" s="26">
        <f t="shared" si="33"/>
        <v>14</v>
      </c>
      <c r="AI102" s="27">
        <f t="shared" si="34"/>
        <v>21</v>
      </c>
      <c r="AJ102" s="28" t="s">
        <v>45</v>
      </c>
    </row>
    <row r="103" spans="1:37" ht="14.25" customHeight="1">
      <c r="A103" s="15" t="s">
        <v>219</v>
      </c>
      <c r="B103" s="35">
        <v>0.05</v>
      </c>
      <c r="C103" s="17" t="s">
        <v>54</v>
      </c>
      <c r="D103" s="15" t="s">
        <v>41</v>
      </c>
      <c r="E103" s="38" t="s">
        <v>156</v>
      </c>
      <c r="F103" s="15">
        <v>100</v>
      </c>
      <c r="G103" s="19">
        <v>1</v>
      </c>
      <c r="H103" s="19">
        <f t="shared" si="35"/>
        <v>100</v>
      </c>
      <c r="I103" s="38" t="s">
        <v>56</v>
      </c>
      <c r="J103" s="32"/>
      <c r="K103" s="32"/>
      <c r="L103" s="39">
        <v>2.69</v>
      </c>
      <c r="M103" s="32" t="s">
        <v>172</v>
      </c>
      <c r="N103" s="17">
        <v>200</v>
      </c>
      <c r="O103" s="25">
        <v>84</v>
      </c>
      <c r="V103" s="17">
        <v>4</v>
      </c>
      <c r="W103" s="21">
        <v>5</v>
      </c>
      <c r="X103" s="21">
        <v>20</v>
      </c>
      <c r="Y103" s="21">
        <v>24</v>
      </c>
      <c r="Z103" s="21">
        <v>28</v>
      </c>
      <c r="AA103" s="21">
        <v>39</v>
      </c>
      <c r="AB103" s="26">
        <f t="shared" si="27"/>
        <v>8.3000000000000007</v>
      </c>
      <c r="AC103" s="27">
        <f t="shared" si="28"/>
        <v>7.6999999999999993</v>
      </c>
      <c r="AD103" s="26">
        <f t="shared" si="29"/>
        <v>9.5</v>
      </c>
      <c r="AE103" s="27">
        <f t="shared" si="30"/>
        <v>10.5</v>
      </c>
      <c r="AF103" s="26">
        <f t="shared" si="31"/>
        <v>10.7</v>
      </c>
      <c r="AG103" s="27">
        <f t="shared" si="32"/>
        <v>13.299999999999999</v>
      </c>
      <c r="AH103" s="26">
        <f t="shared" si="33"/>
        <v>14</v>
      </c>
      <c r="AI103" s="27">
        <f t="shared" si="34"/>
        <v>21</v>
      </c>
      <c r="AJ103" s="28" t="s">
        <v>45</v>
      </c>
    </row>
    <row r="104" spans="1:37" ht="14.25" customHeight="1">
      <c r="A104" s="15" t="s">
        <v>220</v>
      </c>
      <c r="B104" s="35">
        <v>50</v>
      </c>
      <c r="C104" s="17" t="s">
        <v>40</v>
      </c>
      <c r="D104" s="15" t="s">
        <v>41</v>
      </c>
      <c r="E104" s="38" t="s">
        <v>42</v>
      </c>
      <c r="F104" s="17">
        <v>6</v>
      </c>
      <c r="G104" s="19">
        <v>1</v>
      </c>
      <c r="H104" s="19">
        <f t="shared" si="35"/>
        <v>6</v>
      </c>
      <c r="I104" s="38" t="s">
        <v>42</v>
      </c>
      <c r="J104" s="32"/>
      <c r="K104" s="32"/>
      <c r="L104" s="39">
        <v>1.1399999999999999</v>
      </c>
      <c r="M104" s="32" t="s">
        <v>221</v>
      </c>
      <c r="N104" s="17">
        <v>24</v>
      </c>
      <c r="O104" s="25">
        <v>84</v>
      </c>
      <c r="U104" s="21"/>
      <c r="V104" s="21">
        <v>4</v>
      </c>
      <c r="W104" s="21">
        <v>5</v>
      </c>
      <c r="X104" s="21">
        <v>20</v>
      </c>
      <c r="Y104" s="21">
        <v>24</v>
      </c>
      <c r="Z104" s="21">
        <v>28</v>
      </c>
      <c r="AA104" s="21">
        <v>39</v>
      </c>
      <c r="AB104" s="26">
        <f t="shared" si="27"/>
        <v>8.3000000000000007</v>
      </c>
      <c r="AC104" s="27">
        <f t="shared" si="28"/>
        <v>7.6999999999999993</v>
      </c>
      <c r="AD104" s="26">
        <f t="shared" si="29"/>
        <v>9.5</v>
      </c>
      <c r="AE104" s="27">
        <f t="shared" si="30"/>
        <v>10.5</v>
      </c>
      <c r="AF104" s="26">
        <f t="shared" si="31"/>
        <v>10.7</v>
      </c>
      <c r="AG104" s="27">
        <f t="shared" si="32"/>
        <v>13.299999999999999</v>
      </c>
      <c r="AH104" s="26">
        <f t="shared" si="33"/>
        <v>14</v>
      </c>
      <c r="AI104" s="27">
        <f t="shared" si="34"/>
        <v>21</v>
      </c>
      <c r="AJ104" s="28" t="s">
        <v>45</v>
      </c>
    </row>
    <row r="105" spans="1:37" ht="14.25" customHeight="1">
      <c r="A105" s="15" t="s">
        <v>220</v>
      </c>
      <c r="B105" s="35">
        <v>100</v>
      </c>
      <c r="C105" s="17" t="s">
        <v>40</v>
      </c>
      <c r="D105" s="15" t="s">
        <v>41</v>
      </c>
      <c r="E105" s="38" t="s">
        <v>42</v>
      </c>
      <c r="F105" s="17">
        <v>6</v>
      </c>
      <c r="G105" s="19">
        <v>1</v>
      </c>
      <c r="H105" s="19">
        <f t="shared" si="35"/>
        <v>6</v>
      </c>
      <c r="I105" s="38" t="s">
        <v>42</v>
      </c>
      <c r="J105" s="32"/>
      <c r="K105" s="32"/>
      <c r="L105" s="39">
        <v>1.37</v>
      </c>
      <c r="M105" s="32" t="s">
        <v>221</v>
      </c>
      <c r="N105" s="17">
        <v>24</v>
      </c>
      <c r="O105" s="25">
        <v>84</v>
      </c>
      <c r="U105" s="21"/>
      <c r="V105" s="21">
        <v>4</v>
      </c>
      <c r="W105" s="21">
        <v>5</v>
      </c>
      <c r="X105" s="21">
        <v>20</v>
      </c>
      <c r="Y105" s="21">
        <v>24</v>
      </c>
      <c r="Z105" s="21">
        <v>28</v>
      </c>
      <c r="AA105" s="21">
        <v>39</v>
      </c>
      <c r="AB105" s="26">
        <f t="shared" si="27"/>
        <v>8.3000000000000007</v>
      </c>
      <c r="AC105" s="27">
        <f t="shared" si="28"/>
        <v>7.6999999999999993</v>
      </c>
      <c r="AD105" s="26">
        <f t="shared" si="29"/>
        <v>9.5</v>
      </c>
      <c r="AE105" s="27">
        <f t="shared" si="30"/>
        <v>10.5</v>
      </c>
      <c r="AF105" s="26">
        <f t="shared" si="31"/>
        <v>10.7</v>
      </c>
      <c r="AG105" s="27">
        <f t="shared" si="32"/>
        <v>13.299999999999999</v>
      </c>
      <c r="AH105" s="26">
        <f t="shared" si="33"/>
        <v>14</v>
      </c>
      <c r="AI105" s="27">
        <f t="shared" si="34"/>
        <v>21</v>
      </c>
      <c r="AJ105" s="28" t="s">
        <v>45</v>
      </c>
    </row>
    <row r="106" spans="1:37" ht="14.25" customHeight="1">
      <c r="A106" s="15" t="s">
        <v>222</v>
      </c>
      <c r="B106" s="35">
        <v>5</v>
      </c>
      <c r="C106" s="17" t="s">
        <v>40</v>
      </c>
      <c r="D106" s="15" t="s">
        <v>41</v>
      </c>
      <c r="E106" s="38" t="s">
        <v>42</v>
      </c>
      <c r="F106" s="17">
        <v>3</v>
      </c>
      <c r="G106" s="19">
        <v>1</v>
      </c>
      <c r="H106" s="19">
        <f t="shared" si="35"/>
        <v>3</v>
      </c>
      <c r="I106" s="38" t="s">
        <v>42</v>
      </c>
      <c r="J106" s="32"/>
      <c r="K106" s="32"/>
      <c r="L106" s="37">
        <v>13.37</v>
      </c>
      <c r="M106" s="32" t="s">
        <v>221</v>
      </c>
      <c r="N106" s="17">
        <v>12</v>
      </c>
      <c r="O106" s="25">
        <v>84</v>
      </c>
      <c r="V106" s="17">
        <f>L106</f>
        <v>13.37</v>
      </c>
      <c r="W106" s="21">
        <v>5</v>
      </c>
      <c r="X106" s="21">
        <f>(20+($V$374-4))</f>
        <v>20</v>
      </c>
      <c r="Y106" s="21">
        <f>(24+($V$374-4))</f>
        <v>24</v>
      </c>
      <c r="Z106" s="21">
        <f>(28+($V$374-4))</f>
        <v>28</v>
      </c>
      <c r="AA106" s="21">
        <f>(37+($V$374-4))</f>
        <v>37</v>
      </c>
      <c r="AB106" s="26">
        <f t="shared" si="27"/>
        <v>5.4889999999999999</v>
      </c>
      <c r="AC106" s="27">
        <f t="shared" si="28"/>
        <v>1.1410000000000005</v>
      </c>
      <c r="AD106" s="26">
        <f t="shared" si="29"/>
        <v>6.6890000000000001</v>
      </c>
      <c r="AE106" s="27">
        <f t="shared" si="30"/>
        <v>3.9410000000000003</v>
      </c>
      <c r="AF106" s="26">
        <f t="shared" si="31"/>
        <v>7.8890000000000002</v>
      </c>
      <c r="AG106" s="27">
        <f t="shared" si="32"/>
        <v>6.7410000000000005</v>
      </c>
      <c r="AH106" s="26">
        <f t="shared" si="33"/>
        <v>10.589</v>
      </c>
      <c r="AI106" s="27">
        <f t="shared" si="34"/>
        <v>13.041</v>
      </c>
      <c r="AJ106" s="28" t="s">
        <v>45</v>
      </c>
    </row>
    <row r="107" spans="1:37" ht="14.25" customHeight="1">
      <c r="A107" s="15" t="s">
        <v>222</v>
      </c>
      <c r="B107" s="35">
        <v>10</v>
      </c>
      <c r="C107" s="17" t="s">
        <v>40</v>
      </c>
      <c r="D107" s="15" t="s">
        <v>41</v>
      </c>
      <c r="E107" s="38" t="s">
        <v>42</v>
      </c>
      <c r="F107" s="17">
        <v>3</v>
      </c>
      <c r="G107" s="19">
        <v>1</v>
      </c>
      <c r="H107" s="19">
        <f t="shared" si="35"/>
        <v>3</v>
      </c>
      <c r="I107" s="38" t="s">
        <v>42</v>
      </c>
      <c r="J107" s="32"/>
      <c r="K107" s="32"/>
      <c r="L107" s="39">
        <v>3.3</v>
      </c>
      <c r="M107" s="32" t="s">
        <v>221</v>
      </c>
      <c r="N107" s="17">
        <v>12</v>
      </c>
      <c r="O107" s="25">
        <v>84</v>
      </c>
      <c r="U107" s="21"/>
      <c r="V107" s="21">
        <v>4</v>
      </c>
      <c r="W107" s="21">
        <v>5</v>
      </c>
      <c r="X107" s="21">
        <v>20</v>
      </c>
      <c r="Y107" s="21">
        <v>24</v>
      </c>
      <c r="Z107" s="21">
        <v>28</v>
      </c>
      <c r="AA107" s="21">
        <v>39</v>
      </c>
      <c r="AB107" s="26">
        <f t="shared" ref="AB107:AB138" si="36">W107+(X107-V107-W107)*0.3</f>
        <v>8.3000000000000007</v>
      </c>
      <c r="AC107" s="27">
        <f t="shared" ref="AC107:AC138" si="37">(X107-V107-W107)*0.7</f>
        <v>7.6999999999999993</v>
      </c>
      <c r="AD107" s="26">
        <f t="shared" ref="AD107:AD138" si="38">W107+(Y107-V107-W107)*0.3</f>
        <v>9.5</v>
      </c>
      <c r="AE107" s="27">
        <f t="shared" ref="AE107:AE138" si="39">(Y107-V107-W107)*0.7</f>
        <v>10.5</v>
      </c>
      <c r="AF107" s="26">
        <f t="shared" ref="AF107:AF138" si="40">W107+(Z107-V107-W107)*0.3</f>
        <v>10.7</v>
      </c>
      <c r="AG107" s="27">
        <f t="shared" ref="AG107:AG138" si="41">(Z107-V107-W107)*0.7</f>
        <v>13.299999999999999</v>
      </c>
      <c r="AH107" s="26">
        <f t="shared" ref="AH107:AH138" si="42">W107+(AA107-V107-W107)*0.3</f>
        <v>14</v>
      </c>
      <c r="AI107" s="27">
        <f t="shared" ref="AI107:AI138" si="43">(AA107-V107-W107)*0.7</f>
        <v>21</v>
      </c>
      <c r="AJ107" s="28" t="s">
        <v>45</v>
      </c>
    </row>
    <row r="108" spans="1:37" ht="14.25" customHeight="1">
      <c r="A108" s="15" t="s">
        <v>223</v>
      </c>
      <c r="B108" s="35">
        <v>2.5</v>
      </c>
      <c r="C108" s="17" t="s">
        <v>40</v>
      </c>
      <c r="D108" s="15" t="s">
        <v>41</v>
      </c>
      <c r="E108" s="38" t="s">
        <v>42</v>
      </c>
      <c r="F108" s="17">
        <v>6</v>
      </c>
      <c r="G108" s="19">
        <v>1</v>
      </c>
      <c r="H108" s="19">
        <f t="shared" si="35"/>
        <v>6</v>
      </c>
      <c r="I108" s="38" t="s">
        <v>42</v>
      </c>
      <c r="J108" s="32"/>
      <c r="K108" s="32"/>
      <c r="L108" s="39">
        <v>2.21</v>
      </c>
      <c r="M108" s="32" t="s">
        <v>221</v>
      </c>
      <c r="N108" s="17">
        <v>24</v>
      </c>
      <c r="O108" s="25">
        <v>84</v>
      </c>
      <c r="U108" s="21"/>
      <c r="V108" s="21">
        <v>4</v>
      </c>
      <c r="W108" s="21">
        <v>5</v>
      </c>
      <c r="X108" s="21">
        <v>20</v>
      </c>
      <c r="Y108" s="21">
        <v>24</v>
      </c>
      <c r="Z108" s="21">
        <v>28</v>
      </c>
      <c r="AA108" s="21">
        <v>39</v>
      </c>
      <c r="AB108" s="26">
        <f t="shared" si="36"/>
        <v>8.3000000000000007</v>
      </c>
      <c r="AC108" s="27">
        <f t="shared" si="37"/>
        <v>7.6999999999999993</v>
      </c>
      <c r="AD108" s="26">
        <f t="shared" si="38"/>
        <v>9.5</v>
      </c>
      <c r="AE108" s="27">
        <f t="shared" si="39"/>
        <v>10.5</v>
      </c>
      <c r="AF108" s="26">
        <f t="shared" si="40"/>
        <v>10.7</v>
      </c>
      <c r="AG108" s="27">
        <f t="shared" si="41"/>
        <v>13.299999999999999</v>
      </c>
      <c r="AH108" s="26">
        <f t="shared" si="42"/>
        <v>14</v>
      </c>
      <c r="AI108" s="27">
        <f t="shared" si="43"/>
        <v>21</v>
      </c>
      <c r="AJ108" s="28" t="s">
        <v>45</v>
      </c>
    </row>
    <row r="109" spans="1:37" ht="14.25" customHeight="1">
      <c r="A109" s="15" t="s">
        <v>223</v>
      </c>
      <c r="B109" s="35">
        <v>5</v>
      </c>
      <c r="C109" s="17" t="s">
        <v>40</v>
      </c>
      <c r="D109" s="15" t="s">
        <v>41</v>
      </c>
      <c r="E109" s="38" t="s">
        <v>42</v>
      </c>
      <c r="F109" s="17">
        <v>6</v>
      </c>
      <c r="G109" s="19">
        <v>1</v>
      </c>
      <c r="H109" s="19">
        <f t="shared" si="35"/>
        <v>6</v>
      </c>
      <c r="I109" s="38" t="s">
        <v>42</v>
      </c>
      <c r="J109" s="32"/>
      <c r="K109" s="32"/>
      <c r="L109" s="37">
        <v>36</v>
      </c>
      <c r="M109" s="32" t="s">
        <v>221</v>
      </c>
      <c r="N109" s="17">
        <v>24</v>
      </c>
      <c r="O109" s="25">
        <v>84</v>
      </c>
      <c r="V109" s="17">
        <f>L109</f>
        <v>36</v>
      </c>
      <c r="W109" s="21">
        <v>5</v>
      </c>
      <c r="X109" s="65">
        <f>(20+(36-4))</f>
        <v>52</v>
      </c>
      <c r="Y109" s="21">
        <f>(24+(36-4))</f>
        <v>56</v>
      </c>
      <c r="Z109" s="21">
        <f>(28+(36-4))</f>
        <v>60</v>
      </c>
      <c r="AA109" s="21">
        <f>(37+(36-4))</f>
        <v>69</v>
      </c>
      <c r="AB109" s="26">
        <f t="shared" si="36"/>
        <v>8.3000000000000007</v>
      </c>
      <c r="AC109" s="27">
        <f t="shared" si="37"/>
        <v>7.6999999999999993</v>
      </c>
      <c r="AD109" s="26">
        <f t="shared" si="38"/>
        <v>9.5</v>
      </c>
      <c r="AE109" s="27">
        <f t="shared" si="39"/>
        <v>10.5</v>
      </c>
      <c r="AF109" s="26">
        <f t="shared" si="40"/>
        <v>10.7</v>
      </c>
      <c r="AG109" s="27">
        <f t="shared" si="41"/>
        <v>13.299999999999999</v>
      </c>
      <c r="AH109" s="26">
        <f t="shared" si="42"/>
        <v>13.4</v>
      </c>
      <c r="AI109" s="27">
        <f t="shared" si="43"/>
        <v>19.599999999999998</v>
      </c>
      <c r="AJ109" s="28" t="s">
        <v>45</v>
      </c>
    </row>
    <row r="110" spans="1:37" ht="14.25" customHeight="1">
      <c r="A110" s="45" t="s">
        <v>224</v>
      </c>
      <c r="B110" s="35">
        <v>250</v>
      </c>
      <c r="C110" s="17" t="s">
        <v>70</v>
      </c>
      <c r="D110" s="15" t="s">
        <v>41</v>
      </c>
      <c r="E110" s="38" t="s">
        <v>42</v>
      </c>
      <c r="F110" s="17">
        <v>4</v>
      </c>
      <c r="G110" s="19">
        <v>1</v>
      </c>
      <c r="H110" s="19">
        <f t="shared" si="35"/>
        <v>4</v>
      </c>
      <c r="I110" s="38" t="s">
        <v>42</v>
      </c>
      <c r="J110" s="32"/>
      <c r="K110" s="32"/>
      <c r="L110" s="39">
        <v>1.23</v>
      </c>
      <c r="M110" s="32" t="s">
        <v>225</v>
      </c>
      <c r="N110" s="17">
        <v>8</v>
      </c>
      <c r="O110" s="25">
        <v>84</v>
      </c>
      <c r="U110" s="21"/>
      <c r="V110" s="21">
        <v>4</v>
      </c>
      <c r="W110" s="21">
        <v>5</v>
      </c>
      <c r="X110" s="21">
        <v>20</v>
      </c>
      <c r="Y110" s="21">
        <v>24</v>
      </c>
      <c r="Z110" s="21">
        <v>28</v>
      </c>
      <c r="AA110" s="21">
        <v>39</v>
      </c>
      <c r="AB110" s="26">
        <f t="shared" si="36"/>
        <v>8.3000000000000007</v>
      </c>
      <c r="AC110" s="27">
        <f t="shared" si="37"/>
        <v>7.6999999999999993</v>
      </c>
      <c r="AD110" s="26">
        <f t="shared" si="38"/>
        <v>9.5</v>
      </c>
      <c r="AE110" s="27">
        <f t="shared" si="39"/>
        <v>10.5</v>
      </c>
      <c r="AF110" s="26">
        <f t="shared" si="40"/>
        <v>10.7</v>
      </c>
      <c r="AG110" s="27">
        <f t="shared" si="41"/>
        <v>13.299999999999999</v>
      </c>
      <c r="AH110" s="26">
        <f t="shared" si="42"/>
        <v>14</v>
      </c>
      <c r="AI110" s="27">
        <f t="shared" si="43"/>
        <v>21</v>
      </c>
      <c r="AJ110" s="28" t="s">
        <v>45</v>
      </c>
    </row>
    <row r="111" spans="1:37" ht="14.25" customHeight="1">
      <c r="A111" s="45" t="s">
        <v>224</v>
      </c>
      <c r="B111" s="35">
        <v>500</v>
      </c>
      <c r="C111" s="17" t="s">
        <v>70</v>
      </c>
      <c r="D111" s="15" t="s">
        <v>41</v>
      </c>
      <c r="E111" s="38" t="s">
        <v>42</v>
      </c>
      <c r="F111" s="17">
        <v>4</v>
      </c>
      <c r="G111" s="19">
        <v>1</v>
      </c>
      <c r="H111" s="19">
        <f t="shared" si="35"/>
        <v>4</v>
      </c>
      <c r="I111" s="38" t="s">
        <v>42</v>
      </c>
      <c r="J111" s="32"/>
      <c r="K111" s="32"/>
      <c r="L111" s="39">
        <v>1.0900000000000001</v>
      </c>
      <c r="M111" s="32" t="s">
        <v>225</v>
      </c>
      <c r="N111" s="17">
        <v>8</v>
      </c>
      <c r="O111" s="25">
        <v>84</v>
      </c>
      <c r="U111" s="21"/>
      <c r="V111" s="21">
        <v>4</v>
      </c>
      <c r="W111" s="21">
        <v>5</v>
      </c>
      <c r="X111" s="21">
        <v>20</v>
      </c>
      <c r="Y111" s="21">
        <v>24</v>
      </c>
      <c r="Z111" s="21">
        <v>28</v>
      </c>
      <c r="AA111" s="21">
        <v>39</v>
      </c>
      <c r="AB111" s="26">
        <f t="shared" si="36"/>
        <v>8.3000000000000007</v>
      </c>
      <c r="AC111" s="27">
        <f t="shared" si="37"/>
        <v>7.6999999999999993</v>
      </c>
      <c r="AD111" s="26">
        <f t="shared" si="38"/>
        <v>9.5</v>
      </c>
      <c r="AE111" s="27">
        <f t="shared" si="39"/>
        <v>10.5</v>
      </c>
      <c r="AF111" s="26">
        <f t="shared" si="40"/>
        <v>10.7</v>
      </c>
      <c r="AG111" s="27">
        <f t="shared" si="41"/>
        <v>13.299999999999999</v>
      </c>
      <c r="AH111" s="26">
        <f t="shared" si="42"/>
        <v>14</v>
      </c>
      <c r="AI111" s="27">
        <f t="shared" si="43"/>
        <v>21</v>
      </c>
      <c r="AJ111" s="28" t="s">
        <v>45</v>
      </c>
    </row>
    <row r="112" spans="1:37" ht="14.25" customHeight="1">
      <c r="A112" s="15" t="s">
        <v>39</v>
      </c>
      <c r="B112" s="16">
        <v>25</v>
      </c>
      <c r="C112" s="17" t="s">
        <v>40</v>
      </c>
      <c r="D112" s="15" t="s">
        <v>41</v>
      </c>
      <c r="E112" s="18" t="s">
        <v>42</v>
      </c>
      <c r="F112" s="28">
        <v>4</v>
      </c>
      <c r="G112" s="19">
        <v>2</v>
      </c>
      <c r="H112" s="19">
        <f t="shared" si="35"/>
        <v>8</v>
      </c>
      <c r="I112" s="20" t="s">
        <v>42</v>
      </c>
      <c r="J112" s="21" t="s">
        <v>43</v>
      </c>
      <c r="K112" s="21"/>
      <c r="L112" s="26">
        <f>0.24*2</f>
        <v>0.48</v>
      </c>
      <c r="M112" t="s">
        <v>44</v>
      </c>
      <c r="N112" s="24">
        <v>38</v>
      </c>
      <c r="O112" s="25">
        <v>84</v>
      </c>
      <c r="U112" s="21"/>
      <c r="V112" s="21">
        <v>4</v>
      </c>
      <c r="W112" s="21">
        <v>5</v>
      </c>
      <c r="X112" s="21">
        <f>X111*1.6</f>
        <v>32</v>
      </c>
      <c r="Y112" s="21">
        <f>Y111*1.6</f>
        <v>38.400000000000006</v>
      </c>
      <c r="Z112" s="21">
        <f>Z111*1.6</f>
        <v>44.800000000000004</v>
      </c>
      <c r="AA112" s="21">
        <f>AA111*1.6</f>
        <v>62.400000000000006</v>
      </c>
      <c r="AB112" s="26">
        <f t="shared" si="36"/>
        <v>11.899999999999999</v>
      </c>
      <c r="AC112" s="27">
        <f t="shared" si="37"/>
        <v>16.099999999999998</v>
      </c>
      <c r="AD112" s="26">
        <f t="shared" si="38"/>
        <v>13.820000000000002</v>
      </c>
      <c r="AE112" s="27">
        <f t="shared" si="39"/>
        <v>20.580000000000002</v>
      </c>
      <c r="AF112" s="26">
        <f t="shared" si="40"/>
        <v>15.74</v>
      </c>
      <c r="AG112" s="27">
        <f t="shared" si="41"/>
        <v>25.060000000000002</v>
      </c>
      <c r="AH112" s="26">
        <f t="shared" si="42"/>
        <v>21.02</v>
      </c>
      <c r="AI112" s="27">
        <f t="shared" si="43"/>
        <v>37.380000000000003</v>
      </c>
      <c r="AJ112" s="28" t="s">
        <v>45</v>
      </c>
      <c r="AK112" s="15" t="s">
        <v>46</v>
      </c>
    </row>
    <row r="113" spans="1:37" ht="14.25" customHeight="1">
      <c r="A113" s="15" t="s">
        <v>39</v>
      </c>
      <c r="B113" s="16">
        <v>50</v>
      </c>
      <c r="C113" s="17" t="s">
        <v>40</v>
      </c>
      <c r="D113" s="15" t="s">
        <v>41</v>
      </c>
      <c r="E113" s="18" t="s">
        <v>42</v>
      </c>
      <c r="F113" s="28">
        <v>4</v>
      </c>
      <c r="G113" s="19">
        <v>2</v>
      </c>
      <c r="H113" s="19">
        <f t="shared" si="35"/>
        <v>8</v>
      </c>
      <c r="I113" s="20" t="s">
        <v>42</v>
      </c>
      <c r="J113" s="21" t="s">
        <v>43</v>
      </c>
      <c r="K113" s="21"/>
      <c r="L113" s="26">
        <f>0.28*2</f>
        <v>0.56000000000000005</v>
      </c>
      <c r="M113" t="s">
        <v>44</v>
      </c>
      <c r="N113" s="24">
        <v>38</v>
      </c>
      <c r="O113" s="25">
        <v>84</v>
      </c>
      <c r="U113" s="21"/>
      <c r="V113" s="21">
        <v>4</v>
      </c>
      <c r="W113" s="21">
        <v>5</v>
      </c>
      <c r="X113" s="21">
        <f>X111*1.6</f>
        <v>32</v>
      </c>
      <c r="Y113" s="21">
        <f>Y111*1.6</f>
        <v>38.400000000000006</v>
      </c>
      <c r="Z113" s="21">
        <f>Z111*1.6</f>
        <v>44.800000000000004</v>
      </c>
      <c r="AA113" s="21">
        <f>AA111*1.6</f>
        <v>62.400000000000006</v>
      </c>
      <c r="AB113" s="26">
        <f t="shared" si="36"/>
        <v>11.899999999999999</v>
      </c>
      <c r="AC113" s="27">
        <f t="shared" si="37"/>
        <v>16.099999999999998</v>
      </c>
      <c r="AD113" s="26">
        <f t="shared" si="38"/>
        <v>13.820000000000002</v>
      </c>
      <c r="AE113" s="27">
        <f t="shared" si="39"/>
        <v>20.580000000000002</v>
      </c>
      <c r="AF113" s="26">
        <f t="shared" si="40"/>
        <v>15.74</v>
      </c>
      <c r="AG113" s="27">
        <f t="shared" si="41"/>
        <v>25.060000000000002</v>
      </c>
      <c r="AH113" s="26">
        <f t="shared" si="42"/>
        <v>21.02</v>
      </c>
      <c r="AI113" s="27">
        <f t="shared" si="43"/>
        <v>37.380000000000003</v>
      </c>
      <c r="AJ113" s="28" t="s">
        <v>45</v>
      </c>
      <c r="AK113" s="15" t="s">
        <v>46</v>
      </c>
    </row>
    <row r="114" spans="1:37" ht="14.25" customHeight="1">
      <c r="A114" s="15" t="s">
        <v>39</v>
      </c>
      <c r="B114" s="16">
        <v>100</v>
      </c>
      <c r="C114" s="17" t="s">
        <v>40</v>
      </c>
      <c r="D114" s="15" t="s">
        <v>41</v>
      </c>
      <c r="E114" s="18" t="s">
        <v>42</v>
      </c>
      <c r="F114" s="28">
        <v>4</v>
      </c>
      <c r="G114" s="19">
        <v>2</v>
      </c>
      <c r="H114" s="19">
        <f t="shared" si="35"/>
        <v>8</v>
      </c>
      <c r="I114" s="20" t="s">
        <v>42</v>
      </c>
      <c r="J114" s="21" t="s">
        <v>43</v>
      </c>
      <c r="K114" s="21"/>
      <c r="L114" s="26">
        <f>0.26*2</f>
        <v>0.52</v>
      </c>
      <c r="M114" t="s">
        <v>44</v>
      </c>
      <c r="N114" s="24">
        <v>38</v>
      </c>
      <c r="O114" s="25">
        <v>84</v>
      </c>
      <c r="U114" s="21"/>
      <c r="V114" s="21">
        <v>4</v>
      </c>
      <c r="W114" s="21">
        <v>5</v>
      </c>
      <c r="X114" s="21">
        <f>X111*1.6</f>
        <v>32</v>
      </c>
      <c r="Y114" s="21">
        <f>Y111*1.6</f>
        <v>38.400000000000006</v>
      </c>
      <c r="Z114" s="21">
        <f>Z111*1.6</f>
        <v>44.800000000000004</v>
      </c>
      <c r="AA114" s="21">
        <f>AA111*1.6</f>
        <v>62.400000000000006</v>
      </c>
      <c r="AB114" s="26">
        <f t="shared" si="36"/>
        <v>11.899999999999999</v>
      </c>
      <c r="AC114" s="27">
        <f t="shared" si="37"/>
        <v>16.099999999999998</v>
      </c>
      <c r="AD114" s="26">
        <f t="shared" si="38"/>
        <v>13.820000000000002</v>
      </c>
      <c r="AE114" s="27">
        <f t="shared" si="39"/>
        <v>20.580000000000002</v>
      </c>
      <c r="AF114" s="26">
        <f t="shared" si="40"/>
        <v>15.74</v>
      </c>
      <c r="AG114" s="27">
        <f t="shared" si="41"/>
        <v>25.060000000000002</v>
      </c>
      <c r="AH114" s="26">
        <f t="shared" si="42"/>
        <v>21.02</v>
      </c>
      <c r="AI114" s="27">
        <f t="shared" si="43"/>
        <v>37.380000000000003</v>
      </c>
      <c r="AJ114" s="28" t="s">
        <v>45</v>
      </c>
      <c r="AK114" s="15" t="s">
        <v>46</v>
      </c>
    </row>
    <row r="115" spans="1:37" ht="14.25" customHeight="1">
      <c r="A115" s="69" t="s">
        <v>47</v>
      </c>
      <c r="B115" s="16">
        <v>2.5</v>
      </c>
      <c r="C115" s="17" t="s">
        <v>40</v>
      </c>
      <c r="D115" s="15" t="s">
        <v>41</v>
      </c>
      <c r="E115" s="18" t="s">
        <v>42</v>
      </c>
      <c r="F115" s="17">
        <v>28</v>
      </c>
      <c r="G115" s="19">
        <v>2</v>
      </c>
      <c r="H115" s="19">
        <f t="shared" si="35"/>
        <v>56</v>
      </c>
      <c r="I115" s="20" t="s">
        <v>42</v>
      </c>
      <c r="J115" s="21" t="s">
        <v>48</v>
      </c>
      <c r="K115" s="21"/>
      <c r="L115" s="26">
        <f>0.27*2</f>
        <v>0.54</v>
      </c>
      <c r="M115" t="s">
        <v>44</v>
      </c>
      <c r="N115" s="30">
        <v>112</v>
      </c>
      <c r="O115" s="25">
        <v>84</v>
      </c>
      <c r="U115" s="21"/>
      <c r="V115" s="21">
        <v>4</v>
      </c>
      <c r="W115" s="21">
        <v>5</v>
      </c>
      <c r="X115" s="21">
        <f t="shared" ref="X115:AA120" si="44">X113*1.6</f>
        <v>51.2</v>
      </c>
      <c r="Y115" s="21">
        <f t="shared" si="44"/>
        <v>61.440000000000012</v>
      </c>
      <c r="Z115" s="21">
        <f t="shared" si="44"/>
        <v>71.680000000000007</v>
      </c>
      <c r="AA115" s="21">
        <f t="shared" si="44"/>
        <v>99.840000000000018</v>
      </c>
      <c r="AB115" s="26">
        <f t="shared" si="36"/>
        <v>17.66</v>
      </c>
      <c r="AC115" s="27">
        <f t="shared" si="37"/>
        <v>29.54</v>
      </c>
      <c r="AD115" s="26">
        <f t="shared" si="38"/>
        <v>20.732000000000003</v>
      </c>
      <c r="AE115" s="27">
        <f t="shared" si="39"/>
        <v>36.708000000000006</v>
      </c>
      <c r="AF115" s="26">
        <f t="shared" si="40"/>
        <v>23.804000000000002</v>
      </c>
      <c r="AG115" s="27">
        <f t="shared" si="41"/>
        <v>43.876000000000005</v>
      </c>
      <c r="AH115" s="26">
        <f t="shared" si="42"/>
        <v>32.25200000000001</v>
      </c>
      <c r="AI115" s="27">
        <f t="shared" si="43"/>
        <v>63.588000000000008</v>
      </c>
      <c r="AJ115" s="28" t="s">
        <v>45</v>
      </c>
      <c r="AK115" s="15" t="s">
        <v>46</v>
      </c>
    </row>
    <row r="116" spans="1:37" ht="14.25" customHeight="1">
      <c r="A116" s="69" t="s">
        <v>47</v>
      </c>
      <c r="B116" s="16">
        <v>5</v>
      </c>
      <c r="C116" s="17" t="s">
        <v>40</v>
      </c>
      <c r="D116" s="15" t="s">
        <v>41</v>
      </c>
      <c r="E116" s="18" t="s">
        <v>42</v>
      </c>
      <c r="F116" s="17">
        <v>28</v>
      </c>
      <c r="G116" s="19">
        <v>2</v>
      </c>
      <c r="H116" s="19">
        <f t="shared" si="35"/>
        <v>56</v>
      </c>
      <c r="I116" s="20" t="s">
        <v>42</v>
      </c>
      <c r="J116" s="21" t="s">
        <v>48</v>
      </c>
      <c r="K116" s="21"/>
      <c r="L116" s="26">
        <f>0.27*2</f>
        <v>0.54</v>
      </c>
      <c r="M116" t="s">
        <v>44</v>
      </c>
      <c r="N116" s="30">
        <v>112</v>
      </c>
      <c r="O116" s="25">
        <v>84</v>
      </c>
      <c r="U116" s="21"/>
      <c r="V116" s="21">
        <v>4</v>
      </c>
      <c r="W116" s="21">
        <v>5</v>
      </c>
      <c r="X116" s="21">
        <f t="shared" si="44"/>
        <v>51.2</v>
      </c>
      <c r="Y116" s="21">
        <f t="shared" si="44"/>
        <v>61.440000000000012</v>
      </c>
      <c r="Z116" s="21">
        <f t="shared" si="44"/>
        <v>71.680000000000007</v>
      </c>
      <c r="AA116" s="21">
        <f t="shared" si="44"/>
        <v>99.840000000000018</v>
      </c>
      <c r="AB116" s="26">
        <f t="shared" si="36"/>
        <v>17.66</v>
      </c>
      <c r="AC116" s="27">
        <f t="shared" si="37"/>
        <v>29.54</v>
      </c>
      <c r="AD116" s="26">
        <f t="shared" si="38"/>
        <v>20.732000000000003</v>
      </c>
      <c r="AE116" s="27">
        <f t="shared" si="39"/>
        <v>36.708000000000006</v>
      </c>
      <c r="AF116" s="26">
        <f t="shared" si="40"/>
        <v>23.804000000000002</v>
      </c>
      <c r="AG116" s="27">
        <f t="shared" si="41"/>
        <v>43.876000000000005</v>
      </c>
      <c r="AH116" s="26">
        <f t="shared" si="42"/>
        <v>32.25200000000001</v>
      </c>
      <c r="AI116" s="27">
        <f t="shared" si="43"/>
        <v>63.588000000000008</v>
      </c>
      <c r="AJ116" s="28" t="s">
        <v>45</v>
      </c>
      <c r="AK116" s="15" t="s">
        <v>46</v>
      </c>
    </row>
    <row r="117" spans="1:37" ht="14.25" customHeight="1">
      <c r="A117" s="69" t="s">
        <v>47</v>
      </c>
      <c r="B117" s="16">
        <v>10</v>
      </c>
      <c r="C117" s="17" t="s">
        <v>40</v>
      </c>
      <c r="D117" s="15" t="s">
        <v>41</v>
      </c>
      <c r="E117" s="18" t="s">
        <v>42</v>
      </c>
      <c r="F117" s="17">
        <v>4</v>
      </c>
      <c r="G117" s="19">
        <v>2</v>
      </c>
      <c r="H117" s="19">
        <f t="shared" si="35"/>
        <v>8</v>
      </c>
      <c r="I117" s="20" t="s">
        <v>42</v>
      </c>
      <c r="J117" s="22" t="s">
        <v>49</v>
      </c>
      <c r="K117" s="21"/>
      <c r="L117" s="26">
        <f>0.27*2</f>
        <v>0.54</v>
      </c>
      <c r="M117" t="s">
        <v>44</v>
      </c>
      <c r="N117" s="28">
        <v>38</v>
      </c>
      <c r="O117" s="25">
        <v>84</v>
      </c>
      <c r="U117" s="21"/>
      <c r="V117" s="21">
        <v>4</v>
      </c>
      <c r="W117" s="21">
        <v>5</v>
      </c>
      <c r="X117" s="21">
        <f t="shared" si="44"/>
        <v>81.920000000000016</v>
      </c>
      <c r="Y117" s="21">
        <f t="shared" si="44"/>
        <v>98.30400000000003</v>
      </c>
      <c r="Z117" s="21">
        <f t="shared" si="44"/>
        <v>114.68800000000002</v>
      </c>
      <c r="AA117" s="21">
        <f t="shared" si="44"/>
        <v>159.74400000000003</v>
      </c>
      <c r="AB117" s="26">
        <f t="shared" si="36"/>
        <v>26.876000000000005</v>
      </c>
      <c r="AC117" s="27">
        <f t="shared" si="37"/>
        <v>51.044000000000011</v>
      </c>
      <c r="AD117" s="26">
        <f t="shared" si="38"/>
        <v>31.791200000000007</v>
      </c>
      <c r="AE117" s="27">
        <f t="shared" si="39"/>
        <v>62.51280000000002</v>
      </c>
      <c r="AF117" s="26">
        <f t="shared" si="40"/>
        <v>36.706400000000002</v>
      </c>
      <c r="AG117" s="27">
        <f t="shared" si="41"/>
        <v>73.9816</v>
      </c>
      <c r="AH117" s="26">
        <f t="shared" si="42"/>
        <v>50.223200000000006</v>
      </c>
      <c r="AI117" s="27">
        <f t="shared" si="43"/>
        <v>105.52080000000001</v>
      </c>
      <c r="AJ117" s="28" t="s">
        <v>45</v>
      </c>
      <c r="AK117" s="15" t="s">
        <v>46</v>
      </c>
    </row>
    <row r="118" spans="1:37" ht="14.25" customHeight="1">
      <c r="A118" s="69" t="s">
        <v>47</v>
      </c>
      <c r="B118" s="16">
        <v>20</v>
      </c>
      <c r="C118" s="17" t="s">
        <v>40</v>
      </c>
      <c r="D118" s="15" t="s">
        <v>41</v>
      </c>
      <c r="E118" s="18" t="s">
        <v>42</v>
      </c>
      <c r="F118" s="17">
        <v>4</v>
      </c>
      <c r="G118" s="19">
        <v>2</v>
      </c>
      <c r="H118" s="19">
        <f t="shared" si="35"/>
        <v>8</v>
      </c>
      <c r="I118" s="20" t="s">
        <v>42</v>
      </c>
      <c r="J118" s="22" t="s">
        <v>49</v>
      </c>
      <c r="K118" s="21"/>
      <c r="L118" s="26">
        <f>0.27*2</f>
        <v>0.54</v>
      </c>
      <c r="M118" t="s">
        <v>44</v>
      </c>
      <c r="N118" s="28">
        <v>38</v>
      </c>
      <c r="O118" s="25">
        <v>84</v>
      </c>
      <c r="U118" s="21"/>
      <c r="V118" s="21">
        <v>4</v>
      </c>
      <c r="W118" s="21">
        <v>5</v>
      </c>
      <c r="X118" s="21">
        <f t="shared" si="44"/>
        <v>81.920000000000016</v>
      </c>
      <c r="Y118" s="21">
        <f t="shared" si="44"/>
        <v>98.30400000000003</v>
      </c>
      <c r="Z118" s="21">
        <f t="shared" si="44"/>
        <v>114.68800000000002</v>
      </c>
      <c r="AA118" s="21">
        <f t="shared" si="44"/>
        <v>159.74400000000003</v>
      </c>
      <c r="AB118" s="26">
        <f t="shared" si="36"/>
        <v>26.876000000000005</v>
      </c>
      <c r="AC118" s="27">
        <f t="shared" si="37"/>
        <v>51.044000000000011</v>
      </c>
      <c r="AD118" s="26">
        <f t="shared" si="38"/>
        <v>31.791200000000007</v>
      </c>
      <c r="AE118" s="27">
        <f t="shared" si="39"/>
        <v>62.51280000000002</v>
      </c>
      <c r="AF118" s="26">
        <f t="shared" si="40"/>
        <v>36.706400000000002</v>
      </c>
      <c r="AG118" s="27">
        <f t="shared" si="41"/>
        <v>73.9816</v>
      </c>
      <c r="AH118" s="26">
        <f t="shared" si="42"/>
        <v>50.223200000000006</v>
      </c>
      <c r="AI118" s="27">
        <f t="shared" si="43"/>
        <v>105.52080000000001</v>
      </c>
      <c r="AJ118" s="28" t="s">
        <v>45</v>
      </c>
      <c r="AK118" s="15" t="s">
        <v>46</v>
      </c>
    </row>
    <row r="119" spans="1:37" ht="14.25" customHeight="1">
      <c r="A119" s="15" t="s">
        <v>50</v>
      </c>
      <c r="B119" s="16">
        <v>10</v>
      </c>
      <c r="C119" s="17" t="s">
        <v>40</v>
      </c>
      <c r="D119" s="15" t="s">
        <v>41</v>
      </c>
      <c r="E119" s="18" t="s">
        <v>42</v>
      </c>
      <c r="F119" s="17">
        <v>4</v>
      </c>
      <c r="G119" s="19">
        <v>2</v>
      </c>
      <c r="H119" s="19">
        <f t="shared" si="35"/>
        <v>8</v>
      </c>
      <c r="I119" s="20" t="s">
        <v>42</v>
      </c>
      <c r="J119" s="21" t="s">
        <v>43</v>
      </c>
      <c r="K119" s="21"/>
      <c r="L119" s="26">
        <f>L117*2</f>
        <v>1.08</v>
      </c>
      <c r="M119" t="s">
        <v>44</v>
      </c>
      <c r="N119" s="28">
        <v>38</v>
      </c>
      <c r="O119" s="25">
        <v>84</v>
      </c>
      <c r="U119" s="21"/>
      <c r="V119" s="21">
        <v>4</v>
      </c>
      <c r="W119" s="21">
        <v>5</v>
      </c>
      <c r="X119" s="21">
        <f t="shared" si="44"/>
        <v>131.07200000000003</v>
      </c>
      <c r="Y119" s="21">
        <f t="shared" si="44"/>
        <v>157.28640000000007</v>
      </c>
      <c r="Z119" s="21">
        <f t="shared" si="44"/>
        <v>183.50080000000003</v>
      </c>
      <c r="AA119" s="21">
        <f t="shared" si="44"/>
        <v>255.59040000000005</v>
      </c>
      <c r="AB119" s="26">
        <f t="shared" si="36"/>
        <v>41.621600000000008</v>
      </c>
      <c r="AC119" s="27">
        <f t="shared" si="37"/>
        <v>85.450400000000016</v>
      </c>
      <c r="AD119" s="26">
        <f t="shared" si="38"/>
        <v>49.485920000000021</v>
      </c>
      <c r="AE119" s="27">
        <f t="shared" si="39"/>
        <v>103.80048000000005</v>
      </c>
      <c r="AF119" s="26">
        <f t="shared" si="40"/>
        <v>57.350240000000007</v>
      </c>
      <c r="AG119" s="27">
        <f t="shared" si="41"/>
        <v>122.15056000000001</v>
      </c>
      <c r="AH119" s="26">
        <f t="shared" si="42"/>
        <v>78.977120000000014</v>
      </c>
      <c r="AI119" s="27">
        <f t="shared" si="43"/>
        <v>172.61328000000003</v>
      </c>
      <c r="AJ119" s="28" t="s">
        <v>45</v>
      </c>
      <c r="AK119" s="15" t="s">
        <v>46</v>
      </c>
    </row>
    <row r="120" spans="1:37" ht="14.25" customHeight="1">
      <c r="A120" s="15" t="s">
        <v>50</v>
      </c>
      <c r="B120" s="16">
        <v>20</v>
      </c>
      <c r="C120" s="17" t="s">
        <v>40</v>
      </c>
      <c r="D120" s="15" t="s">
        <v>41</v>
      </c>
      <c r="E120" s="18" t="s">
        <v>42</v>
      </c>
      <c r="F120" s="17">
        <v>4</v>
      </c>
      <c r="G120" s="19">
        <v>2</v>
      </c>
      <c r="H120" s="19">
        <f t="shared" si="35"/>
        <v>8</v>
      </c>
      <c r="I120" s="20" t="s">
        <v>42</v>
      </c>
      <c r="J120" s="21" t="s">
        <v>43</v>
      </c>
      <c r="K120" s="21"/>
      <c r="L120" s="26">
        <f>L118*2</f>
        <v>1.08</v>
      </c>
      <c r="M120" t="s">
        <v>44</v>
      </c>
      <c r="N120" s="28">
        <v>38</v>
      </c>
      <c r="O120" s="25">
        <v>84</v>
      </c>
      <c r="U120" s="21"/>
      <c r="V120" s="21">
        <v>4</v>
      </c>
      <c r="W120" s="21">
        <v>5</v>
      </c>
      <c r="X120" s="21">
        <f t="shared" si="44"/>
        <v>131.07200000000003</v>
      </c>
      <c r="Y120" s="21">
        <f t="shared" si="44"/>
        <v>157.28640000000007</v>
      </c>
      <c r="Z120" s="21">
        <f t="shared" si="44"/>
        <v>183.50080000000003</v>
      </c>
      <c r="AA120" s="21">
        <f t="shared" si="44"/>
        <v>255.59040000000005</v>
      </c>
      <c r="AB120" s="26">
        <f t="shared" si="36"/>
        <v>41.621600000000008</v>
      </c>
      <c r="AC120" s="27">
        <f t="shared" si="37"/>
        <v>85.450400000000016</v>
      </c>
      <c r="AD120" s="26">
        <f t="shared" si="38"/>
        <v>49.485920000000021</v>
      </c>
      <c r="AE120" s="27">
        <f t="shared" si="39"/>
        <v>103.80048000000005</v>
      </c>
      <c r="AF120" s="26">
        <f t="shared" si="40"/>
        <v>57.350240000000007</v>
      </c>
      <c r="AG120" s="27">
        <f t="shared" si="41"/>
        <v>122.15056000000001</v>
      </c>
      <c r="AH120" s="26">
        <f t="shared" si="42"/>
        <v>78.977120000000014</v>
      </c>
      <c r="AI120" s="27">
        <f t="shared" si="43"/>
        <v>172.61328000000003</v>
      </c>
      <c r="AJ120" s="28" t="s">
        <v>45</v>
      </c>
      <c r="AK120" s="15" t="s">
        <v>46</v>
      </c>
    </row>
    <row r="121" spans="1:37" ht="14.25" customHeight="1">
      <c r="A121" s="15" t="s">
        <v>51</v>
      </c>
      <c r="B121" s="16">
        <v>30</v>
      </c>
      <c r="C121" s="32" t="s">
        <v>40</v>
      </c>
      <c r="D121" s="15" t="s">
        <v>41</v>
      </c>
      <c r="E121" s="33" t="s">
        <v>42</v>
      </c>
      <c r="F121" s="17">
        <v>3</v>
      </c>
      <c r="G121" s="19">
        <v>2</v>
      </c>
      <c r="H121" s="19">
        <f t="shared" si="35"/>
        <v>6</v>
      </c>
      <c r="I121" s="20" t="s">
        <v>42</v>
      </c>
      <c r="J121" s="22" t="s">
        <v>52</v>
      </c>
      <c r="K121" s="21"/>
      <c r="L121" s="34">
        <f>14.71*2</f>
        <v>29.42</v>
      </c>
      <c r="M121" s="32" t="s">
        <v>53</v>
      </c>
      <c r="N121" s="17">
        <v>18</v>
      </c>
      <c r="O121" s="25">
        <v>84</v>
      </c>
      <c r="U121" s="21"/>
      <c r="V121" s="21">
        <f>L121</f>
        <v>29.42</v>
      </c>
      <c r="W121" s="21">
        <v>5</v>
      </c>
      <c r="X121" s="21">
        <f>(20*1.6)+(L121-4)</f>
        <v>57.42</v>
      </c>
      <c r="Y121" s="21">
        <f>(24*1.6)+(L121-4)</f>
        <v>63.820000000000007</v>
      </c>
      <c r="Z121" s="21">
        <f>(28*1.6)+(L121-4)</f>
        <v>70.22</v>
      </c>
      <c r="AA121" s="21">
        <f>(39*1.6)+(L121-4)</f>
        <v>87.820000000000007</v>
      </c>
      <c r="AB121" s="26">
        <f t="shared" si="36"/>
        <v>11.899999999999999</v>
      </c>
      <c r="AC121" s="27">
        <f t="shared" si="37"/>
        <v>16.099999999999998</v>
      </c>
      <c r="AD121" s="26">
        <f t="shared" si="38"/>
        <v>13.820000000000002</v>
      </c>
      <c r="AE121" s="27">
        <f t="shared" si="39"/>
        <v>20.580000000000002</v>
      </c>
      <c r="AF121" s="26">
        <f t="shared" si="40"/>
        <v>15.739999999999998</v>
      </c>
      <c r="AG121" s="27">
        <f t="shared" si="41"/>
        <v>25.059999999999995</v>
      </c>
      <c r="AH121" s="26">
        <f t="shared" si="42"/>
        <v>21.02</v>
      </c>
      <c r="AI121" s="27">
        <f t="shared" si="43"/>
        <v>37.380000000000003</v>
      </c>
      <c r="AJ121" s="28" t="s">
        <v>45</v>
      </c>
      <c r="AK121" s="15" t="s">
        <v>46</v>
      </c>
    </row>
    <row r="122" spans="1:37" ht="14.25" customHeight="1">
      <c r="A122" s="15" t="s">
        <v>51</v>
      </c>
      <c r="B122" s="16">
        <v>60</v>
      </c>
      <c r="C122" s="32" t="s">
        <v>40</v>
      </c>
      <c r="D122" s="15" t="s">
        <v>41</v>
      </c>
      <c r="E122" s="33" t="s">
        <v>42</v>
      </c>
      <c r="F122" s="17">
        <v>3</v>
      </c>
      <c r="G122" s="19">
        <v>2</v>
      </c>
      <c r="H122" s="19">
        <f t="shared" si="35"/>
        <v>6</v>
      </c>
      <c r="I122" s="20" t="s">
        <v>42</v>
      </c>
      <c r="J122" s="22" t="s">
        <v>52</v>
      </c>
      <c r="K122" s="21"/>
      <c r="L122" s="34">
        <f>L121*2</f>
        <v>58.84</v>
      </c>
      <c r="M122" s="32" t="s">
        <v>53</v>
      </c>
      <c r="N122" s="17">
        <v>18</v>
      </c>
      <c r="O122" s="25">
        <v>84</v>
      </c>
      <c r="U122" s="21"/>
      <c r="V122" s="21">
        <f>L122</f>
        <v>58.84</v>
      </c>
      <c r="W122" s="21">
        <v>5</v>
      </c>
      <c r="X122" s="21">
        <f>(20*1.6)+(L122-4)</f>
        <v>86.84</v>
      </c>
      <c r="Y122" s="21">
        <f>(24*1.6)+(L122-4)</f>
        <v>93.240000000000009</v>
      </c>
      <c r="Z122" s="21">
        <f>(28*1.6)+(L122-4)</f>
        <v>99.640000000000015</v>
      </c>
      <c r="AA122" s="21">
        <f>(39*1.6)+(L122-4)</f>
        <v>117.24000000000001</v>
      </c>
      <c r="AB122" s="26">
        <f t="shared" si="36"/>
        <v>11.899999999999999</v>
      </c>
      <c r="AC122" s="27">
        <f t="shared" si="37"/>
        <v>16.099999999999998</v>
      </c>
      <c r="AD122" s="26">
        <f t="shared" si="38"/>
        <v>13.820000000000002</v>
      </c>
      <c r="AE122" s="27">
        <f t="shared" si="39"/>
        <v>20.580000000000002</v>
      </c>
      <c r="AF122" s="26">
        <f t="shared" si="40"/>
        <v>15.740000000000004</v>
      </c>
      <c r="AG122" s="27">
        <f t="shared" si="41"/>
        <v>25.060000000000006</v>
      </c>
      <c r="AH122" s="26">
        <f t="shared" si="42"/>
        <v>21.02</v>
      </c>
      <c r="AI122" s="27">
        <f t="shared" si="43"/>
        <v>37.380000000000003</v>
      </c>
      <c r="AJ122" s="28" t="s">
        <v>45</v>
      </c>
      <c r="AK122" s="15" t="s">
        <v>46</v>
      </c>
    </row>
    <row r="123" spans="1:37" ht="14.25" customHeight="1">
      <c r="A123" s="15" t="s">
        <v>58</v>
      </c>
      <c r="B123" s="16">
        <v>1</v>
      </c>
      <c r="C123" s="32" t="s">
        <v>40</v>
      </c>
      <c r="D123" s="15" t="s">
        <v>41</v>
      </c>
      <c r="E123" s="33" t="s">
        <v>42</v>
      </c>
      <c r="F123" s="17">
        <v>28</v>
      </c>
      <c r="G123" s="19">
        <v>2</v>
      </c>
      <c r="H123" s="19">
        <f t="shared" si="35"/>
        <v>56</v>
      </c>
      <c r="I123" s="20" t="s">
        <v>42</v>
      </c>
      <c r="J123" s="21" t="s">
        <v>48</v>
      </c>
      <c r="K123" s="21"/>
      <c r="L123" s="26">
        <f>1.77*2</f>
        <v>3.54</v>
      </c>
      <c r="M123" s="32" t="s">
        <v>59</v>
      </c>
      <c r="N123" s="28">
        <v>112</v>
      </c>
      <c r="O123" s="25">
        <v>84</v>
      </c>
      <c r="U123" s="21"/>
      <c r="V123" s="21">
        <v>4</v>
      </c>
      <c r="W123" s="21">
        <v>5</v>
      </c>
      <c r="X123" s="21">
        <f t="shared" ref="X123:AA124" si="45">X122*1.6</f>
        <v>138.94400000000002</v>
      </c>
      <c r="Y123" s="21">
        <f t="shared" si="45"/>
        <v>149.18400000000003</v>
      </c>
      <c r="Z123" s="21">
        <f t="shared" si="45"/>
        <v>159.42400000000004</v>
      </c>
      <c r="AA123" s="21">
        <f t="shared" si="45"/>
        <v>187.58400000000003</v>
      </c>
      <c r="AB123" s="26">
        <f t="shared" si="36"/>
        <v>43.983200000000004</v>
      </c>
      <c r="AC123" s="27">
        <f t="shared" si="37"/>
        <v>90.960800000000006</v>
      </c>
      <c r="AD123" s="26">
        <f t="shared" si="38"/>
        <v>47.055200000000006</v>
      </c>
      <c r="AE123" s="27">
        <f t="shared" si="39"/>
        <v>98.128800000000012</v>
      </c>
      <c r="AF123" s="26">
        <f t="shared" si="40"/>
        <v>50.127200000000009</v>
      </c>
      <c r="AG123" s="27">
        <f t="shared" si="41"/>
        <v>105.29680000000002</v>
      </c>
      <c r="AH123" s="26">
        <f t="shared" si="42"/>
        <v>58.575200000000009</v>
      </c>
      <c r="AI123" s="27">
        <f t="shared" si="43"/>
        <v>125.00880000000001</v>
      </c>
      <c r="AJ123" s="28" t="s">
        <v>45</v>
      </c>
      <c r="AK123" s="15" t="s">
        <v>60</v>
      </c>
    </row>
    <row r="124" spans="1:37" ht="14.25" customHeight="1">
      <c r="A124" s="15" t="s">
        <v>61</v>
      </c>
      <c r="B124" s="16">
        <v>5</v>
      </c>
      <c r="C124" s="32" t="s">
        <v>40</v>
      </c>
      <c r="D124" s="15" t="s">
        <v>41</v>
      </c>
      <c r="E124" s="33" t="s">
        <v>42</v>
      </c>
      <c r="F124" s="17">
        <v>30</v>
      </c>
      <c r="G124" s="19">
        <v>2</v>
      </c>
      <c r="H124" s="19">
        <f t="shared" si="35"/>
        <v>60</v>
      </c>
      <c r="I124" s="20" t="s">
        <v>42</v>
      </c>
      <c r="J124" s="21" t="s">
        <v>62</v>
      </c>
      <c r="K124" s="21"/>
      <c r="L124" s="26">
        <f>L123*2</f>
        <v>7.08</v>
      </c>
      <c r="M124" s="32" t="s">
        <v>63</v>
      </c>
      <c r="N124" s="28">
        <v>60</v>
      </c>
      <c r="O124" s="25">
        <v>84</v>
      </c>
      <c r="U124" s="21"/>
      <c r="V124" s="21">
        <v>4</v>
      </c>
      <c r="W124" s="21">
        <v>5</v>
      </c>
      <c r="X124" s="21">
        <f t="shared" si="45"/>
        <v>222.31040000000004</v>
      </c>
      <c r="Y124" s="21">
        <f t="shared" si="45"/>
        <v>238.69440000000006</v>
      </c>
      <c r="Z124" s="21">
        <f t="shared" si="45"/>
        <v>255.07840000000007</v>
      </c>
      <c r="AA124" s="21">
        <f t="shared" si="45"/>
        <v>300.13440000000008</v>
      </c>
      <c r="AB124" s="26">
        <f t="shared" si="36"/>
        <v>68.993120000000005</v>
      </c>
      <c r="AC124" s="27">
        <f t="shared" si="37"/>
        <v>149.31728000000001</v>
      </c>
      <c r="AD124" s="26">
        <f t="shared" si="38"/>
        <v>73.908320000000018</v>
      </c>
      <c r="AE124" s="27">
        <f t="shared" si="39"/>
        <v>160.78608000000003</v>
      </c>
      <c r="AF124" s="26">
        <f t="shared" si="40"/>
        <v>78.823520000000016</v>
      </c>
      <c r="AG124" s="27">
        <f t="shared" si="41"/>
        <v>172.25488000000004</v>
      </c>
      <c r="AH124" s="26">
        <f t="shared" si="42"/>
        <v>92.34032000000002</v>
      </c>
      <c r="AI124" s="27">
        <f t="shared" si="43"/>
        <v>203.79408000000004</v>
      </c>
      <c r="AJ124" s="28" t="s">
        <v>45</v>
      </c>
    </row>
    <row r="125" spans="1:37" ht="14.25" customHeight="1">
      <c r="A125" s="15" t="s">
        <v>64</v>
      </c>
      <c r="B125" s="16">
        <v>10</v>
      </c>
      <c r="C125" s="32" t="s">
        <v>40</v>
      </c>
      <c r="D125" s="15" t="s">
        <v>41</v>
      </c>
      <c r="E125" s="33" t="s">
        <v>42</v>
      </c>
      <c r="F125" s="17">
        <v>30</v>
      </c>
      <c r="G125" s="19">
        <v>2</v>
      </c>
      <c r="H125" s="19">
        <f t="shared" si="35"/>
        <v>60</v>
      </c>
      <c r="I125" s="20" t="s">
        <v>42</v>
      </c>
      <c r="J125" s="21" t="s">
        <v>62</v>
      </c>
      <c r="K125" s="21"/>
      <c r="L125" s="34">
        <f>L124*2</f>
        <v>14.16</v>
      </c>
      <c r="M125" s="32" t="s">
        <v>63</v>
      </c>
      <c r="N125" s="17">
        <v>60</v>
      </c>
      <c r="O125" s="25">
        <v>84</v>
      </c>
      <c r="U125" s="21"/>
      <c r="V125" s="21">
        <f>L125</f>
        <v>14.16</v>
      </c>
      <c r="W125" s="21">
        <v>5</v>
      </c>
      <c r="X125" s="21">
        <f>(20*1.6)+(V125-4)</f>
        <v>42.16</v>
      </c>
      <c r="Y125" s="21">
        <f>(24*1.6)+(V125-4)</f>
        <v>48.56</v>
      </c>
      <c r="Z125" s="21">
        <f>(28*1.6)+(V125-4)</f>
        <v>54.960000000000008</v>
      </c>
      <c r="AA125" s="21">
        <f>(39*1.6)+(V125-4)</f>
        <v>72.56</v>
      </c>
      <c r="AB125" s="26">
        <f t="shared" si="36"/>
        <v>11.899999999999999</v>
      </c>
      <c r="AC125" s="27">
        <f t="shared" si="37"/>
        <v>16.099999999999998</v>
      </c>
      <c r="AD125" s="26">
        <f t="shared" si="38"/>
        <v>13.820000000000002</v>
      </c>
      <c r="AE125" s="27">
        <f t="shared" si="39"/>
        <v>20.580000000000002</v>
      </c>
      <c r="AF125" s="26">
        <f t="shared" si="40"/>
        <v>15.740000000000004</v>
      </c>
      <c r="AG125" s="27">
        <f t="shared" si="41"/>
        <v>25.060000000000006</v>
      </c>
      <c r="AH125" s="26">
        <f t="shared" si="42"/>
        <v>21.02</v>
      </c>
      <c r="AI125" s="27">
        <f t="shared" si="43"/>
        <v>37.380000000000003</v>
      </c>
      <c r="AJ125" s="28" t="s">
        <v>45</v>
      </c>
    </row>
    <row r="126" spans="1:37" ht="14.25" customHeight="1">
      <c r="A126" s="15" t="s">
        <v>65</v>
      </c>
      <c r="B126" s="35">
        <v>11.5</v>
      </c>
      <c r="C126" s="17" t="s">
        <v>54</v>
      </c>
      <c r="D126" s="15" t="s">
        <v>41</v>
      </c>
      <c r="E126" s="33" t="s">
        <v>55</v>
      </c>
      <c r="F126" s="15">
        <v>60</v>
      </c>
      <c r="G126" s="19">
        <v>2</v>
      </c>
      <c r="H126" s="19">
        <f t="shared" si="35"/>
        <v>120</v>
      </c>
      <c r="I126" s="20" t="s">
        <v>56</v>
      </c>
      <c r="J126" s="32" t="s">
        <v>66</v>
      </c>
      <c r="K126" s="32"/>
      <c r="L126" s="37">
        <f>L125*2</f>
        <v>28.32</v>
      </c>
      <c r="M126" s="32" t="s">
        <v>67</v>
      </c>
      <c r="N126" s="28">
        <v>180</v>
      </c>
      <c r="O126" s="28">
        <v>84</v>
      </c>
      <c r="U126" s="21"/>
      <c r="V126" s="21">
        <f>L126</f>
        <v>28.32</v>
      </c>
      <c r="W126" s="22">
        <v>5</v>
      </c>
      <c r="X126" s="21">
        <f>20*1.6+($V$103-4)</f>
        <v>32</v>
      </c>
      <c r="Y126" s="21">
        <f>24*1.6+($V$103-4)</f>
        <v>38.400000000000006</v>
      </c>
      <c r="Z126" s="21">
        <f>28*1.6+($V$103-4)</f>
        <v>44.800000000000004</v>
      </c>
      <c r="AA126" s="21">
        <f>39*1.6+($V$103-4)</f>
        <v>62.400000000000006</v>
      </c>
      <c r="AB126" s="26">
        <f t="shared" si="36"/>
        <v>4.6040000000000001</v>
      </c>
      <c r="AC126" s="27">
        <f t="shared" si="37"/>
        <v>-0.92400000000000015</v>
      </c>
      <c r="AD126" s="26">
        <f t="shared" si="38"/>
        <v>6.5240000000000018</v>
      </c>
      <c r="AE126" s="27">
        <f t="shared" si="39"/>
        <v>3.5560000000000036</v>
      </c>
      <c r="AF126" s="26">
        <f t="shared" si="40"/>
        <v>8.4440000000000008</v>
      </c>
      <c r="AG126" s="27">
        <f t="shared" si="41"/>
        <v>8.0360000000000031</v>
      </c>
      <c r="AH126" s="26">
        <f t="shared" si="42"/>
        <v>13.724000000000002</v>
      </c>
      <c r="AI126" s="27">
        <f t="shared" si="43"/>
        <v>20.356000000000002</v>
      </c>
      <c r="AJ126" s="28" t="s">
        <v>45</v>
      </c>
    </row>
    <row r="127" spans="1:37" ht="14.25" customHeight="1">
      <c r="A127" s="15" t="s">
        <v>68</v>
      </c>
      <c r="B127" s="35" t="s">
        <v>69</v>
      </c>
      <c r="C127" s="17" t="s">
        <v>70</v>
      </c>
      <c r="D127" s="15" t="s">
        <v>41</v>
      </c>
      <c r="E127" s="33" t="s">
        <v>42</v>
      </c>
      <c r="F127" s="32">
        <v>63</v>
      </c>
      <c r="G127" s="19">
        <v>2</v>
      </c>
      <c r="H127" s="19">
        <f t="shared" si="35"/>
        <v>126</v>
      </c>
      <c r="I127" s="38" t="s">
        <v>42</v>
      </c>
      <c r="J127" s="15" t="s">
        <v>71</v>
      </c>
      <c r="K127" s="32"/>
      <c r="L127" s="39">
        <f>2.83*2</f>
        <v>5.66</v>
      </c>
      <c r="M127" s="32" t="s">
        <v>72</v>
      </c>
      <c r="N127" s="17">
        <v>252</v>
      </c>
      <c r="O127" s="28">
        <v>308</v>
      </c>
      <c r="U127" s="21"/>
      <c r="V127" s="21">
        <v>4</v>
      </c>
      <c r="W127" s="21">
        <v>5</v>
      </c>
      <c r="X127" s="21">
        <f t="shared" ref="X127:AA130" si="46">X126*1.6</f>
        <v>51.2</v>
      </c>
      <c r="Y127" s="21">
        <f t="shared" si="46"/>
        <v>61.440000000000012</v>
      </c>
      <c r="Z127" s="21">
        <f t="shared" si="46"/>
        <v>71.680000000000007</v>
      </c>
      <c r="AA127" s="21">
        <f t="shared" si="46"/>
        <v>99.840000000000018</v>
      </c>
      <c r="AB127" s="26">
        <f t="shared" si="36"/>
        <v>17.66</v>
      </c>
      <c r="AC127" s="27">
        <f t="shared" si="37"/>
        <v>29.54</v>
      </c>
      <c r="AD127" s="26">
        <f t="shared" si="38"/>
        <v>20.732000000000003</v>
      </c>
      <c r="AE127" s="27">
        <f t="shared" si="39"/>
        <v>36.708000000000006</v>
      </c>
      <c r="AF127" s="26">
        <f t="shared" si="40"/>
        <v>23.804000000000002</v>
      </c>
      <c r="AG127" s="27">
        <f t="shared" si="41"/>
        <v>43.876000000000005</v>
      </c>
      <c r="AH127" s="26">
        <f t="shared" si="42"/>
        <v>32.25200000000001</v>
      </c>
      <c r="AI127" s="27">
        <f t="shared" si="43"/>
        <v>63.588000000000008</v>
      </c>
      <c r="AJ127" s="28" t="s">
        <v>45</v>
      </c>
    </row>
    <row r="128" spans="1:37" ht="14.25" customHeight="1">
      <c r="A128" s="15" t="s">
        <v>73</v>
      </c>
      <c r="B128" s="35">
        <v>75</v>
      </c>
      <c r="C128" s="17" t="s">
        <v>70</v>
      </c>
      <c r="D128" s="15" t="s">
        <v>41</v>
      </c>
      <c r="E128" s="33" t="s">
        <v>42</v>
      </c>
      <c r="F128" s="17">
        <v>84</v>
      </c>
      <c r="G128" s="19">
        <v>2</v>
      </c>
      <c r="H128" s="19">
        <f t="shared" si="35"/>
        <v>168</v>
      </c>
      <c r="I128" s="38" t="s">
        <v>42</v>
      </c>
      <c r="J128" s="32"/>
      <c r="K128" s="32"/>
      <c r="L128" s="39">
        <f>2.57*2</f>
        <v>5.14</v>
      </c>
      <c r="M128" s="32" t="s">
        <v>72</v>
      </c>
      <c r="N128" s="17">
        <v>336</v>
      </c>
      <c r="O128" s="28">
        <v>308</v>
      </c>
      <c r="U128" s="21"/>
      <c r="V128" s="21">
        <v>4</v>
      </c>
      <c r="W128" s="21">
        <v>5</v>
      </c>
      <c r="X128" s="21">
        <f t="shared" si="46"/>
        <v>81.920000000000016</v>
      </c>
      <c r="Y128" s="21">
        <f t="shared" si="46"/>
        <v>98.30400000000003</v>
      </c>
      <c r="Z128" s="21">
        <f t="shared" si="46"/>
        <v>114.68800000000002</v>
      </c>
      <c r="AA128" s="21">
        <f t="shared" si="46"/>
        <v>159.74400000000003</v>
      </c>
      <c r="AB128" s="26">
        <f t="shared" si="36"/>
        <v>26.876000000000005</v>
      </c>
      <c r="AC128" s="27">
        <f t="shared" si="37"/>
        <v>51.044000000000011</v>
      </c>
      <c r="AD128" s="26">
        <f t="shared" si="38"/>
        <v>31.791200000000007</v>
      </c>
      <c r="AE128" s="27">
        <f t="shared" si="39"/>
        <v>62.51280000000002</v>
      </c>
      <c r="AF128" s="26">
        <f t="shared" si="40"/>
        <v>36.706400000000002</v>
      </c>
      <c r="AG128" s="27">
        <f t="shared" si="41"/>
        <v>73.9816</v>
      </c>
      <c r="AH128" s="26">
        <f t="shared" si="42"/>
        <v>50.223200000000006</v>
      </c>
      <c r="AI128" s="27">
        <f t="shared" si="43"/>
        <v>105.52080000000001</v>
      </c>
      <c r="AJ128" s="28" t="s">
        <v>45</v>
      </c>
    </row>
    <row r="129" spans="1:37" ht="14.25" customHeight="1">
      <c r="A129" s="15" t="s">
        <v>74</v>
      </c>
      <c r="B129" s="35" t="s">
        <v>69</v>
      </c>
      <c r="C129" s="17" t="s">
        <v>70</v>
      </c>
      <c r="D129" s="15" t="s">
        <v>41</v>
      </c>
      <c r="E129" s="33" t="s">
        <v>42</v>
      </c>
      <c r="F129" s="17">
        <v>63</v>
      </c>
      <c r="G129" s="19">
        <v>2</v>
      </c>
      <c r="H129" s="19">
        <f t="shared" si="35"/>
        <v>126</v>
      </c>
      <c r="I129" s="38" t="s">
        <v>42</v>
      </c>
      <c r="J129" s="15" t="s">
        <v>71</v>
      </c>
      <c r="K129" s="32"/>
      <c r="L129" s="39">
        <f>1.88*2</f>
        <v>3.76</v>
      </c>
      <c r="M129" s="32" t="s">
        <v>72</v>
      </c>
      <c r="N129" s="17">
        <v>252</v>
      </c>
      <c r="O129" s="28">
        <v>308</v>
      </c>
      <c r="U129" s="21"/>
      <c r="V129" s="21">
        <v>4</v>
      </c>
      <c r="W129" s="21">
        <v>5</v>
      </c>
      <c r="X129" s="21">
        <f t="shared" si="46"/>
        <v>131.07200000000003</v>
      </c>
      <c r="Y129" s="21">
        <f t="shared" si="46"/>
        <v>157.28640000000007</v>
      </c>
      <c r="Z129" s="21">
        <f t="shared" si="46"/>
        <v>183.50080000000003</v>
      </c>
      <c r="AA129" s="21">
        <f t="shared" si="46"/>
        <v>255.59040000000005</v>
      </c>
      <c r="AB129" s="26">
        <f t="shared" si="36"/>
        <v>41.621600000000008</v>
      </c>
      <c r="AC129" s="27">
        <f t="shared" si="37"/>
        <v>85.450400000000016</v>
      </c>
      <c r="AD129" s="26">
        <f t="shared" si="38"/>
        <v>49.485920000000021</v>
      </c>
      <c r="AE129" s="27">
        <f t="shared" si="39"/>
        <v>103.80048000000005</v>
      </c>
      <c r="AF129" s="26">
        <f t="shared" si="40"/>
        <v>57.350240000000007</v>
      </c>
      <c r="AG129" s="27">
        <f t="shared" si="41"/>
        <v>122.15056000000001</v>
      </c>
      <c r="AH129" s="26">
        <f t="shared" si="42"/>
        <v>78.977120000000014</v>
      </c>
      <c r="AI129" s="27">
        <f t="shared" si="43"/>
        <v>172.61328000000003</v>
      </c>
      <c r="AJ129" s="28" t="s">
        <v>45</v>
      </c>
    </row>
    <row r="130" spans="1:37" ht="14.25" customHeight="1">
      <c r="A130" s="15" t="s">
        <v>75</v>
      </c>
      <c r="B130" s="35" t="s">
        <v>69</v>
      </c>
      <c r="C130" s="17" t="s">
        <v>70</v>
      </c>
      <c r="D130" s="15" t="s">
        <v>41</v>
      </c>
      <c r="E130" s="33" t="s">
        <v>42</v>
      </c>
      <c r="F130" s="32">
        <v>63</v>
      </c>
      <c r="G130" s="19">
        <v>2</v>
      </c>
      <c r="H130" s="19">
        <f t="shared" ref="H130:H161" si="47">F130*G130</f>
        <v>126</v>
      </c>
      <c r="I130" s="38" t="s">
        <v>42</v>
      </c>
      <c r="J130" s="15" t="s">
        <v>71</v>
      </c>
      <c r="K130" s="32"/>
      <c r="L130" s="39">
        <f>2.8*2</f>
        <v>5.6</v>
      </c>
      <c r="M130" s="32" t="s">
        <v>72</v>
      </c>
      <c r="N130" s="17">
        <v>252</v>
      </c>
      <c r="O130" s="28">
        <v>308</v>
      </c>
      <c r="U130" s="21"/>
      <c r="V130" s="21">
        <v>4</v>
      </c>
      <c r="W130" s="21">
        <v>5</v>
      </c>
      <c r="X130" s="21">
        <f t="shared" si="46"/>
        <v>209.71520000000007</v>
      </c>
      <c r="Y130" s="21">
        <f t="shared" si="46"/>
        <v>251.65824000000012</v>
      </c>
      <c r="Z130" s="21">
        <f t="shared" si="46"/>
        <v>293.60128000000003</v>
      </c>
      <c r="AA130" s="21">
        <f t="shared" si="46"/>
        <v>408.94464000000011</v>
      </c>
      <c r="AB130" s="26">
        <f t="shared" si="36"/>
        <v>65.21456000000002</v>
      </c>
      <c r="AC130" s="27">
        <f t="shared" si="37"/>
        <v>140.50064000000003</v>
      </c>
      <c r="AD130" s="26">
        <f t="shared" si="38"/>
        <v>77.797472000000027</v>
      </c>
      <c r="AE130" s="27">
        <f t="shared" si="39"/>
        <v>169.86076800000006</v>
      </c>
      <c r="AF130" s="26">
        <f t="shared" si="40"/>
        <v>90.380384000000006</v>
      </c>
      <c r="AG130" s="27">
        <f t="shared" si="41"/>
        <v>199.22089600000001</v>
      </c>
      <c r="AH130" s="26">
        <f t="shared" si="42"/>
        <v>124.98339200000002</v>
      </c>
      <c r="AI130" s="27">
        <f t="shared" si="43"/>
        <v>279.96124800000007</v>
      </c>
      <c r="AJ130" s="28" t="s">
        <v>45</v>
      </c>
    </row>
    <row r="131" spans="1:37" ht="14.25" customHeight="1">
      <c r="A131" s="15" t="s">
        <v>76</v>
      </c>
      <c r="B131" s="35" t="s">
        <v>69</v>
      </c>
      <c r="C131" s="17" t="s">
        <v>70</v>
      </c>
      <c r="D131" s="15" t="s">
        <v>41</v>
      </c>
      <c r="E131" s="33" t="s">
        <v>42</v>
      </c>
      <c r="F131" s="32">
        <v>63</v>
      </c>
      <c r="G131" s="19">
        <v>2</v>
      </c>
      <c r="H131" s="19">
        <f t="shared" si="47"/>
        <v>126</v>
      </c>
      <c r="I131" s="38" t="s">
        <v>42</v>
      </c>
      <c r="J131" s="15" t="s">
        <v>71</v>
      </c>
      <c r="K131" s="32"/>
      <c r="L131" s="37">
        <f>5.85*2</f>
        <v>11.7</v>
      </c>
      <c r="M131" s="32" t="s">
        <v>72</v>
      </c>
      <c r="N131" s="17">
        <v>252</v>
      </c>
      <c r="O131" s="28">
        <v>308</v>
      </c>
      <c r="U131" s="21"/>
      <c r="V131" s="21">
        <f>L131</f>
        <v>11.7</v>
      </c>
      <c r="W131" s="21">
        <v>5</v>
      </c>
      <c r="X131" s="21">
        <f>(20*(1+0.6))+(V131-4)</f>
        <v>39.700000000000003</v>
      </c>
      <c r="Y131" s="21">
        <f>(24*(1+0.6))+(V131-4)</f>
        <v>46.100000000000009</v>
      </c>
      <c r="Z131" s="21">
        <f>(28*(1+0.6))+(V131-4)</f>
        <v>52.5</v>
      </c>
      <c r="AA131" s="21">
        <f>(39*(1+0.6))+(V131-4)</f>
        <v>70.100000000000009</v>
      </c>
      <c r="AB131" s="26">
        <f t="shared" si="36"/>
        <v>11.900000000000002</v>
      </c>
      <c r="AC131" s="27">
        <f t="shared" si="37"/>
        <v>16.100000000000001</v>
      </c>
      <c r="AD131" s="26">
        <f t="shared" si="38"/>
        <v>13.820000000000002</v>
      </c>
      <c r="AE131" s="27">
        <f t="shared" si="39"/>
        <v>20.580000000000002</v>
      </c>
      <c r="AF131" s="26">
        <f t="shared" si="40"/>
        <v>15.739999999999998</v>
      </c>
      <c r="AG131" s="27">
        <f t="shared" si="41"/>
        <v>25.059999999999995</v>
      </c>
      <c r="AH131" s="26">
        <f t="shared" si="42"/>
        <v>21.02</v>
      </c>
      <c r="AI131" s="27">
        <f t="shared" si="43"/>
        <v>37.380000000000003</v>
      </c>
      <c r="AJ131" s="28" t="s">
        <v>45</v>
      </c>
    </row>
    <row r="132" spans="1:37" ht="14.25" customHeight="1">
      <c r="A132" s="15" t="s">
        <v>77</v>
      </c>
      <c r="B132" s="41">
        <v>45381</v>
      </c>
      <c r="C132" s="17" t="s">
        <v>78</v>
      </c>
      <c r="D132" s="15" t="s">
        <v>41</v>
      </c>
      <c r="E132" s="33" t="s">
        <v>42</v>
      </c>
      <c r="F132" s="32">
        <v>63</v>
      </c>
      <c r="G132" s="19">
        <v>2</v>
      </c>
      <c r="H132" s="19">
        <f t="shared" si="47"/>
        <v>126</v>
      </c>
      <c r="I132" s="38" t="s">
        <v>42</v>
      </c>
      <c r="J132" s="15" t="s">
        <v>71</v>
      </c>
      <c r="K132" s="32"/>
      <c r="L132" s="37">
        <f>14.7*2</f>
        <v>29.4</v>
      </c>
      <c r="M132" s="32" t="s">
        <v>72</v>
      </c>
      <c r="N132" s="17">
        <v>252</v>
      </c>
      <c r="O132" s="28">
        <v>308</v>
      </c>
      <c r="U132" s="21"/>
      <c r="V132" s="21">
        <f>L132</f>
        <v>29.4</v>
      </c>
      <c r="W132" s="21">
        <v>5</v>
      </c>
      <c r="X132" s="21">
        <f>(20*(1+0.6))+(V132-4)</f>
        <v>57.4</v>
      </c>
      <c r="Y132" s="21">
        <f>(24*(1+0.6))+(V132-4)</f>
        <v>63.800000000000004</v>
      </c>
      <c r="Z132" s="21">
        <f>(28*(1+0.6))+(V132-4)</f>
        <v>70.2</v>
      </c>
      <c r="AA132" s="21">
        <f>(39*(1+0.6))+(V132-4)</f>
        <v>87.800000000000011</v>
      </c>
      <c r="AB132" s="26">
        <f t="shared" si="36"/>
        <v>11.899999999999999</v>
      </c>
      <c r="AC132" s="27">
        <f t="shared" si="37"/>
        <v>16.099999999999998</v>
      </c>
      <c r="AD132" s="26">
        <f t="shared" si="38"/>
        <v>13.820000000000002</v>
      </c>
      <c r="AE132" s="27">
        <f t="shared" si="39"/>
        <v>20.580000000000002</v>
      </c>
      <c r="AF132" s="26">
        <f t="shared" si="40"/>
        <v>15.74</v>
      </c>
      <c r="AG132" s="27">
        <f t="shared" si="41"/>
        <v>25.060000000000002</v>
      </c>
      <c r="AH132" s="26">
        <f t="shared" si="42"/>
        <v>21.020000000000003</v>
      </c>
      <c r="AI132" s="27">
        <f t="shared" si="43"/>
        <v>37.38000000000001</v>
      </c>
      <c r="AJ132" s="28" t="s">
        <v>45</v>
      </c>
    </row>
    <row r="133" spans="1:37" ht="14.25" customHeight="1">
      <c r="A133" s="15" t="s">
        <v>79</v>
      </c>
      <c r="B133" s="35" t="s">
        <v>80</v>
      </c>
      <c r="C133" s="17" t="s">
        <v>70</v>
      </c>
      <c r="D133" s="15" t="s">
        <v>41</v>
      </c>
      <c r="E133" s="33" t="s">
        <v>81</v>
      </c>
      <c r="F133" s="17">
        <v>9</v>
      </c>
      <c r="G133" s="19">
        <v>2</v>
      </c>
      <c r="H133" s="19">
        <f t="shared" si="47"/>
        <v>18</v>
      </c>
      <c r="I133" s="38" t="s">
        <v>82</v>
      </c>
      <c r="J133" s="32"/>
      <c r="K133" s="32"/>
      <c r="L133" s="37">
        <f>19.51*2</f>
        <v>39.020000000000003</v>
      </c>
      <c r="M133" s="32" t="s">
        <v>72</v>
      </c>
      <c r="N133" s="17">
        <v>36</v>
      </c>
      <c r="O133" s="28">
        <v>308</v>
      </c>
      <c r="U133" s="21"/>
      <c r="V133" s="21">
        <f>L133</f>
        <v>39.020000000000003</v>
      </c>
      <c r="W133" s="21">
        <v>5</v>
      </c>
      <c r="X133" s="21">
        <f>(20*(1+0.6))+(V133-4)</f>
        <v>67.02000000000001</v>
      </c>
      <c r="Y133" s="21">
        <f>(24*(1+0.6))+(V133-4)</f>
        <v>73.420000000000016</v>
      </c>
      <c r="Z133" s="21">
        <f>(28*(1+0.6))+(V133-4)</f>
        <v>79.820000000000007</v>
      </c>
      <c r="AA133" s="21">
        <f>(39*(1+0.6))+(V133-4)</f>
        <v>97.420000000000016</v>
      </c>
      <c r="AB133" s="26">
        <f t="shared" si="36"/>
        <v>11.900000000000002</v>
      </c>
      <c r="AC133" s="27">
        <f t="shared" si="37"/>
        <v>16.100000000000005</v>
      </c>
      <c r="AD133" s="26">
        <f t="shared" si="38"/>
        <v>13.820000000000004</v>
      </c>
      <c r="AE133" s="27">
        <f t="shared" si="39"/>
        <v>20.580000000000009</v>
      </c>
      <c r="AF133" s="26">
        <f t="shared" si="40"/>
        <v>15.74</v>
      </c>
      <c r="AG133" s="27">
        <f t="shared" si="41"/>
        <v>25.060000000000002</v>
      </c>
      <c r="AH133" s="26">
        <f t="shared" si="42"/>
        <v>21.020000000000003</v>
      </c>
      <c r="AI133" s="27">
        <f t="shared" si="43"/>
        <v>37.38000000000001</v>
      </c>
      <c r="AJ133" s="28" t="s">
        <v>45</v>
      </c>
    </row>
    <row r="134" spans="1:37" ht="14.25" customHeight="1">
      <c r="A134" s="15" t="s">
        <v>83</v>
      </c>
      <c r="B134" s="35">
        <v>75</v>
      </c>
      <c r="C134" s="17" t="s">
        <v>70</v>
      </c>
      <c r="D134" s="15" t="s">
        <v>41</v>
      </c>
      <c r="E134" s="33" t="s">
        <v>42</v>
      </c>
      <c r="F134" s="17">
        <f>84*1</f>
        <v>84</v>
      </c>
      <c r="G134" s="19">
        <v>2</v>
      </c>
      <c r="H134" s="19">
        <f t="shared" si="47"/>
        <v>168</v>
      </c>
      <c r="I134" s="38" t="s">
        <v>42</v>
      </c>
      <c r="J134" s="32"/>
      <c r="K134" s="32"/>
      <c r="L134" s="37">
        <f>9.55*2</f>
        <v>19.100000000000001</v>
      </c>
      <c r="M134" s="32" t="s">
        <v>72</v>
      </c>
      <c r="N134" s="17">
        <v>336</v>
      </c>
      <c r="O134" s="28">
        <v>308</v>
      </c>
      <c r="U134" s="21"/>
      <c r="V134" s="21">
        <f>L134</f>
        <v>19.100000000000001</v>
      </c>
      <c r="W134" s="21">
        <v>5</v>
      </c>
      <c r="X134" s="21">
        <f>(20*(1+0.6))+(V134-4)</f>
        <v>47.1</v>
      </c>
      <c r="Y134" s="21">
        <f>(24*(1+0.6))+(V134-4)</f>
        <v>53.500000000000007</v>
      </c>
      <c r="Z134" s="21">
        <f>(28*(1+0.6))+(V134-4)</f>
        <v>59.900000000000006</v>
      </c>
      <c r="AA134" s="21">
        <f>(39*(1+0.6))+(V134-4)</f>
        <v>77.5</v>
      </c>
      <c r="AB134" s="26">
        <f t="shared" si="36"/>
        <v>11.899999999999999</v>
      </c>
      <c r="AC134" s="27">
        <f t="shared" si="37"/>
        <v>16.099999999999998</v>
      </c>
      <c r="AD134" s="26">
        <f t="shared" si="38"/>
        <v>13.820000000000002</v>
      </c>
      <c r="AE134" s="27">
        <f t="shared" si="39"/>
        <v>20.580000000000002</v>
      </c>
      <c r="AF134" s="26">
        <f t="shared" si="40"/>
        <v>15.74</v>
      </c>
      <c r="AG134" s="27">
        <f t="shared" si="41"/>
        <v>25.060000000000002</v>
      </c>
      <c r="AH134" s="26">
        <f t="shared" si="42"/>
        <v>21.02</v>
      </c>
      <c r="AI134" s="27">
        <f t="shared" si="43"/>
        <v>37.379999999999995</v>
      </c>
      <c r="AJ134" s="28" t="s">
        <v>45</v>
      </c>
    </row>
    <row r="135" spans="1:37" ht="14.25" customHeight="1">
      <c r="A135" s="38" t="s">
        <v>84</v>
      </c>
      <c r="B135" s="35">
        <v>250</v>
      </c>
      <c r="C135" s="28" t="s">
        <v>40</v>
      </c>
      <c r="D135" s="15" t="s">
        <v>41</v>
      </c>
      <c r="E135" s="38" t="s">
        <v>42</v>
      </c>
      <c r="F135" s="17">
        <v>28</v>
      </c>
      <c r="G135" s="19">
        <v>2</v>
      </c>
      <c r="H135" s="19">
        <f t="shared" si="47"/>
        <v>56</v>
      </c>
      <c r="I135" s="38" t="s">
        <v>42</v>
      </c>
      <c r="J135" s="32"/>
      <c r="K135" s="32"/>
      <c r="L135" s="40">
        <f>L134*2</f>
        <v>38.200000000000003</v>
      </c>
      <c r="M135" s="32" t="s">
        <v>85</v>
      </c>
      <c r="N135" s="17">
        <v>112</v>
      </c>
      <c r="O135" s="25">
        <v>112</v>
      </c>
      <c r="U135" s="22"/>
      <c r="V135" s="22">
        <v>8</v>
      </c>
      <c r="W135" s="21">
        <v>5</v>
      </c>
      <c r="X135" s="21">
        <f>(X134*1.6)+4</f>
        <v>79.36</v>
      </c>
      <c r="Y135" s="21">
        <f>Y134*1.6+4</f>
        <v>89.600000000000023</v>
      </c>
      <c r="Z135" s="21">
        <f>Z134*1.6+4</f>
        <v>99.840000000000018</v>
      </c>
      <c r="AA135" s="21">
        <f>AA134*1.6+4</f>
        <v>128</v>
      </c>
      <c r="AB135" s="26">
        <f t="shared" si="36"/>
        <v>24.907999999999998</v>
      </c>
      <c r="AC135" s="27">
        <f t="shared" si="37"/>
        <v>46.451999999999998</v>
      </c>
      <c r="AD135" s="26">
        <f t="shared" si="38"/>
        <v>27.980000000000008</v>
      </c>
      <c r="AE135" s="27">
        <f t="shared" si="39"/>
        <v>53.620000000000012</v>
      </c>
      <c r="AF135" s="26">
        <f t="shared" si="40"/>
        <v>31.052000000000003</v>
      </c>
      <c r="AG135" s="27">
        <f t="shared" si="41"/>
        <v>60.788000000000011</v>
      </c>
      <c r="AH135" s="26">
        <f t="shared" si="42"/>
        <v>39.5</v>
      </c>
      <c r="AI135" s="27">
        <f t="shared" si="43"/>
        <v>80.5</v>
      </c>
      <c r="AJ135" s="28" t="s">
        <v>45</v>
      </c>
    </row>
    <row r="136" spans="1:37" ht="14.25" customHeight="1">
      <c r="A136" s="15" t="s">
        <v>84</v>
      </c>
      <c r="B136" s="16">
        <v>500</v>
      </c>
      <c r="C136" s="32" t="s">
        <v>40</v>
      </c>
      <c r="D136" s="15" t="s">
        <v>41</v>
      </c>
      <c r="E136" s="33" t="s">
        <v>42</v>
      </c>
      <c r="F136" s="17">
        <v>28</v>
      </c>
      <c r="G136" s="19">
        <v>2</v>
      </c>
      <c r="H136" s="19">
        <f t="shared" si="47"/>
        <v>56</v>
      </c>
      <c r="I136" s="38" t="s">
        <v>42</v>
      </c>
      <c r="J136" s="32"/>
      <c r="K136" s="32"/>
      <c r="L136" s="37">
        <f>6.57*2</f>
        <v>13.14</v>
      </c>
      <c r="M136" s="32" t="s">
        <v>85</v>
      </c>
      <c r="N136" s="17">
        <v>112</v>
      </c>
      <c r="O136" s="25">
        <v>112</v>
      </c>
      <c r="U136" s="21"/>
      <c r="V136" s="21">
        <f>L136</f>
        <v>13.14</v>
      </c>
      <c r="W136" s="21">
        <v>5</v>
      </c>
      <c r="X136" s="21">
        <f>(20*(1+0.6))+(V136-4)</f>
        <v>41.14</v>
      </c>
      <c r="Y136" s="21">
        <f>(24*(1+0.6))+(V136-4)</f>
        <v>47.540000000000006</v>
      </c>
      <c r="Z136" s="21">
        <f>(28*(1+0.6))+(V136-4)</f>
        <v>53.940000000000005</v>
      </c>
      <c r="AA136" s="21">
        <f>(39*(1+0.6))+(V136-4)</f>
        <v>71.540000000000006</v>
      </c>
      <c r="AB136" s="26">
        <f t="shared" si="36"/>
        <v>11.899999999999999</v>
      </c>
      <c r="AC136" s="27">
        <f t="shared" si="37"/>
        <v>16.099999999999998</v>
      </c>
      <c r="AD136" s="26">
        <f t="shared" si="38"/>
        <v>13.820000000000002</v>
      </c>
      <c r="AE136" s="27">
        <f t="shared" si="39"/>
        <v>20.580000000000002</v>
      </c>
      <c r="AF136" s="26">
        <f t="shared" si="40"/>
        <v>15.74</v>
      </c>
      <c r="AG136" s="27">
        <f t="shared" si="41"/>
        <v>25.060000000000002</v>
      </c>
      <c r="AH136" s="26">
        <f t="shared" si="42"/>
        <v>21.02</v>
      </c>
      <c r="AI136" s="27">
        <f t="shared" si="43"/>
        <v>37.380000000000003</v>
      </c>
      <c r="AJ136" s="28" t="s">
        <v>45</v>
      </c>
    </row>
    <row r="137" spans="1:37" ht="14.25" customHeight="1">
      <c r="A137" s="15" t="s">
        <v>86</v>
      </c>
      <c r="B137" s="16">
        <v>250</v>
      </c>
      <c r="C137" s="32" t="s">
        <v>40</v>
      </c>
      <c r="D137" s="15" t="s">
        <v>41</v>
      </c>
      <c r="E137" s="33" t="s">
        <v>42</v>
      </c>
      <c r="F137" s="17">
        <v>28</v>
      </c>
      <c r="G137" s="19">
        <v>2</v>
      </c>
      <c r="H137" s="19">
        <f t="shared" si="47"/>
        <v>56</v>
      </c>
      <c r="I137" s="38" t="s">
        <v>42</v>
      </c>
      <c r="J137" s="32"/>
      <c r="K137" s="32"/>
      <c r="L137" s="39">
        <f>0.39*2</f>
        <v>0.78</v>
      </c>
      <c r="M137" s="32" t="s">
        <v>85</v>
      </c>
      <c r="N137" s="11">
        <f>6*28</f>
        <v>168</v>
      </c>
      <c r="O137" s="42">
        <v>56</v>
      </c>
      <c r="P137" s="1" t="s">
        <v>87</v>
      </c>
      <c r="Q137" s="28">
        <v>56</v>
      </c>
      <c r="R137" s="17">
        <f>6*28</f>
        <v>168</v>
      </c>
      <c r="U137" s="21"/>
      <c r="V137" s="21">
        <v>4</v>
      </c>
      <c r="W137" s="21">
        <v>5</v>
      </c>
      <c r="X137" s="21">
        <f t="shared" ref="X137:AA138" si="48">X136*1.6</f>
        <v>65.823999999999998</v>
      </c>
      <c r="Y137" s="21">
        <f t="shared" si="48"/>
        <v>76.064000000000007</v>
      </c>
      <c r="Z137" s="21">
        <f t="shared" si="48"/>
        <v>86.304000000000016</v>
      </c>
      <c r="AA137" s="21">
        <f t="shared" si="48"/>
        <v>114.46400000000001</v>
      </c>
      <c r="AB137" s="26">
        <f t="shared" si="36"/>
        <v>22.0472</v>
      </c>
      <c r="AC137" s="27">
        <f t="shared" si="37"/>
        <v>39.776799999999994</v>
      </c>
      <c r="AD137" s="26">
        <f t="shared" si="38"/>
        <v>25.119200000000003</v>
      </c>
      <c r="AE137" s="27">
        <f t="shared" si="39"/>
        <v>46.944800000000001</v>
      </c>
      <c r="AF137" s="26">
        <f t="shared" si="40"/>
        <v>28.191200000000006</v>
      </c>
      <c r="AG137" s="27">
        <f t="shared" si="41"/>
        <v>54.112800000000007</v>
      </c>
      <c r="AH137" s="26">
        <f t="shared" si="42"/>
        <v>36.639200000000002</v>
      </c>
      <c r="AI137" s="27">
        <f t="shared" si="43"/>
        <v>73.82480000000001</v>
      </c>
      <c r="AJ137" s="28" t="s">
        <v>45</v>
      </c>
    </row>
    <row r="138" spans="1:37" ht="14.25" customHeight="1">
      <c r="A138" s="15" t="s">
        <v>86</v>
      </c>
      <c r="B138" s="16">
        <v>500</v>
      </c>
      <c r="C138" s="32" t="s">
        <v>40</v>
      </c>
      <c r="D138" s="15" t="s">
        <v>41</v>
      </c>
      <c r="E138" s="33" t="s">
        <v>42</v>
      </c>
      <c r="F138" s="17">
        <f>28*2</f>
        <v>56</v>
      </c>
      <c r="G138" s="19">
        <v>2</v>
      </c>
      <c r="H138" s="19">
        <f t="shared" si="47"/>
        <v>112</v>
      </c>
      <c r="I138" s="38" t="s">
        <v>42</v>
      </c>
      <c r="J138" s="32"/>
      <c r="K138" s="32"/>
      <c r="L138" s="39">
        <f>0.75*2</f>
        <v>1.5</v>
      </c>
      <c r="M138" s="32" t="s">
        <v>85</v>
      </c>
      <c r="N138" s="11">
        <f>6*28</f>
        <v>168</v>
      </c>
      <c r="O138" s="42">
        <v>56</v>
      </c>
      <c r="P138" s="1" t="s">
        <v>87</v>
      </c>
      <c r="Q138" s="28">
        <v>56</v>
      </c>
      <c r="R138" s="17">
        <f>6*28</f>
        <v>168</v>
      </c>
      <c r="U138" s="21"/>
      <c r="V138" s="21">
        <v>4</v>
      </c>
      <c r="W138" s="21">
        <v>5</v>
      </c>
      <c r="X138" s="21">
        <f t="shared" si="48"/>
        <v>105.3184</v>
      </c>
      <c r="Y138" s="21">
        <f t="shared" si="48"/>
        <v>121.70240000000001</v>
      </c>
      <c r="Z138" s="21">
        <f t="shared" si="48"/>
        <v>138.08640000000003</v>
      </c>
      <c r="AA138" s="21">
        <f t="shared" si="48"/>
        <v>183.14240000000004</v>
      </c>
      <c r="AB138" s="26">
        <f t="shared" si="36"/>
        <v>33.895519999999998</v>
      </c>
      <c r="AC138" s="27">
        <f t="shared" si="37"/>
        <v>67.422879999999992</v>
      </c>
      <c r="AD138" s="26">
        <f t="shared" si="38"/>
        <v>38.810720000000003</v>
      </c>
      <c r="AE138" s="27">
        <f t="shared" si="39"/>
        <v>78.891680000000008</v>
      </c>
      <c r="AF138" s="26">
        <f t="shared" si="40"/>
        <v>43.725920000000009</v>
      </c>
      <c r="AG138" s="27">
        <f t="shared" si="41"/>
        <v>90.36048000000001</v>
      </c>
      <c r="AH138" s="26">
        <f t="shared" si="42"/>
        <v>57.242720000000013</v>
      </c>
      <c r="AI138" s="27">
        <f t="shared" si="43"/>
        <v>121.89968000000002</v>
      </c>
      <c r="AJ138" s="28" t="s">
        <v>45</v>
      </c>
    </row>
    <row r="139" spans="1:37" ht="14.25" customHeight="1">
      <c r="A139" s="15" t="s">
        <v>88</v>
      </c>
      <c r="B139" s="16">
        <v>10</v>
      </c>
      <c r="C139" s="32" t="s">
        <v>70</v>
      </c>
      <c r="D139" s="15" t="s">
        <v>41</v>
      </c>
      <c r="E139" s="33" t="s">
        <v>42</v>
      </c>
      <c r="F139" s="17">
        <v>24</v>
      </c>
      <c r="G139" s="19">
        <v>2</v>
      </c>
      <c r="H139" s="19">
        <f t="shared" si="47"/>
        <v>48</v>
      </c>
      <c r="I139" s="38" t="s">
        <v>42</v>
      </c>
      <c r="J139" s="32"/>
      <c r="K139" s="32"/>
      <c r="L139" s="37">
        <f>8.57*2</f>
        <v>17.14</v>
      </c>
      <c r="M139" s="32" t="s">
        <v>89</v>
      </c>
      <c r="N139" s="17">
        <v>48</v>
      </c>
      <c r="O139" s="25">
        <v>112</v>
      </c>
      <c r="U139" s="21"/>
      <c r="V139" s="21">
        <f>L139</f>
        <v>17.14</v>
      </c>
      <c r="W139" s="21">
        <v>5</v>
      </c>
      <c r="X139" s="21">
        <f>(20*(1+0.6))+(V139-4)</f>
        <v>45.14</v>
      </c>
      <c r="Y139" s="21">
        <f>(24*(1+0.6))+(V139-4)</f>
        <v>51.540000000000006</v>
      </c>
      <c r="Z139" s="21">
        <f>(28*(1+0.6))+(V139-4)</f>
        <v>57.940000000000005</v>
      </c>
      <c r="AA139" s="21">
        <f>(39*(1+0.6))+(V139-4)</f>
        <v>75.540000000000006</v>
      </c>
      <c r="AB139" s="26">
        <f t="shared" ref="AB139:AB170" si="49">W139+(X139-V139-W139)*0.3</f>
        <v>11.899999999999999</v>
      </c>
      <c r="AC139" s="27">
        <f t="shared" ref="AC139:AC170" si="50">(X139-V139-W139)*0.7</f>
        <v>16.099999999999998</v>
      </c>
      <c r="AD139" s="26">
        <f t="shared" ref="AD139:AD170" si="51">W139+(Y139-V139-W139)*0.3</f>
        <v>13.820000000000002</v>
      </c>
      <c r="AE139" s="27">
        <f t="shared" ref="AE139:AE170" si="52">(Y139-V139-W139)*0.7</f>
        <v>20.580000000000002</v>
      </c>
      <c r="AF139" s="26">
        <f t="shared" ref="AF139:AF170" si="53">W139+(Z139-V139-W139)*0.3</f>
        <v>15.74</v>
      </c>
      <c r="AG139" s="27">
        <f t="shared" ref="AG139:AG170" si="54">(Z139-V139-W139)*0.7</f>
        <v>25.060000000000002</v>
      </c>
      <c r="AH139" s="26">
        <f t="shared" ref="AH139:AH170" si="55">W139+(AA139-V139-W139)*0.3</f>
        <v>21.02</v>
      </c>
      <c r="AI139" s="27">
        <f t="shared" ref="AI139:AI170" si="56">(AA139-V139-W139)*0.7</f>
        <v>37.380000000000003</v>
      </c>
      <c r="AJ139" s="28" t="s">
        <v>45</v>
      </c>
      <c r="AK139" s="15" t="s">
        <v>90</v>
      </c>
    </row>
    <row r="140" spans="1:37" ht="14.25" customHeight="1">
      <c r="A140" s="15" t="s">
        <v>99</v>
      </c>
      <c r="B140" s="35">
        <v>20</v>
      </c>
      <c r="C140" s="17" t="s">
        <v>40</v>
      </c>
      <c r="D140" s="15" t="s">
        <v>41</v>
      </c>
      <c r="E140" s="33" t="s">
        <v>94</v>
      </c>
      <c r="F140" s="17">
        <f>28*1</f>
        <v>28</v>
      </c>
      <c r="G140" s="19">
        <v>2</v>
      </c>
      <c r="H140" s="19">
        <f t="shared" si="47"/>
        <v>56</v>
      </c>
      <c r="I140" s="38" t="s">
        <v>94</v>
      </c>
      <c r="J140" s="32"/>
      <c r="K140" s="32"/>
      <c r="L140" s="39">
        <f>0.87*2</f>
        <v>1.74</v>
      </c>
      <c r="M140" s="32" t="s">
        <v>100</v>
      </c>
      <c r="N140" s="17">
        <v>112</v>
      </c>
      <c r="O140" s="25">
        <v>168</v>
      </c>
      <c r="U140" s="21"/>
      <c r="V140" s="21">
        <v>4</v>
      </c>
      <c r="W140" s="21">
        <v>5</v>
      </c>
      <c r="X140" s="21">
        <f t="shared" ref="X140:AA143" si="57">X139*1.6</f>
        <v>72.224000000000004</v>
      </c>
      <c r="Y140" s="21">
        <f t="shared" si="57"/>
        <v>82.464000000000013</v>
      </c>
      <c r="Z140" s="21">
        <f t="shared" si="57"/>
        <v>92.704000000000008</v>
      </c>
      <c r="AA140" s="21">
        <f t="shared" si="57"/>
        <v>120.86400000000002</v>
      </c>
      <c r="AB140" s="26">
        <f t="shared" si="49"/>
        <v>23.967200000000002</v>
      </c>
      <c r="AC140" s="27">
        <f t="shared" si="50"/>
        <v>44.256799999999998</v>
      </c>
      <c r="AD140" s="26">
        <f t="shared" si="51"/>
        <v>27.039200000000005</v>
      </c>
      <c r="AE140" s="27">
        <f t="shared" si="52"/>
        <v>51.424800000000005</v>
      </c>
      <c r="AF140" s="26">
        <f t="shared" si="53"/>
        <v>30.1112</v>
      </c>
      <c r="AG140" s="27">
        <f t="shared" si="54"/>
        <v>58.592800000000004</v>
      </c>
      <c r="AH140" s="26">
        <f t="shared" si="55"/>
        <v>38.559200000000004</v>
      </c>
      <c r="AI140" s="27">
        <f t="shared" si="56"/>
        <v>78.304800000000014</v>
      </c>
      <c r="AJ140" s="28" t="s">
        <v>45</v>
      </c>
    </row>
    <row r="141" spans="1:37" ht="14.25" customHeight="1">
      <c r="A141" s="15" t="s">
        <v>99</v>
      </c>
      <c r="B141" s="35">
        <v>40</v>
      </c>
      <c r="C141" s="17" t="s">
        <v>40</v>
      </c>
      <c r="D141" s="15" t="s">
        <v>41</v>
      </c>
      <c r="E141" s="33" t="s">
        <v>94</v>
      </c>
      <c r="F141" s="17">
        <f>28*1</f>
        <v>28</v>
      </c>
      <c r="G141" s="19">
        <v>2</v>
      </c>
      <c r="H141" s="19">
        <f t="shared" si="47"/>
        <v>56</v>
      </c>
      <c r="I141" s="38" t="s">
        <v>94</v>
      </c>
      <c r="J141" s="32"/>
      <c r="K141" s="32"/>
      <c r="L141" s="39">
        <f>2.45*2</f>
        <v>4.9000000000000004</v>
      </c>
      <c r="M141" s="32" t="s">
        <v>100</v>
      </c>
      <c r="N141" s="17">
        <v>112</v>
      </c>
      <c r="O141" s="25">
        <v>168</v>
      </c>
      <c r="U141" s="21"/>
      <c r="V141" s="21">
        <v>4</v>
      </c>
      <c r="W141" s="21">
        <v>5</v>
      </c>
      <c r="X141" s="21">
        <f t="shared" si="57"/>
        <v>115.55840000000001</v>
      </c>
      <c r="Y141" s="21">
        <f t="shared" si="57"/>
        <v>131.94240000000002</v>
      </c>
      <c r="Z141" s="21">
        <f t="shared" si="57"/>
        <v>148.32640000000001</v>
      </c>
      <c r="AA141" s="21">
        <f t="shared" si="57"/>
        <v>193.38240000000005</v>
      </c>
      <c r="AB141" s="26">
        <f t="shared" si="49"/>
        <v>36.96752</v>
      </c>
      <c r="AC141" s="27">
        <f t="shared" si="50"/>
        <v>74.590879999999999</v>
      </c>
      <c r="AD141" s="26">
        <f t="shared" si="51"/>
        <v>41.882720000000006</v>
      </c>
      <c r="AE141" s="27">
        <f t="shared" si="52"/>
        <v>86.059680000000014</v>
      </c>
      <c r="AF141" s="26">
        <f t="shared" si="53"/>
        <v>46.797919999999998</v>
      </c>
      <c r="AG141" s="27">
        <f t="shared" si="54"/>
        <v>97.528480000000002</v>
      </c>
      <c r="AH141" s="26">
        <f t="shared" si="55"/>
        <v>60.314720000000015</v>
      </c>
      <c r="AI141" s="27">
        <f t="shared" si="56"/>
        <v>129.06768000000002</v>
      </c>
      <c r="AJ141" s="28" t="s">
        <v>45</v>
      </c>
    </row>
    <row r="142" spans="1:37" ht="14.25" customHeight="1">
      <c r="A142" s="15" t="s">
        <v>101</v>
      </c>
      <c r="B142" s="35">
        <v>15</v>
      </c>
      <c r="C142" s="17" t="s">
        <v>40</v>
      </c>
      <c r="D142" s="15" t="s">
        <v>41</v>
      </c>
      <c r="E142" s="33" t="s">
        <v>94</v>
      </c>
      <c r="F142" s="17">
        <f>28*1</f>
        <v>28</v>
      </c>
      <c r="G142" s="19">
        <v>2</v>
      </c>
      <c r="H142" s="19">
        <f t="shared" si="47"/>
        <v>56</v>
      </c>
      <c r="I142" s="38" t="s">
        <v>94</v>
      </c>
      <c r="J142" s="32"/>
      <c r="K142" s="32"/>
      <c r="L142" s="39">
        <f>0.42*2</f>
        <v>0.84</v>
      </c>
      <c r="M142" s="32" t="s">
        <v>100</v>
      </c>
      <c r="N142" s="17">
        <v>112</v>
      </c>
      <c r="O142" s="25">
        <v>168</v>
      </c>
      <c r="U142" s="21"/>
      <c r="V142" s="21">
        <v>4</v>
      </c>
      <c r="W142" s="21">
        <v>5</v>
      </c>
      <c r="X142" s="21">
        <f t="shared" si="57"/>
        <v>184.89344000000003</v>
      </c>
      <c r="Y142" s="21">
        <f t="shared" si="57"/>
        <v>211.10784000000004</v>
      </c>
      <c r="Z142" s="21">
        <f t="shared" si="57"/>
        <v>237.32224000000002</v>
      </c>
      <c r="AA142" s="21">
        <f t="shared" si="57"/>
        <v>309.4118400000001</v>
      </c>
      <c r="AB142" s="26">
        <f t="shared" si="49"/>
        <v>57.768032000000005</v>
      </c>
      <c r="AC142" s="27">
        <f t="shared" si="50"/>
        <v>123.12540800000001</v>
      </c>
      <c r="AD142" s="26">
        <f t="shared" si="51"/>
        <v>65.632352000000012</v>
      </c>
      <c r="AE142" s="27">
        <f t="shared" si="52"/>
        <v>141.47548800000001</v>
      </c>
      <c r="AF142" s="26">
        <f t="shared" si="53"/>
        <v>73.496672000000004</v>
      </c>
      <c r="AG142" s="27">
        <f t="shared" si="54"/>
        <v>159.825568</v>
      </c>
      <c r="AH142" s="26">
        <f t="shared" si="55"/>
        <v>95.123552000000032</v>
      </c>
      <c r="AI142" s="27">
        <f t="shared" si="56"/>
        <v>210.28828800000005</v>
      </c>
      <c r="AJ142" s="28" t="s">
        <v>45</v>
      </c>
    </row>
    <row r="143" spans="1:37" ht="14.25" customHeight="1">
      <c r="A143" s="15" t="s">
        <v>101</v>
      </c>
      <c r="B143" s="35">
        <v>30</v>
      </c>
      <c r="C143" s="17" t="s">
        <v>40</v>
      </c>
      <c r="D143" s="15" t="s">
        <v>41</v>
      </c>
      <c r="E143" s="33" t="s">
        <v>94</v>
      </c>
      <c r="F143" s="17">
        <f>28*1</f>
        <v>28</v>
      </c>
      <c r="G143" s="19">
        <v>2</v>
      </c>
      <c r="H143" s="19">
        <f t="shared" si="47"/>
        <v>56</v>
      </c>
      <c r="I143" s="38" t="s">
        <v>94</v>
      </c>
      <c r="J143" s="32"/>
      <c r="K143" s="32"/>
      <c r="L143" s="39">
        <f>1.07*2</f>
        <v>2.14</v>
      </c>
      <c r="M143" s="32" t="s">
        <v>100</v>
      </c>
      <c r="N143" s="17">
        <v>112</v>
      </c>
      <c r="O143" s="25">
        <v>168</v>
      </c>
      <c r="U143" s="21"/>
      <c r="V143" s="21">
        <v>4</v>
      </c>
      <c r="W143" s="21">
        <v>5</v>
      </c>
      <c r="X143" s="21">
        <f t="shared" si="57"/>
        <v>295.82950400000004</v>
      </c>
      <c r="Y143" s="21">
        <f t="shared" si="57"/>
        <v>337.7725440000001</v>
      </c>
      <c r="Z143" s="21">
        <f t="shared" si="57"/>
        <v>379.71558400000004</v>
      </c>
      <c r="AA143" s="21">
        <f t="shared" si="57"/>
        <v>495.05894400000017</v>
      </c>
      <c r="AB143" s="26">
        <f t="shared" si="49"/>
        <v>91.048851200000016</v>
      </c>
      <c r="AC143" s="27">
        <f t="shared" si="50"/>
        <v>200.78065280000001</v>
      </c>
      <c r="AD143" s="26">
        <f t="shared" si="51"/>
        <v>103.63176320000002</v>
      </c>
      <c r="AE143" s="27">
        <f t="shared" si="52"/>
        <v>230.14078080000004</v>
      </c>
      <c r="AF143" s="26">
        <f t="shared" si="53"/>
        <v>116.2146752</v>
      </c>
      <c r="AG143" s="27">
        <f t="shared" si="54"/>
        <v>259.50090879999999</v>
      </c>
      <c r="AH143" s="26">
        <f t="shared" si="55"/>
        <v>150.81768320000003</v>
      </c>
      <c r="AI143" s="27">
        <f t="shared" si="56"/>
        <v>340.24126080000008</v>
      </c>
      <c r="AJ143" s="28" t="s">
        <v>45</v>
      </c>
    </row>
    <row r="144" spans="1:37" ht="14.25" customHeight="1">
      <c r="A144" s="15" t="s">
        <v>102</v>
      </c>
      <c r="B144" s="35">
        <v>20</v>
      </c>
      <c r="C144" s="17" t="s">
        <v>40</v>
      </c>
      <c r="D144" s="15" t="s">
        <v>41</v>
      </c>
      <c r="E144" s="33" t="s">
        <v>94</v>
      </c>
      <c r="F144" s="17">
        <f>28*1</f>
        <v>28</v>
      </c>
      <c r="G144" s="19">
        <v>2</v>
      </c>
      <c r="H144" s="19">
        <f t="shared" si="47"/>
        <v>56</v>
      </c>
      <c r="I144" s="38" t="s">
        <v>94</v>
      </c>
      <c r="J144" s="32"/>
      <c r="K144" s="32"/>
      <c r="L144" s="40">
        <f>3.64*2</f>
        <v>7.28</v>
      </c>
      <c r="M144" s="32" t="s">
        <v>100</v>
      </c>
      <c r="N144" s="17">
        <v>112</v>
      </c>
      <c r="O144" s="25">
        <v>168</v>
      </c>
      <c r="U144" s="21"/>
      <c r="V144" s="21">
        <v>8</v>
      </c>
      <c r="W144" s="21">
        <v>5</v>
      </c>
      <c r="X144" s="21">
        <f>X143*(1+0.6)+4</f>
        <v>477.32720640000008</v>
      </c>
      <c r="Y144" s="21">
        <f>Y143*(1+0.6)+4</f>
        <v>544.43607040000018</v>
      </c>
      <c r="Z144" s="21">
        <f>Z143*(1+0.6)+4</f>
        <v>611.5449344000001</v>
      </c>
      <c r="AA144" s="21">
        <f>AA143*(1+0.6)+4</f>
        <v>796.09431040000027</v>
      </c>
      <c r="AB144" s="26">
        <f t="shared" si="49"/>
        <v>144.29816192000001</v>
      </c>
      <c r="AC144" s="27">
        <f t="shared" si="50"/>
        <v>325.02904448000004</v>
      </c>
      <c r="AD144" s="26">
        <f t="shared" si="51"/>
        <v>164.43082112000005</v>
      </c>
      <c r="AE144" s="27">
        <f t="shared" si="52"/>
        <v>372.0052492800001</v>
      </c>
      <c r="AF144" s="26">
        <f t="shared" si="53"/>
        <v>184.56348032000002</v>
      </c>
      <c r="AG144" s="27">
        <f t="shared" si="54"/>
        <v>418.98145408000005</v>
      </c>
      <c r="AH144" s="26">
        <f t="shared" si="55"/>
        <v>239.92829312000006</v>
      </c>
      <c r="AI144" s="27">
        <f t="shared" si="56"/>
        <v>548.16601728000012</v>
      </c>
      <c r="AJ144" s="28" t="s">
        <v>45</v>
      </c>
    </row>
    <row r="145" spans="1:40" ht="14.25" customHeight="1">
      <c r="A145" s="15" t="s">
        <v>111</v>
      </c>
      <c r="B145" s="16">
        <v>120</v>
      </c>
      <c r="C145" s="32" t="s">
        <v>40</v>
      </c>
      <c r="D145" s="15" t="s">
        <v>41</v>
      </c>
      <c r="E145" s="33" t="s">
        <v>94</v>
      </c>
      <c r="F145" s="17">
        <v>84</v>
      </c>
      <c r="G145" s="19">
        <v>2</v>
      </c>
      <c r="H145" s="19">
        <f t="shared" si="47"/>
        <v>168</v>
      </c>
      <c r="I145" s="38" t="s">
        <v>94</v>
      </c>
      <c r="J145" s="32"/>
      <c r="K145" s="32"/>
      <c r="L145" s="37">
        <f>24.12*2</f>
        <v>48.24</v>
      </c>
      <c r="M145" s="32" t="s">
        <v>112</v>
      </c>
      <c r="N145" s="17">
        <v>336</v>
      </c>
      <c r="O145" s="25">
        <v>84</v>
      </c>
      <c r="U145" s="21"/>
      <c r="V145" s="21">
        <f>L145</f>
        <v>48.24</v>
      </c>
      <c r="W145" s="21">
        <v>5</v>
      </c>
      <c r="X145" s="21">
        <f>(20*(1+0.6))+(V145-4)</f>
        <v>76.240000000000009</v>
      </c>
      <c r="Y145" s="21">
        <f>(24*(1+0.6))+(V145-4)</f>
        <v>82.640000000000015</v>
      </c>
      <c r="Z145" s="21">
        <f>(28*(1+0.6))+(V145-4)</f>
        <v>89.04</v>
      </c>
      <c r="AA145" s="21">
        <f>(39*(1+0.6))+(V145-4)</f>
        <v>106.64000000000001</v>
      </c>
      <c r="AB145" s="26">
        <f t="shared" si="49"/>
        <v>11.900000000000002</v>
      </c>
      <c r="AC145" s="27">
        <f t="shared" si="50"/>
        <v>16.100000000000005</v>
      </c>
      <c r="AD145" s="26">
        <f t="shared" si="51"/>
        <v>13.820000000000004</v>
      </c>
      <c r="AE145" s="27">
        <f t="shared" si="52"/>
        <v>20.580000000000009</v>
      </c>
      <c r="AF145" s="26">
        <f t="shared" si="53"/>
        <v>15.74</v>
      </c>
      <c r="AG145" s="27">
        <f t="shared" si="54"/>
        <v>25.060000000000002</v>
      </c>
      <c r="AH145" s="26">
        <f t="shared" si="55"/>
        <v>21.020000000000003</v>
      </c>
      <c r="AI145" s="27">
        <f t="shared" si="56"/>
        <v>37.38000000000001</v>
      </c>
      <c r="AJ145" s="28" t="s">
        <v>45</v>
      </c>
    </row>
    <row r="146" spans="1:40" ht="14.25" customHeight="1">
      <c r="A146" s="15" t="s">
        <v>113</v>
      </c>
      <c r="B146" s="16">
        <v>120</v>
      </c>
      <c r="C146" s="32" t="s">
        <v>40</v>
      </c>
      <c r="D146" s="15" t="s">
        <v>41</v>
      </c>
      <c r="E146" s="38" t="s">
        <v>42</v>
      </c>
      <c r="F146" s="17">
        <v>30</v>
      </c>
      <c r="G146" s="19">
        <v>2</v>
      </c>
      <c r="H146" s="19">
        <f t="shared" si="47"/>
        <v>60</v>
      </c>
      <c r="I146" s="38" t="s">
        <v>42</v>
      </c>
      <c r="J146" s="32"/>
      <c r="K146" s="32"/>
      <c r="L146" s="39">
        <v>2</v>
      </c>
      <c r="M146" s="32" t="s">
        <v>114</v>
      </c>
      <c r="N146" s="15">
        <v>180</v>
      </c>
      <c r="O146" s="44">
        <v>140</v>
      </c>
      <c r="P146" s="32" t="s">
        <v>115</v>
      </c>
      <c r="Q146" s="28">
        <v>140</v>
      </c>
      <c r="R146" s="17">
        <v>180</v>
      </c>
      <c r="U146" s="21"/>
      <c r="V146" s="21">
        <v>4</v>
      </c>
      <c r="W146" s="21">
        <v>5</v>
      </c>
      <c r="X146" s="21">
        <f t="shared" ref="X146:AA147" si="58">X145*1.6</f>
        <v>121.98400000000002</v>
      </c>
      <c r="Y146" s="21">
        <f t="shared" si="58"/>
        <v>132.22400000000002</v>
      </c>
      <c r="Z146" s="21">
        <f t="shared" si="58"/>
        <v>142.46400000000003</v>
      </c>
      <c r="AA146" s="21">
        <f t="shared" si="58"/>
        <v>170.62400000000002</v>
      </c>
      <c r="AB146" s="26">
        <f t="shared" si="49"/>
        <v>38.895200000000003</v>
      </c>
      <c r="AC146" s="27">
        <f t="shared" si="50"/>
        <v>79.088800000000006</v>
      </c>
      <c r="AD146" s="26">
        <f t="shared" si="51"/>
        <v>41.967200000000005</v>
      </c>
      <c r="AE146" s="27">
        <f t="shared" si="52"/>
        <v>86.256800000000013</v>
      </c>
      <c r="AF146" s="26">
        <f t="shared" si="53"/>
        <v>45.039200000000008</v>
      </c>
      <c r="AG146" s="27">
        <f t="shared" si="54"/>
        <v>93.424800000000019</v>
      </c>
      <c r="AH146" s="26">
        <f t="shared" si="55"/>
        <v>53.487200000000009</v>
      </c>
      <c r="AI146" s="27">
        <f t="shared" si="56"/>
        <v>113.13680000000001</v>
      </c>
      <c r="AJ146" s="28" t="s">
        <v>45</v>
      </c>
      <c r="AK146" s="15" t="s">
        <v>116</v>
      </c>
      <c r="AL146" s="15" t="s">
        <v>117</v>
      </c>
      <c r="AM146" s="15" t="s">
        <v>118</v>
      </c>
      <c r="AN146" s="15" t="s">
        <v>119</v>
      </c>
    </row>
    <row r="147" spans="1:40" ht="14.25" customHeight="1">
      <c r="A147" s="15" t="s">
        <v>113</v>
      </c>
      <c r="B147" s="16">
        <v>180</v>
      </c>
      <c r="C147" s="32" t="s">
        <v>40</v>
      </c>
      <c r="D147" s="15" t="s">
        <v>41</v>
      </c>
      <c r="E147" s="33" t="s">
        <v>42</v>
      </c>
      <c r="F147" s="17">
        <v>30</v>
      </c>
      <c r="G147" s="19">
        <v>2</v>
      </c>
      <c r="H147" s="19">
        <f t="shared" si="47"/>
        <v>60</v>
      </c>
      <c r="I147" s="38" t="s">
        <v>42</v>
      </c>
      <c r="J147" s="32"/>
      <c r="K147" s="32"/>
      <c r="L147" s="39">
        <f>1.44*2</f>
        <v>2.88</v>
      </c>
      <c r="M147" s="32" t="s">
        <v>114</v>
      </c>
      <c r="N147" s="15">
        <v>180</v>
      </c>
      <c r="O147" s="44">
        <v>140</v>
      </c>
      <c r="P147" s="32" t="s">
        <v>115</v>
      </c>
      <c r="Q147" s="28">
        <v>140</v>
      </c>
      <c r="R147" s="17">
        <v>180</v>
      </c>
      <c r="U147" s="21"/>
      <c r="V147" s="21">
        <v>4</v>
      </c>
      <c r="W147" s="21">
        <v>5</v>
      </c>
      <c r="X147" s="21">
        <f t="shared" si="58"/>
        <v>195.17440000000005</v>
      </c>
      <c r="Y147" s="21">
        <f t="shared" si="58"/>
        <v>211.55840000000003</v>
      </c>
      <c r="Z147" s="21">
        <f t="shared" si="58"/>
        <v>227.94240000000005</v>
      </c>
      <c r="AA147" s="21">
        <f t="shared" si="58"/>
        <v>272.99840000000006</v>
      </c>
      <c r="AB147" s="26">
        <f t="shared" si="49"/>
        <v>60.852320000000013</v>
      </c>
      <c r="AC147" s="27">
        <f t="shared" si="50"/>
        <v>130.32208000000003</v>
      </c>
      <c r="AD147" s="26">
        <f t="shared" si="51"/>
        <v>65.767520000000005</v>
      </c>
      <c r="AE147" s="27">
        <f t="shared" si="52"/>
        <v>141.79088000000002</v>
      </c>
      <c r="AF147" s="26">
        <f t="shared" si="53"/>
        <v>70.682720000000018</v>
      </c>
      <c r="AG147" s="27">
        <f t="shared" si="54"/>
        <v>153.25968000000003</v>
      </c>
      <c r="AH147" s="26">
        <f t="shared" si="55"/>
        <v>84.199520000000021</v>
      </c>
      <c r="AI147" s="27">
        <f t="shared" si="56"/>
        <v>184.79888000000003</v>
      </c>
      <c r="AJ147" s="28" t="s">
        <v>45</v>
      </c>
      <c r="AK147" s="15" t="s">
        <v>116</v>
      </c>
      <c r="AL147" s="15" t="s">
        <v>117</v>
      </c>
      <c r="AM147" s="15" t="s">
        <v>118</v>
      </c>
      <c r="AN147" s="15" t="s">
        <v>119</v>
      </c>
    </row>
    <row r="148" spans="1:40" ht="14.25" customHeight="1">
      <c r="A148" s="15" t="s">
        <v>120</v>
      </c>
      <c r="B148" s="35">
        <v>1</v>
      </c>
      <c r="C148" s="15" t="s">
        <v>121</v>
      </c>
      <c r="D148" s="15" t="s">
        <v>41</v>
      </c>
      <c r="E148" s="33" t="s">
        <v>122</v>
      </c>
      <c r="F148" s="15">
        <v>5</v>
      </c>
      <c r="G148" s="19">
        <v>2</v>
      </c>
      <c r="H148" s="19">
        <f t="shared" si="47"/>
        <v>10</v>
      </c>
      <c r="I148" s="38" t="s">
        <v>106</v>
      </c>
      <c r="J148" s="32"/>
      <c r="K148" s="32"/>
      <c r="L148" s="40">
        <f>3.41*2</f>
        <v>6.82</v>
      </c>
      <c r="M148" s="32" t="s">
        <v>114</v>
      </c>
      <c r="N148" s="17">
        <v>30</v>
      </c>
      <c r="O148" s="44">
        <v>140</v>
      </c>
      <c r="U148" s="21"/>
      <c r="V148" s="21">
        <v>8</v>
      </c>
      <c r="W148" s="21">
        <v>5</v>
      </c>
      <c r="X148" s="21">
        <f>X147*(1+0.6)+4</f>
        <v>316.27904000000012</v>
      </c>
      <c r="Y148" s="21">
        <f>Y147*(1+0.6)+4</f>
        <v>342.49344000000008</v>
      </c>
      <c r="Z148" s="21">
        <f>Z147*(1+0.6)+4</f>
        <v>368.70784000000009</v>
      </c>
      <c r="AA148" s="21">
        <f>AA147*(1+0.6)+4</f>
        <v>440.79744000000011</v>
      </c>
      <c r="AB148" s="26">
        <f t="shared" si="49"/>
        <v>95.98371200000004</v>
      </c>
      <c r="AC148" s="27">
        <f t="shared" si="50"/>
        <v>212.29532800000007</v>
      </c>
      <c r="AD148" s="26">
        <f t="shared" si="51"/>
        <v>103.84803200000002</v>
      </c>
      <c r="AE148" s="27">
        <f t="shared" si="52"/>
        <v>230.64540800000003</v>
      </c>
      <c r="AF148" s="26">
        <f t="shared" si="53"/>
        <v>111.71235200000002</v>
      </c>
      <c r="AG148" s="27">
        <f t="shared" si="54"/>
        <v>248.99548800000005</v>
      </c>
      <c r="AH148" s="26">
        <f t="shared" si="55"/>
        <v>133.33923200000004</v>
      </c>
      <c r="AI148" s="27">
        <f t="shared" si="56"/>
        <v>299.45820800000007</v>
      </c>
      <c r="AJ148" s="28" t="s">
        <v>45</v>
      </c>
      <c r="AK148" s="15" t="s">
        <v>123</v>
      </c>
      <c r="AL148" s="15" t="s">
        <v>116</v>
      </c>
      <c r="AM148" s="15" t="s">
        <v>117</v>
      </c>
      <c r="AN148" s="15" t="s">
        <v>118</v>
      </c>
    </row>
    <row r="149" spans="1:40" ht="14.25" customHeight="1">
      <c r="A149" s="45" t="s">
        <v>124</v>
      </c>
      <c r="B149" s="35">
        <v>27.5</v>
      </c>
      <c r="C149" s="17" t="s">
        <v>70</v>
      </c>
      <c r="D149" s="15" t="s">
        <v>41</v>
      </c>
      <c r="E149" s="33" t="s">
        <v>125</v>
      </c>
      <c r="F149" s="28">
        <v>1</v>
      </c>
      <c r="G149" s="19">
        <v>2</v>
      </c>
      <c r="H149" s="19">
        <f t="shared" si="47"/>
        <v>2</v>
      </c>
      <c r="I149" s="38" t="s">
        <v>126</v>
      </c>
      <c r="J149" s="32"/>
      <c r="K149" s="32"/>
      <c r="L149" s="37">
        <f>L148+6.44</f>
        <v>13.260000000000002</v>
      </c>
      <c r="M149" s="32" t="s">
        <v>114</v>
      </c>
      <c r="N149" s="15">
        <v>6</v>
      </c>
      <c r="O149" s="44">
        <v>140</v>
      </c>
      <c r="P149" s="32" t="s">
        <v>127</v>
      </c>
      <c r="Q149" s="28">
        <v>140</v>
      </c>
      <c r="R149" s="17">
        <v>6</v>
      </c>
      <c r="V149" s="17">
        <f t="shared" ref="V149:V154" si="59">L149</f>
        <v>13.260000000000002</v>
      </c>
      <c r="W149" s="21">
        <v>5</v>
      </c>
      <c r="X149" s="21">
        <f>(X148*(1+0.6))+(V149-4)</f>
        <v>515.30646400000023</v>
      </c>
      <c r="Y149" s="21">
        <f>(Y148*(1+0.6))+(V149-4)</f>
        <v>557.24950400000012</v>
      </c>
      <c r="Z149" s="21">
        <f>(Z148*(1+0.6))+(V149-4)</f>
        <v>599.19254400000011</v>
      </c>
      <c r="AA149" s="21">
        <f>(AA148*(1+0.6))+(V149-4)</f>
        <v>714.53590400000019</v>
      </c>
      <c r="AB149" s="26">
        <f t="shared" si="49"/>
        <v>154.11393920000006</v>
      </c>
      <c r="AC149" s="27">
        <f t="shared" si="50"/>
        <v>347.93252480000012</v>
      </c>
      <c r="AD149" s="26">
        <f t="shared" si="51"/>
        <v>166.69685120000003</v>
      </c>
      <c r="AE149" s="27">
        <f t="shared" si="52"/>
        <v>377.29265280000004</v>
      </c>
      <c r="AF149" s="26">
        <f t="shared" si="53"/>
        <v>179.27976320000002</v>
      </c>
      <c r="AG149" s="27">
        <f t="shared" si="54"/>
        <v>406.65278080000007</v>
      </c>
      <c r="AH149" s="26">
        <f t="shared" si="55"/>
        <v>213.88277120000006</v>
      </c>
      <c r="AI149" s="27">
        <f t="shared" si="56"/>
        <v>487.3931328000001</v>
      </c>
      <c r="AJ149" s="28" t="s">
        <v>45</v>
      </c>
      <c r="AK149" s="15" t="s">
        <v>117</v>
      </c>
      <c r="AL149" s="15" t="s">
        <v>118</v>
      </c>
      <c r="AM149" s="15" t="s">
        <v>123</v>
      </c>
      <c r="AN149" s="15" t="s">
        <v>119</v>
      </c>
    </row>
    <row r="150" spans="1:40" ht="14.25" customHeight="1">
      <c r="A150" s="15" t="s">
        <v>128</v>
      </c>
      <c r="B150" s="35">
        <v>0.1</v>
      </c>
      <c r="C150" s="17" t="s">
        <v>54</v>
      </c>
      <c r="D150" s="15" t="s">
        <v>41</v>
      </c>
      <c r="E150" s="33" t="s">
        <v>125</v>
      </c>
      <c r="F150" s="17">
        <v>1</v>
      </c>
      <c r="G150" s="19">
        <v>2</v>
      </c>
      <c r="H150" s="19">
        <f t="shared" si="47"/>
        <v>2</v>
      </c>
      <c r="I150" s="38" t="s">
        <v>126</v>
      </c>
      <c r="J150" s="32"/>
      <c r="K150" s="32"/>
      <c r="L150" s="37">
        <f>10.5+L149</f>
        <v>23.76</v>
      </c>
      <c r="M150" s="32" t="s">
        <v>114</v>
      </c>
      <c r="N150" s="15">
        <v>6</v>
      </c>
      <c r="O150" s="44">
        <v>140</v>
      </c>
      <c r="V150" s="17">
        <f t="shared" si="59"/>
        <v>23.76</v>
      </c>
      <c r="W150" s="21">
        <v>5</v>
      </c>
      <c r="X150" s="21">
        <f>(20*(1+0.6))+(V150-4)</f>
        <v>51.760000000000005</v>
      </c>
      <c r="Y150" s="21">
        <f>(24*(1+0.6))+(V150-4)</f>
        <v>58.160000000000011</v>
      </c>
      <c r="Z150" s="21">
        <f>(28*(1+0.6))+(V150-4)</f>
        <v>64.56</v>
      </c>
      <c r="AA150" s="21">
        <f>(39*(1+0.6))+(V150-4)</f>
        <v>82.160000000000011</v>
      </c>
      <c r="AB150" s="26">
        <f t="shared" si="49"/>
        <v>11.900000000000002</v>
      </c>
      <c r="AC150" s="27">
        <f t="shared" si="50"/>
        <v>16.100000000000001</v>
      </c>
      <c r="AD150" s="26">
        <f t="shared" si="51"/>
        <v>13.820000000000002</v>
      </c>
      <c r="AE150" s="27">
        <f t="shared" si="52"/>
        <v>20.580000000000002</v>
      </c>
      <c r="AF150" s="26">
        <f t="shared" si="53"/>
        <v>15.739999999999998</v>
      </c>
      <c r="AG150" s="27">
        <f t="shared" si="54"/>
        <v>25.059999999999995</v>
      </c>
      <c r="AH150" s="26">
        <f t="shared" si="55"/>
        <v>21.02</v>
      </c>
      <c r="AI150" s="27">
        <f t="shared" si="56"/>
        <v>37.380000000000003</v>
      </c>
      <c r="AJ150" s="28" t="s">
        <v>45</v>
      </c>
      <c r="AK150" s="15" t="s">
        <v>118</v>
      </c>
      <c r="AL150" s="15" t="s">
        <v>116</v>
      </c>
      <c r="AM150" s="15" t="s">
        <v>123</v>
      </c>
      <c r="AN150" s="15" t="s">
        <v>119</v>
      </c>
    </row>
    <row r="151" spans="1:40" ht="14.25" customHeight="1">
      <c r="A151" s="15" t="s">
        <v>129</v>
      </c>
      <c r="B151" s="35">
        <v>50</v>
      </c>
      <c r="C151" s="17" t="s">
        <v>130</v>
      </c>
      <c r="D151" s="15" t="s">
        <v>41</v>
      </c>
      <c r="E151" s="38" t="s">
        <v>125</v>
      </c>
      <c r="F151" s="17">
        <v>1</v>
      </c>
      <c r="G151" s="19">
        <v>2</v>
      </c>
      <c r="H151" s="19">
        <f t="shared" si="47"/>
        <v>2</v>
      </c>
      <c r="I151" s="38" t="s">
        <v>126</v>
      </c>
      <c r="J151" s="32"/>
      <c r="K151" s="32"/>
      <c r="L151" s="37">
        <f>5.26+L150</f>
        <v>29.020000000000003</v>
      </c>
      <c r="M151" s="32" t="s">
        <v>114</v>
      </c>
      <c r="N151" s="15">
        <v>6</v>
      </c>
      <c r="O151" s="44">
        <v>140</v>
      </c>
      <c r="P151" s="32" t="s">
        <v>127</v>
      </c>
      <c r="Q151" s="28">
        <v>140</v>
      </c>
      <c r="R151" s="15">
        <v>6</v>
      </c>
      <c r="S151" s="32"/>
      <c r="T151" s="32"/>
      <c r="V151" s="17">
        <f t="shared" si="59"/>
        <v>29.020000000000003</v>
      </c>
      <c r="W151" s="21">
        <v>5</v>
      </c>
      <c r="X151" s="21">
        <f>(X150*(1+0.6))+(V151-4)</f>
        <v>107.83600000000001</v>
      </c>
      <c r="Y151" s="21">
        <f>(Y150*(1+0.6))+(V151-4)</f>
        <v>118.07600000000002</v>
      </c>
      <c r="Z151" s="21">
        <f>(Z150*(1+0.6))+(V151-4)</f>
        <v>128.316</v>
      </c>
      <c r="AA151" s="21">
        <f>(AA150*(1+0.6))+(V151-4)</f>
        <v>156.47600000000003</v>
      </c>
      <c r="AB151" s="26">
        <f t="shared" si="49"/>
        <v>27.1448</v>
      </c>
      <c r="AC151" s="27">
        <f t="shared" si="50"/>
        <v>51.671199999999999</v>
      </c>
      <c r="AD151" s="26">
        <f t="shared" si="51"/>
        <v>30.216800000000003</v>
      </c>
      <c r="AE151" s="27">
        <f t="shared" si="52"/>
        <v>58.839200000000005</v>
      </c>
      <c r="AF151" s="26">
        <f t="shared" si="53"/>
        <v>33.288799999999995</v>
      </c>
      <c r="AG151" s="27">
        <f t="shared" si="54"/>
        <v>66.007199999999997</v>
      </c>
      <c r="AH151" s="26">
        <f t="shared" si="55"/>
        <v>41.736800000000002</v>
      </c>
      <c r="AI151" s="27">
        <f t="shared" si="56"/>
        <v>85.719200000000001</v>
      </c>
      <c r="AJ151" s="28" t="s">
        <v>45</v>
      </c>
      <c r="AK151" s="15" t="s">
        <v>117</v>
      </c>
      <c r="AL151" s="15" t="s">
        <v>116</v>
      </c>
      <c r="AM151" s="15" t="s">
        <v>123</v>
      </c>
      <c r="AN151" s="15" t="s">
        <v>119</v>
      </c>
    </row>
    <row r="152" spans="1:40" ht="14.25" customHeight="1">
      <c r="A152" s="15" t="s">
        <v>131</v>
      </c>
      <c r="B152" s="35">
        <v>0.5</v>
      </c>
      <c r="C152" s="17" t="s">
        <v>121</v>
      </c>
      <c r="D152" s="15" t="s">
        <v>41</v>
      </c>
      <c r="E152" s="33" t="s">
        <v>122</v>
      </c>
      <c r="F152" s="15">
        <v>8</v>
      </c>
      <c r="G152" s="19">
        <v>2</v>
      </c>
      <c r="H152" s="19">
        <f t="shared" si="47"/>
        <v>16</v>
      </c>
      <c r="I152" s="38" t="s">
        <v>106</v>
      </c>
      <c r="J152" s="32"/>
      <c r="K152" s="32"/>
      <c r="L152" s="37">
        <f>L151+5.32</f>
        <v>34.340000000000003</v>
      </c>
      <c r="M152" s="32" t="s">
        <v>114</v>
      </c>
      <c r="N152" s="17">
        <v>48</v>
      </c>
      <c r="O152" s="44">
        <v>140</v>
      </c>
      <c r="V152" s="17">
        <f t="shared" si="59"/>
        <v>34.340000000000003</v>
      </c>
      <c r="W152" s="21">
        <v>5</v>
      </c>
      <c r="X152" s="21">
        <f>(X151*(1+0.6))+($V$220-4)</f>
        <v>190.40760000000003</v>
      </c>
      <c r="Y152" s="21">
        <f>(Y151*(1+0.6))+($V$220-4)</f>
        <v>206.79160000000005</v>
      </c>
      <c r="Z152" s="21">
        <f>(Z151*(1+0.6))+($V$220-4)</f>
        <v>223.17560000000003</v>
      </c>
      <c r="AA152" s="21">
        <f>(AA151*(1+0.6))+($V$220-4)</f>
        <v>268.23160000000007</v>
      </c>
      <c r="AB152" s="26">
        <f t="shared" si="49"/>
        <v>50.320280000000004</v>
      </c>
      <c r="AC152" s="27">
        <f t="shared" si="50"/>
        <v>105.74732000000002</v>
      </c>
      <c r="AD152" s="26">
        <f t="shared" si="51"/>
        <v>55.23548000000001</v>
      </c>
      <c r="AE152" s="27">
        <f t="shared" si="52"/>
        <v>117.21612000000002</v>
      </c>
      <c r="AF152" s="26">
        <f t="shared" si="53"/>
        <v>60.150680000000008</v>
      </c>
      <c r="AG152" s="27">
        <f t="shared" si="54"/>
        <v>128.68492000000001</v>
      </c>
      <c r="AH152" s="26">
        <f t="shared" si="55"/>
        <v>73.667480000000012</v>
      </c>
      <c r="AI152" s="27">
        <f t="shared" si="56"/>
        <v>160.22412000000003</v>
      </c>
      <c r="AJ152" s="28" t="s">
        <v>45</v>
      </c>
      <c r="AK152" s="15" t="s">
        <v>117</v>
      </c>
      <c r="AL152" s="15" t="s">
        <v>116</v>
      </c>
      <c r="AM152" s="15" t="s">
        <v>123</v>
      </c>
      <c r="AN152" s="15" t="s">
        <v>118</v>
      </c>
    </row>
    <row r="153" spans="1:40" ht="14.25" customHeight="1">
      <c r="A153" s="15" t="s">
        <v>132</v>
      </c>
      <c r="B153" s="35">
        <v>300</v>
      </c>
      <c r="C153" s="17" t="s">
        <v>70</v>
      </c>
      <c r="D153" s="15" t="s">
        <v>41</v>
      </c>
      <c r="E153" s="38" t="s">
        <v>133</v>
      </c>
      <c r="F153" s="15">
        <v>1</v>
      </c>
      <c r="G153" s="19">
        <v>2</v>
      </c>
      <c r="H153" s="19">
        <f t="shared" si="47"/>
        <v>2</v>
      </c>
      <c r="I153" s="38" t="s">
        <v>126</v>
      </c>
      <c r="J153" s="32"/>
      <c r="K153" s="32"/>
      <c r="L153" s="37">
        <f>L152*2</f>
        <v>68.680000000000007</v>
      </c>
      <c r="M153" s="32" t="s">
        <v>115</v>
      </c>
      <c r="N153" s="17">
        <v>4</v>
      </c>
      <c r="O153" s="25">
        <v>280</v>
      </c>
      <c r="V153" s="17">
        <f t="shared" si="59"/>
        <v>68.680000000000007</v>
      </c>
      <c r="W153" s="21">
        <v>5</v>
      </c>
      <c r="X153" s="21">
        <f>(20*(1+0.6))+($V$226-4)</f>
        <v>72.099999999999994</v>
      </c>
      <c r="Y153" s="21">
        <f>(20*(1+0.6))+($V$226-4)</f>
        <v>72.099999999999994</v>
      </c>
      <c r="Z153" s="21">
        <f>(20*(1+0.6))+($V$226-4)</f>
        <v>72.099999999999994</v>
      </c>
      <c r="AA153" s="21">
        <f>(20*(1+0.6))+($V$226-4)</f>
        <v>72.099999999999994</v>
      </c>
      <c r="AB153" s="26">
        <f t="shared" si="49"/>
        <v>4.5259999999999962</v>
      </c>
      <c r="AC153" s="27">
        <f t="shared" si="50"/>
        <v>-1.1060000000000088</v>
      </c>
      <c r="AD153" s="26">
        <f t="shared" si="51"/>
        <v>4.5259999999999962</v>
      </c>
      <c r="AE153" s="27">
        <f t="shared" si="52"/>
        <v>-1.1060000000000088</v>
      </c>
      <c r="AF153" s="26">
        <f t="shared" si="53"/>
        <v>4.5259999999999962</v>
      </c>
      <c r="AG153" s="27">
        <f t="shared" si="54"/>
        <v>-1.1060000000000088</v>
      </c>
      <c r="AH153" s="26">
        <f t="shared" si="55"/>
        <v>4.5259999999999962</v>
      </c>
      <c r="AI153" s="27">
        <f t="shared" si="56"/>
        <v>-1.1060000000000088</v>
      </c>
      <c r="AJ153" s="28" t="s">
        <v>45</v>
      </c>
      <c r="AK153" s="15" t="s">
        <v>113</v>
      </c>
    </row>
    <row r="154" spans="1:40" ht="14.25" customHeight="1">
      <c r="A154" s="15" t="s">
        <v>136</v>
      </c>
      <c r="B154" s="35">
        <v>5</v>
      </c>
      <c r="C154" s="17" t="s">
        <v>40</v>
      </c>
      <c r="D154" s="15" t="s">
        <v>41</v>
      </c>
      <c r="E154" s="33" t="s">
        <v>42</v>
      </c>
      <c r="F154" s="17">
        <v>28</v>
      </c>
      <c r="G154" s="19">
        <v>2</v>
      </c>
      <c r="H154" s="19">
        <f t="shared" si="47"/>
        <v>56</v>
      </c>
      <c r="I154" s="38" t="s">
        <v>42</v>
      </c>
      <c r="J154" s="32"/>
      <c r="K154" s="32"/>
      <c r="L154" s="37">
        <f>L153+5.38</f>
        <v>74.06</v>
      </c>
      <c r="M154" s="32" t="s">
        <v>137</v>
      </c>
      <c r="N154" s="17">
        <v>84</v>
      </c>
      <c r="O154" s="25">
        <v>84</v>
      </c>
      <c r="V154" s="17">
        <f t="shared" si="59"/>
        <v>74.06</v>
      </c>
      <c r="W154" s="21">
        <v>5</v>
      </c>
      <c r="X154" s="21">
        <f>(X153*(1+0.6))+($V$232-4)</f>
        <v>115.36</v>
      </c>
      <c r="Y154" s="21">
        <f>(Y153*(1+0.6))+($V$232-4)</f>
        <v>115.36</v>
      </c>
      <c r="Z154" s="21">
        <f>(Z153*(1+0.6))+($V$232-4)</f>
        <v>115.36</v>
      </c>
      <c r="AA154" s="21">
        <f>(AA153*(1+0.6))+($V$232-4)</f>
        <v>115.36</v>
      </c>
      <c r="AB154" s="26">
        <f t="shared" si="49"/>
        <v>15.889999999999999</v>
      </c>
      <c r="AC154" s="27">
        <f t="shared" si="50"/>
        <v>25.409999999999997</v>
      </c>
      <c r="AD154" s="26">
        <f t="shared" si="51"/>
        <v>15.889999999999999</v>
      </c>
      <c r="AE154" s="27">
        <f t="shared" si="52"/>
        <v>25.409999999999997</v>
      </c>
      <c r="AF154" s="26">
        <f t="shared" si="53"/>
        <v>15.889999999999999</v>
      </c>
      <c r="AG154" s="27">
        <f t="shared" si="54"/>
        <v>25.409999999999997</v>
      </c>
      <c r="AH154" s="26">
        <f t="shared" si="55"/>
        <v>15.889999999999999</v>
      </c>
      <c r="AI154" s="27">
        <f t="shared" si="56"/>
        <v>25.409999999999997</v>
      </c>
      <c r="AJ154" s="28" t="s">
        <v>45</v>
      </c>
    </row>
    <row r="155" spans="1:40" ht="14.25" customHeight="1">
      <c r="A155" s="15" t="s">
        <v>138</v>
      </c>
      <c r="B155" s="35">
        <v>50</v>
      </c>
      <c r="C155" s="17" t="s">
        <v>40</v>
      </c>
      <c r="D155" s="15" t="s">
        <v>41</v>
      </c>
      <c r="E155" s="33" t="s">
        <v>42</v>
      </c>
      <c r="F155" s="17">
        <v>50</v>
      </c>
      <c r="G155" s="19">
        <v>2</v>
      </c>
      <c r="H155" s="19">
        <f t="shared" si="47"/>
        <v>100</v>
      </c>
      <c r="I155" s="38" t="s">
        <v>42</v>
      </c>
      <c r="J155" s="32"/>
      <c r="K155" s="32"/>
      <c r="L155" s="40">
        <f>L154*2</f>
        <v>148.12</v>
      </c>
      <c r="M155" s="32" t="s">
        <v>137</v>
      </c>
      <c r="N155" s="17">
        <v>100</v>
      </c>
      <c r="O155" s="25">
        <v>84</v>
      </c>
      <c r="V155" s="17">
        <v>8</v>
      </c>
      <c r="W155" s="21">
        <v>5</v>
      </c>
      <c r="X155" s="21">
        <f>(X154*(1+0.6))+($V$235-4)</f>
        <v>184.57600000000002</v>
      </c>
      <c r="Y155" s="21">
        <f>(Y154*(1+0.6))+($V$235-4)</f>
        <v>184.57600000000002</v>
      </c>
      <c r="Z155" s="21">
        <f>(Z154*(1+0.6))+($V$235-4)</f>
        <v>184.57600000000002</v>
      </c>
      <c r="AA155" s="21">
        <f>(AA154*(1+0.6))+($V$235-4)</f>
        <v>184.57600000000002</v>
      </c>
      <c r="AB155" s="26">
        <f t="shared" si="49"/>
        <v>56.472800000000007</v>
      </c>
      <c r="AC155" s="27">
        <f t="shared" si="50"/>
        <v>120.1032</v>
      </c>
      <c r="AD155" s="26">
        <f t="shared" si="51"/>
        <v>56.472800000000007</v>
      </c>
      <c r="AE155" s="27">
        <f t="shared" si="52"/>
        <v>120.1032</v>
      </c>
      <c r="AF155" s="26">
        <f t="shared" si="53"/>
        <v>56.472800000000007</v>
      </c>
      <c r="AG155" s="27">
        <f t="shared" si="54"/>
        <v>120.1032</v>
      </c>
      <c r="AH155" s="26">
        <f t="shared" si="55"/>
        <v>56.472800000000007</v>
      </c>
      <c r="AI155" s="27">
        <f t="shared" si="56"/>
        <v>120.1032</v>
      </c>
      <c r="AJ155" s="28" t="s">
        <v>45</v>
      </c>
    </row>
    <row r="156" spans="1:40" ht="14.25" customHeight="1">
      <c r="A156" s="15" t="s">
        <v>139</v>
      </c>
      <c r="B156" s="35">
        <v>2</v>
      </c>
      <c r="C156" s="17" t="s">
        <v>54</v>
      </c>
      <c r="D156" s="15" t="s">
        <v>41</v>
      </c>
      <c r="E156" s="38" t="s">
        <v>140</v>
      </c>
      <c r="F156" s="17">
        <v>120</v>
      </c>
      <c r="G156" s="19">
        <v>2</v>
      </c>
      <c r="H156" s="19">
        <f t="shared" si="47"/>
        <v>240</v>
      </c>
      <c r="I156" s="15" t="s">
        <v>106</v>
      </c>
      <c r="J156" s="32"/>
      <c r="K156" s="32"/>
      <c r="L156" s="37">
        <f>+L155+14.8</f>
        <v>162.92000000000002</v>
      </c>
      <c r="M156" s="32" t="s">
        <v>141</v>
      </c>
      <c r="N156" s="17">
        <v>360</v>
      </c>
      <c r="O156" s="25">
        <v>112</v>
      </c>
      <c r="V156" s="17">
        <f>L156</f>
        <v>162.92000000000002</v>
      </c>
      <c r="W156" s="21">
        <v>5</v>
      </c>
      <c r="X156" s="21">
        <f>(20*(1+0.6))+($V$237-4)</f>
        <v>38.92</v>
      </c>
      <c r="Y156" s="21">
        <f>(24*(1+0.6))+($V$237-4)</f>
        <v>45.320000000000007</v>
      </c>
      <c r="Z156" s="21">
        <f>(28*(1+0.6))+($V$237-4)</f>
        <v>51.720000000000006</v>
      </c>
      <c r="AA156" s="21">
        <f>(39*(1+0.6))+($V$237-4)</f>
        <v>69.320000000000007</v>
      </c>
      <c r="AB156" s="26">
        <f t="shared" si="49"/>
        <v>-33.699999999999996</v>
      </c>
      <c r="AC156" s="27">
        <f t="shared" si="50"/>
        <v>-90.3</v>
      </c>
      <c r="AD156" s="26">
        <f t="shared" si="51"/>
        <v>-31.78</v>
      </c>
      <c r="AE156" s="27">
        <f t="shared" si="52"/>
        <v>-85.820000000000007</v>
      </c>
      <c r="AF156" s="26">
        <f t="shared" si="53"/>
        <v>-29.860000000000007</v>
      </c>
      <c r="AG156" s="27">
        <f t="shared" si="54"/>
        <v>-81.34</v>
      </c>
      <c r="AH156" s="26">
        <f t="shared" si="55"/>
        <v>-24.580000000000002</v>
      </c>
      <c r="AI156" s="27">
        <f t="shared" si="56"/>
        <v>-69.02</v>
      </c>
      <c r="AJ156" s="28" t="s">
        <v>45</v>
      </c>
    </row>
    <row r="157" spans="1:40" ht="14.25" customHeight="1">
      <c r="A157" s="46" t="s">
        <v>142</v>
      </c>
      <c r="B157" s="47" t="s">
        <v>143</v>
      </c>
      <c r="C157" s="17" t="s">
        <v>54</v>
      </c>
      <c r="D157" s="15" t="s">
        <v>41</v>
      </c>
      <c r="E157" s="38" t="s">
        <v>140</v>
      </c>
      <c r="F157" s="17">
        <v>250</v>
      </c>
      <c r="G157" s="19">
        <v>2</v>
      </c>
      <c r="H157" s="19">
        <f t="shared" si="47"/>
        <v>500</v>
      </c>
      <c r="I157" s="15" t="s">
        <v>106</v>
      </c>
      <c r="J157" s="32"/>
      <c r="K157" s="32"/>
      <c r="L157" s="37">
        <f>5.24+L156</f>
        <v>168.16000000000003</v>
      </c>
      <c r="M157" s="32" t="s">
        <v>141</v>
      </c>
      <c r="N157" s="17">
        <v>750</v>
      </c>
      <c r="O157" s="25">
        <v>112</v>
      </c>
      <c r="V157" s="17">
        <f>L157</f>
        <v>168.16000000000003</v>
      </c>
      <c r="W157" s="21">
        <v>5</v>
      </c>
      <c r="X157" s="21">
        <f>(X156*(1+0.6))+($V$240-4)</f>
        <v>62.272000000000006</v>
      </c>
      <c r="Y157" s="21">
        <f>(Y156*(1+0.6))+($V$240-4)</f>
        <v>72.512000000000015</v>
      </c>
      <c r="Z157" s="21">
        <f>(Z156*(1+0.6))+($V$240-4)</f>
        <v>82.75200000000001</v>
      </c>
      <c r="AA157" s="21">
        <f>(AA156*(1+0.6))+($V$240-4)</f>
        <v>110.91200000000002</v>
      </c>
      <c r="AB157" s="26">
        <f t="shared" si="49"/>
        <v>-28.266400000000004</v>
      </c>
      <c r="AC157" s="27">
        <f t="shared" si="50"/>
        <v>-77.621600000000015</v>
      </c>
      <c r="AD157" s="26">
        <f t="shared" si="51"/>
        <v>-25.194400000000002</v>
      </c>
      <c r="AE157" s="27">
        <f t="shared" si="52"/>
        <v>-70.453600000000009</v>
      </c>
      <c r="AF157" s="26">
        <f t="shared" si="53"/>
        <v>-22.122400000000003</v>
      </c>
      <c r="AG157" s="27">
        <f t="shared" si="54"/>
        <v>-63.285600000000009</v>
      </c>
      <c r="AH157" s="26">
        <f t="shared" si="55"/>
        <v>-13.674400000000002</v>
      </c>
      <c r="AI157" s="27">
        <f t="shared" si="56"/>
        <v>-43.573599999999999</v>
      </c>
      <c r="AJ157" s="28" t="s">
        <v>45</v>
      </c>
    </row>
    <row r="158" spans="1:40" ht="14.25" customHeight="1">
      <c r="A158" s="15" t="s">
        <v>144</v>
      </c>
      <c r="B158" s="35">
        <v>0.1</v>
      </c>
      <c r="C158" s="17" t="s">
        <v>54</v>
      </c>
      <c r="D158" s="15" t="s">
        <v>41</v>
      </c>
      <c r="E158" s="38" t="s">
        <v>140</v>
      </c>
      <c r="F158" s="15">
        <v>100</v>
      </c>
      <c r="G158" s="19">
        <v>2</v>
      </c>
      <c r="H158" s="19">
        <f t="shared" si="47"/>
        <v>200</v>
      </c>
      <c r="I158" s="38" t="s">
        <v>106</v>
      </c>
      <c r="J158" s="32"/>
      <c r="K158" s="32"/>
      <c r="L158" s="40">
        <f>L157+3.9</f>
        <v>172.06000000000003</v>
      </c>
      <c r="M158" s="32" t="s">
        <v>141</v>
      </c>
      <c r="N158" s="15">
        <v>300</v>
      </c>
      <c r="O158" s="44">
        <v>112</v>
      </c>
      <c r="P158" s="32" t="s">
        <v>145</v>
      </c>
      <c r="Q158" s="44">
        <v>112</v>
      </c>
      <c r="R158" s="15">
        <v>300</v>
      </c>
      <c r="S158" s="32" t="s">
        <v>146</v>
      </c>
      <c r="T158" s="15">
        <v>300</v>
      </c>
      <c r="U158" s="44">
        <v>112</v>
      </c>
      <c r="V158" s="17">
        <v>8</v>
      </c>
      <c r="W158" s="21">
        <v>5</v>
      </c>
      <c r="X158" s="21">
        <f>(X157*(1+0.6))+4</f>
        <v>103.63520000000001</v>
      </c>
      <c r="Y158" s="21">
        <f>(Y157*(1+0.6))+4</f>
        <v>120.01920000000003</v>
      </c>
      <c r="Z158" s="21">
        <f>(Z157*(1+0.6))+4</f>
        <v>136.40320000000003</v>
      </c>
      <c r="AA158" s="21">
        <f>(AA157*(1+0.6))+4</f>
        <v>181.45920000000004</v>
      </c>
      <c r="AB158" s="26">
        <f t="shared" si="49"/>
        <v>32.190560000000005</v>
      </c>
      <c r="AC158" s="27">
        <f t="shared" si="50"/>
        <v>63.444640000000007</v>
      </c>
      <c r="AD158" s="26">
        <f t="shared" si="51"/>
        <v>37.105760000000004</v>
      </c>
      <c r="AE158" s="27">
        <f t="shared" si="52"/>
        <v>74.913440000000008</v>
      </c>
      <c r="AF158" s="26">
        <f t="shared" si="53"/>
        <v>42.020960000000009</v>
      </c>
      <c r="AG158" s="27">
        <f t="shared" si="54"/>
        <v>86.38224000000001</v>
      </c>
      <c r="AH158" s="26">
        <f t="shared" si="55"/>
        <v>55.537760000000013</v>
      </c>
      <c r="AI158" s="27">
        <f t="shared" si="56"/>
        <v>117.92144000000002</v>
      </c>
      <c r="AJ158" s="28" t="s">
        <v>45</v>
      </c>
    </row>
    <row r="159" spans="1:40" ht="14.25" customHeight="1">
      <c r="A159" s="15" t="s">
        <v>147</v>
      </c>
      <c r="B159" s="35">
        <v>0.1</v>
      </c>
      <c r="C159" s="17" t="s">
        <v>54</v>
      </c>
      <c r="D159" s="15" t="s">
        <v>41</v>
      </c>
      <c r="E159" s="38" t="s">
        <v>148</v>
      </c>
      <c r="F159" s="15">
        <v>30</v>
      </c>
      <c r="G159" s="19">
        <v>2</v>
      </c>
      <c r="H159" s="19">
        <f t="shared" si="47"/>
        <v>60</v>
      </c>
      <c r="I159" s="38" t="s">
        <v>106</v>
      </c>
      <c r="J159" s="32"/>
      <c r="K159" s="32"/>
      <c r="L159" s="40">
        <f>4.27+L158</f>
        <v>176.33000000000004</v>
      </c>
      <c r="M159" s="32" t="s">
        <v>141</v>
      </c>
      <c r="N159" s="17">
        <v>90</v>
      </c>
      <c r="O159" s="25">
        <v>112</v>
      </c>
      <c r="V159" s="17">
        <v>8</v>
      </c>
      <c r="W159" s="21">
        <v>5</v>
      </c>
      <c r="X159" s="21">
        <f>(20*(1+0.6))+($V$246-4)</f>
        <v>125.28999999999999</v>
      </c>
      <c r="Y159" s="21">
        <f>(24*(1+0.6))+($V$246-4)</f>
        <v>131.69</v>
      </c>
      <c r="Z159" s="21">
        <f>(28*(1+0.6))+($V$246-4)</f>
        <v>138.09</v>
      </c>
      <c r="AA159" s="21">
        <f>(39*(1+0.6))+($V$246-4)</f>
        <v>155.69</v>
      </c>
      <c r="AB159" s="26">
        <f t="shared" si="49"/>
        <v>38.686999999999998</v>
      </c>
      <c r="AC159" s="27">
        <f t="shared" si="50"/>
        <v>78.602999999999994</v>
      </c>
      <c r="AD159" s="26">
        <f t="shared" si="51"/>
        <v>40.606999999999999</v>
      </c>
      <c r="AE159" s="27">
        <f t="shared" si="52"/>
        <v>83.082999999999998</v>
      </c>
      <c r="AF159" s="26">
        <f t="shared" si="53"/>
        <v>42.527000000000001</v>
      </c>
      <c r="AG159" s="27">
        <f t="shared" si="54"/>
        <v>87.563000000000002</v>
      </c>
      <c r="AH159" s="26">
        <f t="shared" si="55"/>
        <v>47.806999999999995</v>
      </c>
      <c r="AI159" s="27">
        <f t="shared" si="56"/>
        <v>99.882999999999996</v>
      </c>
      <c r="AJ159" s="28" t="s">
        <v>45</v>
      </c>
    </row>
    <row r="160" spans="1:40" ht="14.25" customHeight="1">
      <c r="A160" s="15" t="s">
        <v>150</v>
      </c>
      <c r="B160" s="35">
        <v>250</v>
      </c>
      <c r="C160" s="28" t="s">
        <v>40</v>
      </c>
      <c r="D160" s="15" t="s">
        <v>41</v>
      </c>
      <c r="E160" s="38" t="s">
        <v>42</v>
      </c>
      <c r="F160" s="17">
        <v>28</v>
      </c>
      <c r="G160" s="19">
        <v>2</v>
      </c>
      <c r="H160" s="19">
        <f t="shared" si="47"/>
        <v>56</v>
      </c>
      <c r="I160" s="38" t="s">
        <v>42</v>
      </c>
      <c r="J160" s="32"/>
      <c r="K160" s="32"/>
      <c r="L160" s="39">
        <f t="shared" ref="L160:L167" si="60">L159*2</f>
        <v>352.66000000000008</v>
      </c>
      <c r="M160" s="32" t="s">
        <v>151</v>
      </c>
      <c r="N160" s="17">
        <v>56</v>
      </c>
      <c r="O160" s="25">
        <v>42</v>
      </c>
      <c r="V160" s="17">
        <v>4</v>
      </c>
      <c r="W160" s="21">
        <v>5</v>
      </c>
      <c r="X160" s="21">
        <f>(20*(1+0.6))</f>
        <v>32</v>
      </c>
      <c r="Y160" s="21">
        <f>(24*(1+0.6))</f>
        <v>38.400000000000006</v>
      </c>
      <c r="Z160" s="21">
        <f>(28*(1+0.6))</f>
        <v>44.800000000000004</v>
      </c>
      <c r="AA160" s="21">
        <f>(39*(1+0.6))</f>
        <v>62.400000000000006</v>
      </c>
      <c r="AB160" s="26">
        <f t="shared" si="49"/>
        <v>11.899999999999999</v>
      </c>
      <c r="AC160" s="27">
        <f t="shared" si="50"/>
        <v>16.099999999999998</v>
      </c>
      <c r="AD160" s="26">
        <f t="shared" si="51"/>
        <v>13.820000000000002</v>
      </c>
      <c r="AE160" s="27">
        <f t="shared" si="52"/>
        <v>20.580000000000002</v>
      </c>
      <c r="AF160" s="26">
        <f t="shared" si="53"/>
        <v>15.74</v>
      </c>
      <c r="AG160" s="27">
        <f t="shared" si="54"/>
        <v>25.060000000000002</v>
      </c>
      <c r="AH160" s="26">
        <f t="shared" si="55"/>
        <v>21.02</v>
      </c>
      <c r="AI160" s="27">
        <f t="shared" si="56"/>
        <v>37.380000000000003</v>
      </c>
      <c r="AJ160" s="28" t="s">
        <v>45</v>
      </c>
    </row>
    <row r="161" spans="1:36" ht="14.25" customHeight="1">
      <c r="A161" s="38" t="s">
        <v>152</v>
      </c>
      <c r="B161" s="41">
        <v>45417</v>
      </c>
      <c r="C161" s="17" t="s">
        <v>40</v>
      </c>
      <c r="D161" s="15" t="s">
        <v>41</v>
      </c>
      <c r="E161" s="38" t="s">
        <v>153</v>
      </c>
      <c r="F161" s="17">
        <v>12</v>
      </c>
      <c r="G161" s="19">
        <v>2</v>
      </c>
      <c r="H161" s="19">
        <f t="shared" si="47"/>
        <v>24</v>
      </c>
      <c r="I161" s="38" t="s">
        <v>126</v>
      </c>
      <c r="J161" s="32"/>
      <c r="K161" s="32"/>
      <c r="L161" s="39">
        <f t="shared" si="60"/>
        <v>705.32000000000016</v>
      </c>
      <c r="M161" s="32" t="s">
        <v>154</v>
      </c>
      <c r="N161" s="17">
        <v>24</v>
      </c>
      <c r="O161" s="25">
        <v>56</v>
      </c>
      <c r="V161" s="17">
        <v>4</v>
      </c>
      <c r="W161" s="21">
        <v>5</v>
      </c>
      <c r="X161" s="21">
        <f>(20*(1+0.6))</f>
        <v>32</v>
      </c>
      <c r="Y161" s="21">
        <f>(24*(1+0.6))</f>
        <v>38.400000000000006</v>
      </c>
      <c r="Z161" s="21">
        <f>(28*(1+0.6))</f>
        <v>44.800000000000004</v>
      </c>
      <c r="AA161" s="21">
        <f>(39*(1+0.6))</f>
        <v>62.400000000000006</v>
      </c>
      <c r="AB161" s="26">
        <f t="shared" si="49"/>
        <v>11.899999999999999</v>
      </c>
      <c r="AC161" s="27">
        <f t="shared" si="50"/>
        <v>16.099999999999998</v>
      </c>
      <c r="AD161" s="26">
        <f t="shared" si="51"/>
        <v>13.820000000000002</v>
      </c>
      <c r="AE161" s="27">
        <f t="shared" si="52"/>
        <v>20.580000000000002</v>
      </c>
      <c r="AF161" s="26">
        <f t="shared" si="53"/>
        <v>15.74</v>
      </c>
      <c r="AG161" s="27">
        <f t="shared" si="54"/>
        <v>25.060000000000002</v>
      </c>
      <c r="AH161" s="26">
        <f t="shared" si="55"/>
        <v>21.02</v>
      </c>
      <c r="AI161" s="27">
        <f t="shared" si="56"/>
        <v>37.380000000000003</v>
      </c>
      <c r="AJ161" s="28" t="s">
        <v>45</v>
      </c>
    </row>
    <row r="162" spans="1:36" ht="14.25" customHeight="1">
      <c r="A162" s="38" t="s">
        <v>155</v>
      </c>
      <c r="B162" s="41">
        <v>45417</v>
      </c>
      <c r="C162" s="17" t="s">
        <v>40</v>
      </c>
      <c r="D162" s="15" t="s">
        <v>41</v>
      </c>
      <c r="E162" s="38" t="s">
        <v>156</v>
      </c>
      <c r="F162" s="17">
        <v>30</v>
      </c>
      <c r="G162" s="19">
        <v>2</v>
      </c>
      <c r="H162" s="19">
        <f t="shared" ref="H162:H193" si="61">F162*G162</f>
        <v>60</v>
      </c>
      <c r="I162" s="38" t="s">
        <v>56</v>
      </c>
      <c r="J162" s="32"/>
      <c r="K162" s="32"/>
      <c r="L162" s="37">
        <f t="shared" si="60"/>
        <v>1410.6400000000003</v>
      </c>
      <c r="M162" s="32" t="s">
        <v>154</v>
      </c>
      <c r="N162" s="17">
        <v>60</v>
      </c>
      <c r="O162" s="25">
        <v>56</v>
      </c>
      <c r="V162" s="17">
        <v>4</v>
      </c>
      <c r="W162" s="21">
        <v>5</v>
      </c>
      <c r="X162" s="21">
        <f>X161*1.6+$L$253-4</f>
        <v>183.75</v>
      </c>
      <c r="Y162" s="21">
        <f>Y161*1.6+$L$253-4</f>
        <v>193.99</v>
      </c>
      <c r="Z162" s="21">
        <f>Z161*1.6+$L$253-4</f>
        <v>204.23000000000002</v>
      </c>
      <c r="AA162" s="21">
        <f>AA161*1.6+$L$253-4</f>
        <v>232.39000000000004</v>
      </c>
      <c r="AB162" s="26">
        <f t="shared" si="49"/>
        <v>57.424999999999997</v>
      </c>
      <c r="AC162" s="27">
        <f t="shared" si="50"/>
        <v>122.32499999999999</v>
      </c>
      <c r="AD162" s="26">
        <f t="shared" si="51"/>
        <v>60.497</v>
      </c>
      <c r="AE162" s="27">
        <f t="shared" si="52"/>
        <v>129.49299999999999</v>
      </c>
      <c r="AF162" s="26">
        <f t="shared" si="53"/>
        <v>63.569000000000003</v>
      </c>
      <c r="AG162" s="27">
        <f t="shared" si="54"/>
        <v>136.661</v>
      </c>
      <c r="AH162" s="26">
        <f t="shared" si="55"/>
        <v>72.01700000000001</v>
      </c>
      <c r="AI162" s="27">
        <f t="shared" si="56"/>
        <v>156.37300000000002</v>
      </c>
      <c r="AJ162" s="28" t="s">
        <v>45</v>
      </c>
    </row>
    <row r="163" spans="1:36" ht="14.25" customHeight="1">
      <c r="A163" s="38" t="s">
        <v>157</v>
      </c>
      <c r="B163" s="35">
        <v>1.1000000000000001</v>
      </c>
      <c r="C163" s="28" t="s">
        <v>40</v>
      </c>
      <c r="D163" s="15" t="s">
        <v>41</v>
      </c>
      <c r="E163" s="38" t="s">
        <v>158</v>
      </c>
      <c r="F163" s="17">
        <v>12</v>
      </c>
      <c r="G163" s="19">
        <v>2</v>
      </c>
      <c r="H163" s="19">
        <f t="shared" si="61"/>
        <v>24</v>
      </c>
      <c r="I163" s="38" t="s">
        <v>126</v>
      </c>
      <c r="J163" s="32"/>
      <c r="K163" s="32"/>
      <c r="L163" s="39">
        <f t="shared" si="60"/>
        <v>2821.2800000000007</v>
      </c>
      <c r="M163" s="32" t="s">
        <v>154</v>
      </c>
      <c r="N163" s="17">
        <v>24</v>
      </c>
      <c r="O163" s="25">
        <v>56</v>
      </c>
      <c r="V163" s="17">
        <v>4</v>
      </c>
      <c r="W163" s="21">
        <v>5</v>
      </c>
      <c r="X163" s="21">
        <f>(20*(1+0.6))</f>
        <v>32</v>
      </c>
      <c r="Y163" s="21">
        <f>(24*(1+0.6))</f>
        <v>38.400000000000006</v>
      </c>
      <c r="Z163" s="21">
        <f>(28*(1+0.6))</f>
        <v>44.800000000000004</v>
      </c>
      <c r="AA163" s="21">
        <f>(39*(1+0.6))</f>
        <v>62.400000000000006</v>
      </c>
      <c r="AB163" s="26">
        <f t="shared" si="49"/>
        <v>11.899999999999999</v>
      </c>
      <c r="AC163" s="27">
        <f t="shared" si="50"/>
        <v>16.099999999999998</v>
      </c>
      <c r="AD163" s="26">
        <f t="shared" si="51"/>
        <v>13.820000000000002</v>
      </c>
      <c r="AE163" s="27">
        <f t="shared" si="52"/>
        <v>20.580000000000002</v>
      </c>
      <c r="AF163" s="26">
        <f t="shared" si="53"/>
        <v>15.74</v>
      </c>
      <c r="AG163" s="27">
        <f t="shared" si="54"/>
        <v>25.060000000000002</v>
      </c>
      <c r="AH163" s="26">
        <f t="shared" si="55"/>
        <v>21.02</v>
      </c>
      <c r="AI163" s="27">
        <f t="shared" si="56"/>
        <v>37.380000000000003</v>
      </c>
      <c r="AJ163" s="28" t="s">
        <v>45</v>
      </c>
    </row>
    <row r="164" spans="1:36" ht="14.25" customHeight="1">
      <c r="A164" s="38" t="s">
        <v>159</v>
      </c>
      <c r="B164" s="35" t="s">
        <v>160</v>
      </c>
      <c r="C164" s="17" t="s">
        <v>54</v>
      </c>
      <c r="D164" s="15" t="s">
        <v>41</v>
      </c>
      <c r="E164" s="38" t="s">
        <v>156</v>
      </c>
      <c r="F164" s="28">
        <v>30</v>
      </c>
      <c r="G164" s="19">
        <v>2</v>
      </c>
      <c r="H164" s="19">
        <f t="shared" si="61"/>
        <v>60</v>
      </c>
      <c r="I164" s="38" t="s">
        <v>56</v>
      </c>
      <c r="J164" s="32"/>
      <c r="K164" s="32"/>
      <c r="L164" s="40">
        <f t="shared" si="60"/>
        <v>5642.5600000000013</v>
      </c>
      <c r="M164" s="32" t="s">
        <v>154</v>
      </c>
      <c r="N164" s="17">
        <v>60</v>
      </c>
      <c r="O164" s="25">
        <v>56</v>
      </c>
      <c r="U164" s="17"/>
      <c r="V164" s="17">
        <v>8</v>
      </c>
      <c r="W164" s="22">
        <v>5</v>
      </c>
      <c r="X164" s="21">
        <f>X163*1.6+4</f>
        <v>55.2</v>
      </c>
      <c r="Y164" s="21">
        <f>Y163*1.6+4</f>
        <v>65.440000000000012</v>
      </c>
      <c r="Z164" s="21">
        <f>Z163*1.6+4</f>
        <v>75.680000000000007</v>
      </c>
      <c r="AA164" s="21">
        <f>AA163*1.6+4</f>
        <v>103.84000000000002</v>
      </c>
      <c r="AB164" s="26">
        <f t="shared" si="49"/>
        <v>17.66</v>
      </c>
      <c r="AC164" s="27">
        <f t="shared" si="50"/>
        <v>29.54</v>
      </c>
      <c r="AD164" s="26">
        <f t="shared" si="51"/>
        <v>20.732000000000003</v>
      </c>
      <c r="AE164" s="27">
        <f t="shared" si="52"/>
        <v>36.708000000000006</v>
      </c>
      <c r="AF164" s="26">
        <f t="shared" si="53"/>
        <v>23.804000000000002</v>
      </c>
      <c r="AG164" s="27">
        <f t="shared" si="54"/>
        <v>43.876000000000005</v>
      </c>
      <c r="AH164" s="26">
        <f t="shared" si="55"/>
        <v>32.25200000000001</v>
      </c>
      <c r="AI164" s="27">
        <f t="shared" si="56"/>
        <v>63.588000000000008</v>
      </c>
      <c r="AJ164" s="28" t="s">
        <v>45</v>
      </c>
    </row>
    <row r="165" spans="1:36" ht="14.25" customHeight="1">
      <c r="A165" s="15" t="s">
        <v>161</v>
      </c>
      <c r="B165" s="35" t="s">
        <v>162</v>
      </c>
      <c r="C165" s="17" t="s">
        <v>54</v>
      </c>
      <c r="D165" s="15" t="s">
        <v>41</v>
      </c>
      <c r="E165" s="38" t="s">
        <v>156</v>
      </c>
      <c r="F165" s="15">
        <v>20</v>
      </c>
      <c r="G165" s="19">
        <v>2</v>
      </c>
      <c r="H165" s="19">
        <f t="shared" si="61"/>
        <v>40</v>
      </c>
      <c r="I165" s="38" t="s">
        <v>56</v>
      </c>
      <c r="J165" s="32"/>
      <c r="K165" s="32"/>
      <c r="L165" s="40">
        <f t="shared" si="60"/>
        <v>11285.120000000003</v>
      </c>
      <c r="M165" s="32" t="s">
        <v>154</v>
      </c>
      <c r="N165" s="17">
        <v>40</v>
      </c>
      <c r="O165" s="25">
        <v>56</v>
      </c>
      <c r="V165" s="17">
        <v>8</v>
      </c>
      <c r="W165" s="21">
        <v>5</v>
      </c>
      <c r="X165" s="21">
        <f>(20*(1+0.6))+4</f>
        <v>36</v>
      </c>
      <c r="Y165" s="21">
        <f>(24*(1+0.6))+4</f>
        <v>42.400000000000006</v>
      </c>
      <c r="Z165" s="21">
        <f>(28*(1+0.6))+4</f>
        <v>48.800000000000004</v>
      </c>
      <c r="AA165" s="21">
        <f>(39*(1+0.6))+4</f>
        <v>66.400000000000006</v>
      </c>
      <c r="AB165" s="26">
        <f t="shared" si="49"/>
        <v>11.899999999999999</v>
      </c>
      <c r="AC165" s="27">
        <f t="shared" si="50"/>
        <v>16.099999999999998</v>
      </c>
      <c r="AD165" s="26">
        <f t="shared" si="51"/>
        <v>13.820000000000002</v>
      </c>
      <c r="AE165" s="27">
        <f t="shared" si="52"/>
        <v>20.580000000000002</v>
      </c>
      <c r="AF165" s="26">
        <f t="shared" si="53"/>
        <v>15.74</v>
      </c>
      <c r="AG165" s="27">
        <f t="shared" si="54"/>
        <v>25.060000000000002</v>
      </c>
      <c r="AH165" s="26">
        <f t="shared" si="55"/>
        <v>21.02</v>
      </c>
      <c r="AI165" s="27">
        <f t="shared" si="56"/>
        <v>37.380000000000003</v>
      </c>
      <c r="AJ165" s="28" t="s">
        <v>45</v>
      </c>
    </row>
    <row r="166" spans="1:36" ht="14.25" customHeight="1">
      <c r="A166" s="38" t="s">
        <v>163</v>
      </c>
      <c r="B166" s="41">
        <v>45417</v>
      </c>
      <c r="C166" s="17" t="s">
        <v>40</v>
      </c>
      <c r="D166" s="15" t="s">
        <v>41</v>
      </c>
      <c r="E166" s="38" t="s">
        <v>158</v>
      </c>
      <c r="F166" s="15">
        <v>12</v>
      </c>
      <c r="G166" s="19">
        <v>2</v>
      </c>
      <c r="H166" s="19">
        <f t="shared" si="61"/>
        <v>24</v>
      </c>
      <c r="I166" s="38" t="s">
        <v>164</v>
      </c>
      <c r="J166" s="32"/>
      <c r="K166" s="32"/>
      <c r="L166" s="37">
        <f t="shared" si="60"/>
        <v>22570.240000000005</v>
      </c>
      <c r="M166" s="32" t="s">
        <v>154</v>
      </c>
      <c r="N166" s="17">
        <v>24</v>
      </c>
      <c r="O166" s="25">
        <v>56</v>
      </c>
      <c r="V166" s="17">
        <f>L166</f>
        <v>22570.240000000005</v>
      </c>
      <c r="W166" s="21">
        <v>5</v>
      </c>
      <c r="X166" s="21">
        <f>(20*(1+0.6))+($V$261-4)</f>
        <v>41.730000000000004</v>
      </c>
      <c r="Y166" s="21">
        <f>(24*(1+0.6))+($V$261-4)</f>
        <v>48.13000000000001</v>
      </c>
      <c r="Z166" s="21">
        <f>(28*(1+0.6))+($V$261-4)</f>
        <v>54.53</v>
      </c>
      <c r="AA166" s="21">
        <f>(39*(1+0.6))+($V$261-4)</f>
        <v>72.13000000000001</v>
      </c>
      <c r="AB166" s="26">
        <f t="shared" si="49"/>
        <v>-6755.0530000000017</v>
      </c>
      <c r="AC166" s="27">
        <f t="shared" si="50"/>
        <v>-15773.457000000002</v>
      </c>
      <c r="AD166" s="26">
        <f t="shared" si="51"/>
        <v>-6753.1330000000007</v>
      </c>
      <c r="AE166" s="27">
        <f t="shared" si="52"/>
        <v>-15768.977000000003</v>
      </c>
      <c r="AF166" s="26">
        <f t="shared" si="53"/>
        <v>-6751.2130000000016</v>
      </c>
      <c r="AG166" s="27">
        <f t="shared" si="54"/>
        <v>-15764.497000000003</v>
      </c>
      <c r="AH166" s="26">
        <f t="shared" si="55"/>
        <v>-6745.9330000000009</v>
      </c>
      <c r="AI166" s="27">
        <f t="shared" si="56"/>
        <v>-15752.177000000001</v>
      </c>
      <c r="AJ166" s="28" t="s">
        <v>45</v>
      </c>
    </row>
    <row r="167" spans="1:36" ht="14.25" customHeight="1">
      <c r="A167" s="38" t="s">
        <v>165</v>
      </c>
      <c r="B167" s="41">
        <v>45417</v>
      </c>
      <c r="C167" s="28" t="s">
        <v>40</v>
      </c>
      <c r="D167" s="15" t="s">
        <v>41</v>
      </c>
      <c r="E167" s="38" t="s">
        <v>156</v>
      </c>
      <c r="F167" s="28">
        <v>30</v>
      </c>
      <c r="G167" s="19">
        <v>2</v>
      </c>
      <c r="H167" s="19">
        <f t="shared" si="61"/>
        <v>60</v>
      </c>
      <c r="I167" s="38" t="s">
        <v>56</v>
      </c>
      <c r="J167" s="32"/>
      <c r="K167" s="32"/>
      <c r="L167" s="37">
        <f t="shared" si="60"/>
        <v>45140.48000000001</v>
      </c>
      <c r="M167" s="32" t="s">
        <v>154</v>
      </c>
      <c r="N167" s="17">
        <v>60</v>
      </c>
      <c r="O167" s="25">
        <v>56</v>
      </c>
      <c r="V167" s="17">
        <f>L167</f>
        <v>45140.48000000001</v>
      </c>
      <c r="W167" s="21">
        <v>5</v>
      </c>
      <c r="X167" s="21">
        <f>(20*(1+0.6))+($V$263-4)</f>
        <v>80.790000000000006</v>
      </c>
      <c r="Y167" s="21">
        <f>(24*(1+0.6))+($V$263-4)</f>
        <v>87.190000000000012</v>
      </c>
      <c r="Z167" s="21">
        <f>(28*(1+0.6))+($V$263-4)</f>
        <v>93.59</v>
      </c>
      <c r="AA167" s="21">
        <f>(39*(1+0.6))+($V$263-4)</f>
        <v>111.19000000000001</v>
      </c>
      <c r="AB167" s="26">
        <f t="shared" si="49"/>
        <v>-13514.407000000003</v>
      </c>
      <c r="AC167" s="27">
        <f t="shared" si="50"/>
        <v>-31545.283000000003</v>
      </c>
      <c r="AD167" s="26">
        <f t="shared" si="51"/>
        <v>-13512.487000000003</v>
      </c>
      <c r="AE167" s="27">
        <f t="shared" si="52"/>
        <v>-31540.803000000004</v>
      </c>
      <c r="AF167" s="26">
        <f t="shared" si="53"/>
        <v>-13510.567000000005</v>
      </c>
      <c r="AG167" s="27">
        <f t="shared" si="54"/>
        <v>-31536.323000000008</v>
      </c>
      <c r="AH167" s="26">
        <f t="shared" si="55"/>
        <v>-13505.287000000002</v>
      </c>
      <c r="AI167" s="27">
        <f t="shared" si="56"/>
        <v>-31524.003000000004</v>
      </c>
      <c r="AJ167" s="28" t="s">
        <v>45</v>
      </c>
    </row>
    <row r="168" spans="1:36" ht="14.25" customHeight="1">
      <c r="A168" s="15" t="s">
        <v>171</v>
      </c>
      <c r="B168" s="35">
        <v>0.1</v>
      </c>
      <c r="C168" s="17" t="s">
        <v>54</v>
      </c>
      <c r="D168" s="15" t="s">
        <v>41</v>
      </c>
      <c r="E168" s="38" t="s">
        <v>55</v>
      </c>
      <c r="F168" s="15">
        <v>30</v>
      </c>
      <c r="G168" s="19">
        <v>2</v>
      </c>
      <c r="H168" s="19">
        <v>60</v>
      </c>
      <c r="I168" s="38" t="s">
        <v>56</v>
      </c>
      <c r="J168" s="32"/>
      <c r="K168" s="32"/>
      <c r="L168" s="39">
        <f>L167+1.49</f>
        <v>45141.970000000008</v>
      </c>
      <c r="M168" s="32" t="s">
        <v>145</v>
      </c>
      <c r="N168" s="15">
        <v>90</v>
      </c>
      <c r="O168" s="44">
        <v>84</v>
      </c>
      <c r="P168" s="32" t="s">
        <v>146</v>
      </c>
      <c r="Q168" s="44">
        <v>84</v>
      </c>
      <c r="R168" s="15">
        <v>90</v>
      </c>
      <c r="S168" s="32" t="s">
        <v>172</v>
      </c>
      <c r="T168" s="15">
        <v>90</v>
      </c>
      <c r="U168" s="44">
        <v>84</v>
      </c>
      <c r="V168" s="21">
        <v>4</v>
      </c>
      <c r="W168" s="21">
        <v>5</v>
      </c>
      <c r="X168" s="21">
        <f t="shared" ref="X168:AA169" si="62">X167*1.6</f>
        <v>129.26400000000001</v>
      </c>
      <c r="Y168" s="21">
        <f t="shared" si="62"/>
        <v>139.50400000000002</v>
      </c>
      <c r="Z168" s="21">
        <f t="shared" si="62"/>
        <v>149.744</v>
      </c>
      <c r="AA168" s="21">
        <f t="shared" si="62"/>
        <v>177.90400000000002</v>
      </c>
      <c r="AB168" s="26">
        <f t="shared" si="49"/>
        <v>41.0792</v>
      </c>
      <c r="AC168" s="27">
        <f t="shared" si="50"/>
        <v>84.184799999999996</v>
      </c>
      <c r="AD168" s="26">
        <f t="shared" si="51"/>
        <v>44.151200000000003</v>
      </c>
      <c r="AE168" s="27">
        <f t="shared" si="52"/>
        <v>91.352800000000002</v>
      </c>
      <c r="AF168" s="26">
        <f t="shared" si="53"/>
        <v>47.223199999999999</v>
      </c>
      <c r="AG168" s="27">
        <f t="shared" si="54"/>
        <v>98.520799999999994</v>
      </c>
      <c r="AH168" s="26">
        <f t="shared" si="55"/>
        <v>55.671200000000006</v>
      </c>
      <c r="AI168" s="27">
        <f t="shared" si="56"/>
        <v>118.23280000000001</v>
      </c>
      <c r="AJ168" s="28" t="s">
        <v>45</v>
      </c>
    </row>
    <row r="169" spans="1:36" ht="14.25" customHeight="1">
      <c r="A169" s="15" t="s">
        <v>173</v>
      </c>
      <c r="B169" s="35">
        <v>0.1</v>
      </c>
      <c r="C169" s="17" t="s">
        <v>54</v>
      </c>
      <c r="D169" s="15" t="s">
        <v>41</v>
      </c>
      <c r="E169" s="38" t="s">
        <v>156</v>
      </c>
      <c r="F169" s="15">
        <v>100</v>
      </c>
      <c r="G169" s="19">
        <v>2</v>
      </c>
      <c r="H169" s="19">
        <f t="shared" ref="H169:H232" si="63">F169*G169</f>
        <v>200</v>
      </c>
      <c r="I169" s="38" t="s">
        <v>56</v>
      </c>
      <c r="J169" s="32"/>
      <c r="K169" s="32"/>
      <c r="L169" s="39">
        <f>L168+2.65</f>
        <v>45144.62000000001</v>
      </c>
      <c r="M169" s="32" t="s">
        <v>145</v>
      </c>
      <c r="N169" s="15">
        <v>200</v>
      </c>
      <c r="O169" s="44">
        <v>84</v>
      </c>
      <c r="P169" s="32" t="s">
        <v>146</v>
      </c>
      <c r="Q169" s="44">
        <v>84</v>
      </c>
      <c r="R169" s="15">
        <v>200</v>
      </c>
      <c r="S169" s="32" t="s">
        <v>172</v>
      </c>
      <c r="T169" s="15">
        <v>200</v>
      </c>
      <c r="U169" s="44">
        <v>84</v>
      </c>
      <c r="V169" s="21">
        <v>4</v>
      </c>
      <c r="W169" s="21">
        <v>5</v>
      </c>
      <c r="X169" s="21">
        <f t="shared" si="62"/>
        <v>206.82240000000002</v>
      </c>
      <c r="Y169" s="21">
        <f t="shared" si="62"/>
        <v>223.20640000000003</v>
      </c>
      <c r="Z169" s="21">
        <f t="shared" si="62"/>
        <v>239.59040000000002</v>
      </c>
      <c r="AA169" s="21">
        <f t="shared" si="62"/>
        <v>284.64640000000003</v>
      </c>
      <c r="AB169" s="26">
        <f t="shared" si="49"/>
        <v>64.346720000000005</v>
      </c>
      <c r="AC169" s="27">
        <f t="shared" si="50"/>
        <v>138.47568000000001</v>
      </c>
      <c r="AD169" s="26">
        <f t="shared" si="51"/>
        <v>69.261920000000003</v>
      </c>
      <c r="AE169" s="27">
        <f t="shared" si="52"/>
        <v>149.94448</v>
      </c>
      <c r="AF169" s="26">
        <f t="shared" si="53"/>
        <v>74.177120000000002</v>
      </c>
      <c r="AG169" s="27">
        <f t="shared" si="54"/>
        <v>161.41328000000001</v>
      </c>
      <c r="AH169" s="26">
        <f t="shared" si="55"/>
        <v>87.693920000000006</v>
      </c>
      <c r="AI169" s="27">
        <f t="shared" si="56"/>
        <v>192.95248000000001</v>
      </c>
      <c r="AJ169" s="28" t="s">
        <v>45</v>
      </c>
    </row>
    <row r="170" spans="1:36" ht="14.25" customHeight="1">
      <c r="A170" s="15" t="s">
        <v>174</v>
      </c>
      <c r="B170" s="35">
        <v>0.1</v>
      </c>
      <c r="C170" s="17" t="s">
        <v>54</v>
      </c>
      <c r="D170" s="15" t="s">
        <v>41</v>
      </c>
      <c r="E170" s="38" t="s">
        <v>55</v>
      </c>
      <c r="F170" s="15">
        <v>30</v>
      </c>
      <c r="G170" s="19">
        <v>2</v>
      </c>
      <c r="H170" s="19">
        <f t="shared" si="63"/>
        <v>60</v>
      </c>
      <c r="I170" s="38" t="s">
        <v>56</v>
      </c>
      <c r="J170" s="32"/>
      <c r="K170" s="32"/>
      <c r="L170" s="40">
        <f>L169+4.18</f>
        <v>45148.80000000001</v>
      </c>
      <c r="M170" s="32" t="s">
        <v>145</v>
      </c>
      <c r="N170" s="15">
        <v>90</v>
      </c>
      <c r="O170" s="44">
        <v>84</v>
      </c>
      <c r="P170" s="32" t="s">
        <v>172</v>
      </c>
      <c r="Q170" s="44">
        <v>84</v>
      </c>
      <c r="R170" s="15">
        <v>90</v>
      </c>
      <c r="U170" s="21"/>
      <c r="V170" s="21">
        <v>8</v>
      </c>
      <c r="W170" s="21">
        <v>5</v>
      </c>
      <c r="X170" s="21">
        <f>(X169*1.6)+4</f>
        <v>334.91584000000006</v>
      </c>
      <c r="Y170" s="21">
        <f>(Y169*1.6)+4</f>
        <v>361.13024000000007</v>
      </c>
      <c r="Z170" s="21">
        <f>(Z169*1.6)+4</f>
        <v>387.34464000000003</v>
      </c>
      <c r="AA170" s="21">
        <f>(AA169*1.6)+4</f>
        <v>459.43424000000005</v>
      </c>
      <c r="AB170" s="26">
        <f t="shared" si="49"/>
        <v>101.57475200000002</v>
      </c>
      <c r="AC170" s="27">
        <f t="shared" si="50"/>
        <v>225.34108800000001</v>
      </c>
      <c r="AD170" s="26">
        <f t="shared" si="51"/>
        <v>109.43907200000002</v>
      </c>
      <c r="AE170" s="27">
        <f t="shared" si="52"/>
        <v>243.69116800000003</v>
      </c>
      <c r="AF170" s="26">
        <f t="shared" si="53"/>
        <v>117.303392</v>
      </c>
      <c r="AG170" s="27">
        <f t="shared" si="54"/>
        <v>262.041248</v>
      </c>
      <c r="AH170" s="26">
        <f t="shared" si="55"/>
        <v>138.930272</v>
      </c>
      <c r="AI170" s="27">
        <f t="shared" si="56"/>
        <v>312.50396799999999</v>
      </c>
      <c r="AJ170" s="28" t="s">
        <v>45</v>
      </c>
    </row>
    <row r="171" spans="1:36" ht="14.25" customHeight="1">
      <c r="A171" s="15" t="s">
        <v>175</v>
      </c>
      <c r="B171" s="35">
        <v>0.1</v>
      </c>
      <c r="C171" s="17" t="s">
        <v>54</v>
      </c>
      <c r="D171" s="15" t="s">
        <v>41</v>
      </c>
      <c r="E171" s="38" t="s">
        <v>156</v>
      </c>
      <c r="F171" s="15">
        <v>100</v>
      </c>
      <c r="G171" s="19">
        <v>2</v>
      </c>
      <c r="H171" s="19">
        <f t="shared" si="63"/>
        <v>200</v>
      </c>
      <c r="I171" s="38" t="s">
        <v>56</v>
      </c>
      <c r="J171" s="32"/>
      <c r="K171" s="32"/>
      <c r="L171" s="37">
        <f>L170*2</f>
        <v>90297.60000000002</v>
      </c>
      <c r="M171" s="32" t="s">
        <v>145</v>
      </c>
      <c r="N171" s="15">
        <v>200</v>
      </c>
      <c r="O171" s="44">
        <v>84</v>
      </c>
      <c r="P171" s="32" t="s">
        <v>172</v>
      </c>
      <c r="Q171" s="44">
        <v>84</v>
      </c>
      <c r="R171" s="15">
        <v>200</v>
      </c>
      <c r="V171" s="17">
        <f>L171</f>
        <v>90297.60000000002</v>
      </c>
      <c r="W171" s="21">
        <v>5</v>
      </c>
      <c r="X171" s="21">
        <f>(X167*(1+0.6)+(16.8-4))</f>
        <v>142.06400000000002</v>
      </c>
      <c r="Y171" s="21">
        <f>(Y167*(1+0.6)+(16.8-4))</f>
        <v>152.30400000000003</v>
      </c>
      <c r="Z171" s="21">
        <f>(Z167*(1+0.6)+(16.8-4))</f>
        <v>162.54400000000001</v>
      </c>
      <c r="AA171" s="21">
        <f>(AA167*(1+0.6)+(16.8-4))</f>
        <v>190.70400000000004</v>
      </c>
      <c r="AB171" s="26">
        <f t="shared" ref="AB171:AB195" si="64">W171+(X171-V171-W171)*0.3</f>
        <v>-27043.160800000005</v>
      </c>
      <c r="AC171" s="27">
        <f t="shared" ref="AC171:AC195" si="65">(X171-V171-W171)*0.7</f>
        <v>-63112.375200000009</v>
      </c>
      <c r="AD171" s="26">
        <f t="shared" ref="AD171:AD195" si="66">W171+(Y171-V171-W171)*0.3</f>
        <v>-27040.088800000005</v>
      </c>
      <c r="AE171" s="27">
        <f t="shared" ref="AE171:AE195" si="67">(Y171-V171-W171)*0.7</f>
        <v>-63105.207200000004</v>
      </c>
      <c r="AF171" s="26">
        <f t="shared" ref="AF171:AF195" si="68">W171+(Z171-V171-W171)*0.3</f>
        <v>-27037.016800000009</v>
      </c>
      <c r="AG171" s="27">
        <f t="shared" ref="AG171:AG195" si="69">(Z171-V171-W171)*0.7</f>
        <v>-63098.039200000014</v>
      </c>
      <c r="AH171" s="26">
        <f t="shared" ref="AH171:AH195" si="70">W171+(AA171-V171-W171)*0.3</f>
        <v>-27028.568800000005</v>
      </c>
      <c r="AI171" s="27">
        <f t="shared" ref="AI171:AI195" si="71">(AA171-V171-W171)*0.7</f>
        <v>-63078.327200000014</v>
      </c>
      <c r="AJ171" s="28" t="s">
        <v>45</v>
      </c>
    </row>
    <row r="172" spans="1:36" ht="14.25" customHeight="1">
      <c r="A172" s="15" t="s">
        <v>176</v>
      </c>
      <c r="B172" s="35">
        <v>0.05</v>
      </c>
      <c r="C172" s="17" t="s">
        <v>54</v>
      </c>
      <c r="D172" s="15" t="s">
        <v>41</v>
      </c>
      <c r="E172" s="38" t="s">
        <v>55</v>
      </c>
      <c r="F172" s="15">
        <v>30</v>
      </c>
      <c r="G172" s="19">
        <v>2</v>
      </c>
      <c r="H172" s="19">
        <f t="shared" si="63"/>
        <v>60</v>
      </c>
      <c r="I172" s="38" t="s">
        <v>56</v>
      </c>
      <c r="J172" s="32"/>
      <c r="K172" s="32"/>
      <c r="L172" s="39">
        <f>L171+1.86</f>
        <v>90299.460000000021</v>
      </c>
      <c r="M172" s="32" t="s">
        <v>145</v>
      </c>
      <c r="N172" s="15">
        <v>90</v>
      </c>
      <c r="O172" s="44">
        <v>84</v>
      </c>
      <c r="P172" s="32" t="s">
        <v>146</v>
      </c>
      <c r="Q172" s="44">
        <v>84</v>
      </c>
      <c r="R172" s="15">
        <v>90</v>
      </c>
      <c r="S172" s="32" t="s">
        <v>172</v>
      </c>
      <c r="T172" s="15">
        <v>90</v>
      </c>
      <c r="U172" s="44">
        <v>84</v>
      </c>
      <c r="V172" s="21">
        <v>4</v>
      </c>
      <c r="W172" s="21">
        <v>5</v>
      </c>
      <c r="X172" s="21">
        <f t="shared" ref="X172:AA175" si="72">X171*1.6</f>
        <v>227.30240000000003</v>
      </c>
      <c r="Y172" s="21">
        <f t="shared" si="72"/>
        <v>243.68640000000005</v>
      </c>
      <c r="Z172" s="21">
        <f t="shared" si="72"/>
        <v>260.07040000000001</v>
      </c>
      <c r="AA172" s="21">
        <f t="shared" si="72"/>
        <v>305.12640000000005</v>
      </c>
      <c r="AB172" s="26">
        <f t="shared" si="64"/>
        <v>70.49072000000001</v>
      </c>
      <c r="AC172" s="27">
        <f t="shared" si="65"/>
        <v>152.81168000000002</v>
      </c>
      <c r="AD172" s="26">
        <f t="shared" si="66"/>
        <v>75.405920000000009</v>
      </c>
      <c r="AE172" s="27">
        <f t="shared" si="67"/>
        <v>164.28048000000001</v>
      </c>
      <c r="AF172" s="26">
        <f t="shared" si="68"/>
        <v>80.321119999999993</v>
      </c>
      <c r="AG172" s="27">
        <f t="shared" si="69"/>
        <v>175.74928</v>
      </c>
      <c r="AH172" s="26">
        <f t="shared" si="70"/>
        <v>93.837920000000011</v>
      </c>
      <c r="AI172" s="27">
        <f t="shared" si="71"/>
        <v>207.28848000000002</v>
      </c>
      <c r="AJ172" s="28" t="s">
        <v>45</v>
      </c>
    </row>
    <row r="173" spans="1:36" ht="14.25" customHeight="1">
      <c r="A173" s="15" t="s">
        <v>177</v>
      </c>
      <c r="B173" s="35">
        <v>0.05</v>
      </c>
      <c r="C173" s="17" t="s">
        <v>54</v>
      </c>
      <c r="D173" s="15" t="s">
        <v>41</v>
      </c>
      <c r="E173" s="38" t="s">
        <v>156</v>
      </c>
      <c r="F173" s="15">
        <v>100</v>
      </c>
      <c r="G173" s="19">
        <v>2</v>
      </c>
      <c r="H173" s="19">
        <f t="shared" si="63"/>
        <v>200</v>
      </c>
      <c r="I173" s="38" t="s">
        <v>56</v>
      </c>
      <c r="J173" s="32"/>
      <c r="K173" s="32"/>
      <c r="L173" s="39">
        <f>L172*2</f>
        <v>180598.92000000004</v>
      </c>
      <c r="M173" s="32" t="s">
        <v>145</v>
      </c>
      <c r="N173" s="15">
        <v>200</v>
      </c>
      <c r="O173" s="44">
        <v>84</v>
      </c>
      <c r="P173" s="32" t="s">
        <v>146</v>
      </c>
      <c r="Q173" s="44">
        <v>84</v>
      </c>
      <c r="R173" s="15">
        <v>200</v>
      </c>
      <c r="S173" s="32" t="s">
        <v>172</v>
      </c>
      <c r="T173" s="15">
        <v>200</v>
      </c>
      <c r="U173" s="44">
        <v>84</v>
      </c>
      <c r="V173" s="21">
        <v>4</v>
      </c>
      <c r="W173" s="21">
        <v>5</v>
      </c>
      <c r="X173" s="21">
        <f t="shared" si="72"/>
        <v>363.68384000000009</v>
      </c>
      <c r="Y173" s="21">
        <f t="shared" si="72"/>
        <v>389.8982400000001</v>
      </c>
      <c r="Z173" s="21">
        <f t="shared" si="72"/>
        <v>416.11264000000006</v>
      </c>
      <c r="AA173" s="21">
        <f t="shared" si="72"/>
        <v>488.20224000000007</v>
      </c>
      <c r="AB173" s="26">
        <f t="shared" si="64"/>
        <v>111.40515200000003</v>
      </c>
      <c r="AC173" s="27">
        <f t="shared" si="65"/>
        <v>248.27868800000005</v>
      </c>
      <c r="AD173" s="26">
        <f t="shared" si="66"/>
        <v>119.26947200000002</v>
      </c>
      <c r="AE173" s="27">
        <f t="shared" si="67"/>
        <v>266.62876800000004</v>
      </c>
      <c r="AF173" s="26">
        <f t="shared" si="68"/>
        <v>127.13379200000001</v>
      </c>
      <c r="AG173" s="27">
        <f t="shared" si="69"/>
        <v>284.97884800000003</v>
      </c>
      <c r="AH173" s="26">
        <f t="shared" si="70"/>
        <v>148.76067200000003</v>
      </c>
      <c r="AI173" s="27">
        <f t="shared" si="71"/>
        <v>335.44156800000002</v>
      </c>
      <c r="AJ173" s="28" t="s">
        <v>45</v>
      </c>
    </row>
    <row r="174" spans="1:36" ht="14.25" customHeight="1">
      <c r="A174" s="15" t="s">
        <v>178</v>
      </c>
      <c r="B174" s="35">
        <v>1</v>
      </c>
      <c r="C174" s="17" t="s">
        <v>54</v>
      </c>
      <c r="D174" s="15" t="s">
        <v>41</v>
      </c>
      <c r="E174" s="38" t="s">
        <v>55</v>
      </c>
      <c r="F174" s="15">
        <v>15</v>
      </c>
      <c r="G174" s="19">
        <v>2</v>
      </c>
      <c r="H174" s="19">
        <f t="shared" si="63"/>
        <v>30</v>
      </c>
      <c r="I174" s="38" t="s">
        <v>56</v>
      </c>
      <c r="J174" s="32"/>
      <c r="K174" s="32"/>
      <c r="L174" s="39">
        <f>L173+1.46</f>
        <v>180600.38000000003</v>
      </c>
      <c r="M174" s="32" t="s">
        <v>145</v>
      </c>
      <c r="N174" s="15">
        <v>45</v>
      </c>
      <c r="O174" s="44">
        <v>84</v>
      </c>
      <c r="P174" s="32" t="s">
        <v>172</v>
      </c>
      <c r="Q174" s="44">
        <v>84</v>
      </c>
      <c r="R174" s="15">
        <v>45</v>
      </c>
      <c r="U174" s="21"/>
      <c r="V174" s="21">
        <v>4</v>
      </c>
      <c r="W174" s="21">
        <v>5</v>
      </c>
      <c r="X174" s="21">
        <f t="shared" si="72"/>
        <v>581.89414400000021</v>
      </c>
      <c r="Y174" s="21">
        <f t="shared" si="72"/>
        <v>623.83718400000021</v>
      </c>
      <c r="Z174" s="21">
        <f t="shared" si="72"/>
        <v>665.78022400000009</v>
      </c>
      <c r="AA174" s="21">
        <f t="shared" si="72"/>
        <v>781.12358400000016</v>
      </c>
      <c r="AB174" s="26">
        <f t="shared" si="64"/>
        <v>176.86824320000005</v>
      </c>
      <c r="AC174" s="27">
        <f t="shared" si="65"/>
        <v>401.0259008000001</v>
      </c>
      <c r="AD174" s="26">
        <f t="shared" si="66"/>
        <v>189.45115520000004</v>
      </c>
      <c r="AE174" s="27">
        <f t="shared" si="67"/>
        <v>430.38602880000013</v>
      </c>
      <c r="AF174" s="26">
        <f t="shared" si="68"/>
        <v>202.03406720000001</v>
      </c>
      <c r="AG174" s="27">
        <f t="shared" si="69"/>
        <v>459.74615680000005</v>
      </c>
      <c r="AH174" s="26">
        <f t="shared" si="70"/>
        <v>236.63707520000003</v>
      </c>
      <c r="AI174" s="27">
        <f t="shared" si="71"/>
        <v>540.48650880000002</v>
      </c>
      <c r="AJ174" s="28" t="s">
        <v>45</v>
      </c>
    </row>
    <row r="175" spans="1:36" ht="14.25" customHeight="1">
      <c r="A175" s="15" t="s">
        <v>179</v>
      </c>
      <c r="B175" s="35">
        <v>1</v>
      </c>
      <c r="C175" s="17" t="s">
        <v>54</v>
      </c>
      <c r="D175" s="15" t="s">
        <v>41</v>
      </c>
      <c r="E175" s="38" t="s">
        <v>156</v>
      </c>
      <c r="F175" s="15">
        <v>30</v>
      </c>
      <c r="G175" s="19">
        <v>2</v>
      </c>
      <c r="H175" s="19">
        <f t="shared" si="63"/>
        <v>60</v>
      </c>
      <c r="I175" s="38" t="s">
        <v>56</v>
      </c>
      <c r="J175" s="32"/>
      <c r="K175" s="32"/>
      <c r="L175" s="39">
        <f>L174+1.46</f>
        <v>180601.84000000003</v>
      </c>
      <c r="M175" s="32" t="s">
        <v>145</v>
      </c>
      <c r="N175" s="15">
        <v>90</v>
      </c>
      <c r="O175" s="44">
        <v>84</v>
      </c>
      <c r="P175" s="32" t="s">
        <v>172</v>
      </c>
      <c r="Q175" s="44">
        <v>84</v>
      </c>
      <c r="R175" s="15">
        <v>90</v>
      </c>
      <c r="U175" s="21"/>
      <c r="V175" s="21">
        <v>4</v>
      </c>
      <c r="W175" s="21">
        <v>5</v>
      </c>
      <c r="X175" s="21">
        <f t="shared" si="72"/>
        <v>931.0306304000004</v>
      </c>
      <c r="Y175" s="21">
        <f t="shared" si="72"/>
        <v>998.13949440000033</v>
      </c>
      <c r="Z175" s="21">
        <f t="shared" si="72"/>
        <v>1065.2483584000001</v>
      </c>
      <c r="AA175" s="21">
        <f t="shared" si="72"/>
        <v>1249.7977344000003</v>
      </c>
      <c r="AB175" s="26">
        <f t="shared" si="64"/>
        <v>281.60918912000011</v>
      </c>
      <c r="AC175" s="27">
        <f t="shared" si="65"/>
        <v>645.42144128000029</v>
      </c>
      <c r="AD175" s="26">
        <f t="shared" si="66"/>
        <v>301.74184832000009</v>
      </c>
      <c r="AE175" s="27">
        <f t="shared" si="67"/>
        <v>692.39764608000019</v>
      </c>
      <c r="AF175" s="26">
        <f t="shared" si="68"/>
        <v>321.87450752000001</v>
      </c>
      <c r="AG175" s="27">
        <f t="shared" si="69"/>
        <v>739.37385088000008</v>
      </c>
      <c r="AH175" s="26">
        <f t="shared" si="70"/>
        <v>377.2393203200001</v>
      </c>
      <c r="AI175" s="27">
        <f t="shared" si="71"/>
        <v>868.55841408000015</v>
      </c>
      <c r="AJ175" s="28" t="s">
        <v>45</v>
      </c>
    </row>
    <row r="176" spans="1:36" ht="14.25" customHeight="1">
      <c r="A176" s="54" t="s">
        <v>180</v>
      </c>
      <c r="B176" s="35" t="s">
        <v>181</v>
      </c>
      <c r="C176" s="17" t="s">
        <v>54</v>
      </c>
      <c r="D176" s="15" t="s">
        <v>41</v>
      </c>
      <c r="E176" s="38" t="s">
        <v>55</v>
      </c>
      <c r="F176" s="15">
        <v>60</v>
      </c>
      <c r="G176" s="19">
        <v>2</v>
      </c>
      <c r="H176" s="19">
        <f t="shared" si="63"/>
        <v>120</v>
      </c>
      <c r="I176" s="38" t="s">
        <v>56</v>
      </c>
      <c r="J176" s="15"/>
      <c r="K176" s="15"/>
      <c r="L176" s="50">
        <f>11.8*2</f>
        <v>23.6</v>
      </c>
      <c r="M176" s="15" t="s">
        <v>183</v>
      </c>
      <c r="N176" s="15">
        <v>120</v>
      </c>
      <c r="O176" s="44">
        <v>84</v>
      </c>
      <c r="P176" s="32"/>
      <c r="V176" s="17">
        <f>L176</f>
        <v>23.6</v>
      </c>
      <c r="W176" s="22">
        <v>5</v>
      </c>
      <c r="X176" s="21">
        <f>20*(1+0.6+0.4+0.3)+$V$290-4</f>
        <v>46</v>
      </c>
      <c r="Y176" s="21">
        <f>24*(1+0.6+0.4+0.3)+$V$290-4</f>
        <v>55.199999999999996</v>
      </c>
      <c r="Z176" s="21">
        <f>28*(1+0.6+0.4+0.3)+$V$290-4</f>
        <v>64.399999999999991</v>
      </c>
      <c r="AA176" s="21">
        <f>39*(1+0.6+0.4+0.3)+$V$290-4</f>
        <v>89.699999999999989</v>
      </c>
      <c r="AB176" s="26">
        <f t="shared" si="64"/>
        <v>10.219999999999999</v>
      </c>
      <c r="AC176" s="27">
        <f t="shared" si="65"/>
        <v>12.179999999999998</v>
      </c>
      <c r="AD176" s="26">
        <f t="shared" si="66"/>
        <v>12.979999999999997</v>
      </c>
      <c r="AE176" s="27">
        <f t="shared" si="67"/>
        <v>18.619999999999994</v>
      </c>
      <c r="AF176" s="26">
        <f t="shared" si="68"/>
        <v>15.739999999999997</v>
      </c>
      <c r="AG176" s="27">
        <f t="shared" si="69"/>
        <v>25.059999999999992</v>
      </c>
      <c r="AH176" s="26">
        <f t="shared" si="70"/>
        <v>23.33</v>
      </c>
      <c r="AI176" s="27">
        <f t="shared" si="71"/>
        <v>42.769999999999996</v>
      </c>
      <c r="AJ176" s="28" t="s">
        <v>45</v>
      </c>
    </row>
    <row r="177" spans="1:42" ht="14.25" customHeight="1">
      <c r="A177" s="15" t="s">
        <v>184</v>
      </c>
      <c r="B177" s="35">
        <v>15</v>
      </c>
      <c r="C177" s="17" t="s">
        <v>54</v>
      </c>
      <c r="D177" s="15" t="s">
        <v>41</v>
      </c>
      <c r="E177" s="38" t="s">
        <v>135</v>
      </c>
      <c r="F177" s="15">
        <v>30</v>
      </c>
      <c r="G177" s="19">
        <v>2</v>
      </c>
      <c r="H177" s="19">
        <f t="shared" si="63"/>
        <v>60</v>
      </c>
      <c r="I177" s="38" t="s">
        <v>56</v>
      </c>
      <c r="J177" s="32"/>
      <c r="K177" s="32"/>
      <c r="L177" s="37">
        <f>L176+7.48</f>
        <v>31.080000000000002</v>
      </c>
      <c r="M177" s="32" t="s">
        <v>185</v>
      </c>
      <c r="N177" s="15">
        <v>90</v>
      </c>
      <c r="O177" s="44">
        <v>84</v>
      </c>
      <c r="P177" s="32" t="s">
        <v>186</v>
      </c>
      <c r="Q177" s="44">
        <v>84</v>
      </c>
      <c r="R177" s="15">
        <v>90</v>
      </c>
      <c r="V177" s="17">
        <f>L177</f>
        <v>31.080000000000002</v>
      </c>
      <c r="W177" s="21">
        <v>5</v>
      </c>
      <c r="X177" s="21">
        <f>(20*(1+0.6))+($V$292-4)</f>
        <v>32</v>
      </c>
      <c r="Y177" s="21">
        <f>(24*(1+0.6))+($V$292-4)</f>
        <v>38.400000000000006</v>
      </c>
      <c r="Z177" s="21">
        <f>(28*(1+0.6))+($V$292-4)</f>
        <v>44.800000000000004</v>
      </c>
      <c r="AA177" s="21">
        <f>(39*(1+0.6))+($V$292-4)</f>
        <v>62.400000000000006</v>
      </c>
      <c r="AB177" s="26">
        <f t="shared" si="64"/>
        <v>3.7759999999999998</v>
      </c>
      <c r="AC177" s="27">
        <f t="shared" si="65"/>
        <v>-2.8560000000000012</v>
      </c>
      <c r="AD177" s="26">
        <f t="shared" si="66"/>
        <v>5.6960000000000015</v>
      </c>
      <c r="AE177" s="27">
        <f t="shared" si="67"/>
        <v>1.6240000000000026</v>
      </c>
      <c r="AF177" s="26">
        <f t="shared" si="68"/>
        <v>7.6160000000000005</v>
      </c>
      <c r="AG177" s="27">
        <f t="shared" si="69"/>
        <v>6.104000000000001</v>
      </c>
      <c r="AH177" s="26">
        <f t="shared" si="70"/>
        <v>12.896000000000001</v>
      </c>
      <c r="AI177" s="27">
        <f t="shared" si="71"/>
        <v>18.424000000000003</v>
      </c>
      <c r="AJ177" s="28" t="s">
        <v>45</v>
      </c>
    </row>
    <row r="178" spans="1:42" ht="14.25" customHeight="1">
      <c r="A178" s="15" t="s">
        <v>187</v>
      </c>
      <c r="B178" s="35">
        <v>0.75</v>
      </c>
      <c r="C178" s="17" t="s">
        <v>54</v>
      </c>
      <c r="D178" s="15" t="s">
        <v>41</v>
      </c>
      <c r="E178" s="38" t="s">
        <v>135</v>
      </c>
      <c r="F178" s="15">
        <v>40</v>
      </c>
      <c r="G178" s="19">
        <v>2</v>
      </c>
      <c r="H178" s="19">
        <f t="shared" si="63"/>
        <v>80</v>
      </c>
      <c r="I178" s="38" t="s">
        <v>56</v>
      </c>
      <c r="J178" s="32"/>
      <c r="K178" s="32"/>
      <c r="L178" s="39">
        <f>L177+3.2</f>
        <v>34.28</v>
      </c>
      <c r="M178" s="32" t="s">
        <v>185</v>
      </c>
      <c r="N178" s="17">
        <v>120</v>
      </c>
      <c r="O178" s="25">
        <v>84</v>
      </c>
      <c r="Q178" s="44"/>
      <c r="V178" s="17">
        <v>4</v>
      </c>
      <c r="W178" s="21">
        <v>5</v>
      </c>
      <c r="X178" s="21">
        <f>X177*1.6</f>
        <v>51.2</v>
      </c>
      <c r="Y178" s="21">
        <f>Y177*1.6</f>
        <v>61.440000000000012</v>
      </c>
      <c r="Z178" s="21">
        <f>Z177*1.6</f>
        <v>71.680000000000007</v>
      </c>
      <c r="AA178" s="21">
        <f>AA177*1.6</f>
        <v>99.840000000000018</v>
      </c>
      <c r="AB178" s="26">
        <f t="shared" si="64"/>
        <v>17.66</v>
      </c>
      <c r="AC178" s="27">
        <f t="shared" si="65"/>
        <v>29.54</v>
      </c>
      <c r="AD178" s="26">
        <f t="shared" si="66"/>
        <v>20.732000000000003</v>
      </c>
      <c r="AE178" s="27">
        <f t="shared" si="67"/>
        <v>36.708000000000006</v>
      </c>
      <c r="AF178" s="26">
        <f t="shared" si="68"/>
        <v>23.804000000000002</v>
      </c>
      <c r="AG178" s="27">
        <f t="shared" si="69"/>
        <v>43.876000000000005</v>
      </c>
      <c r="AH178" s="26">
        <f t="shared" si="70"/>
        <v>32.25200000000001</v>
      </c>
      <c r="AI178" s="27">
        <f t="shared" si="71"/>
        <v>63.588000000000008</v>
      </c>
      <c r="AJ178" s="28" t="s">
        <v>45</v>
      </c>
    </row>
    <row r="179" spans="1:42" ht="14.25" customHeight="1">
      <c r="A179" s="15" t="s">
        <v>188</v>
      </c>
      <c r="B179" s="35">
        <v>0.1</v>
      </c>
      <c r="C179" s="17" t="s">
        <v>54</v>
      </c>
      <c r="D179" s="15" t="s">
        <v>41</v>
      </c>
      <c r="E179" s="38" t="s">
        <v>135</v>
      </c>
      <c r="F179" s="15">
        <v>45</v>
      </c>
      <c r="G179" s="19">
        <v>2</v>
      </c>
      <c r="H179" s="19">
        <f t="shared" si="63"/>
        <v>90</v>
      </c>
      <c r="I179" s="38" t="s">
        <v>56</v>
      </c>
      <c r="J179" s="32"/>
      <c r="K179" s="32"/>
      <c r="L179" s="37">
        <v>13.4</v>
      </c>
      <c r="M179" s="32" t="s">
        <v>186</v>
      </c>
      <c r="N179" s="17">
        <v>135</v>
      </c>
      <c r="O179" s="25">
        <v>112</v>
      </c>
      <c r="V179" s="17">
        <f t="shared" ref="V179:V185" si="73">L179</f>
        <v>13.4</v>
      </c>
      <c r="W179" s="21">
        <v>5</v>
      </c>
      <c r="X179" s="21">
        <f>(20*(1+0.6))+($V$298-4)</f>
        <v>36</v>
      </c>
      <c r="Y179" s="21">
        <f>(24*(1+0.6))+($V$964-4)</f>
        <v>34.400000000000006</v>
      </c>
      <c r="Z179" s="21">
        <f>(28*(1+0.6))+($V$298-4)</f>
        <v>48.800000000000004</v>
      </c>
      <c r="AA179" s="21">
        <f>(39*(1+0.6))+($V$298-4)</f>
        <v>66.400000000000006</v>
      </c>
      <c r="AB179" s="26">
        <f t="shared" si="64"/>
        <v>10.280000000000001</v>
      </c>
      <c r="AC179" s="27">
        <f t="shared" si="65"/>
        <v>12.32</v>
      </c>
      <c r="AD179" s="26">
        <f t="shared" si="66"/>
        <v>9.8000000000000007</v>
      </c>
      <c r="AE179" s="27">
        <f t="shared" si="67"/>
        <v>11.200000000000005</v>
      </c>
      <c r="AF179" s="26">
        <f t="shared" si="68"/>
        <v>14.120000000000001</v>
      </c>
      <c r="AG179" s="27">
        <f t="shared" si="69"/>
        <v>21.28</v>
      </c>
      <c r="AH179" s="26">
        <f t="shared" si="70"/>
        <v>19.400000000000002</v>
      </c>
      <c r="AI179" s="27">
        <f t="shared" si="71"/>
        <v>33.6</v>
      </c>
      <c r="AJ179" s="28" t="s">
        <v>45</v>
      </c>
      <c r="AK179" s="15" t="s">
        <v>189</v>
      </c>
      <c r="AL179" s="15" t="s">
        <v>190</v>
      </c>
    </row>
    <row r="180" spans="1:42" ht="14.25" customHeight="1">
      <c r="A180" s="15" t="s">
        <v>191</v>
      </c>
      <c r="B180" s="35">
        <v>0.1</v>
      </c>
      <c r="C180" s="17" t="s">
        <v>54</v>
      </c>
      <c r="D180" s="15" t="s">
        <v>41</v>
      </c>
      <c r="E180" s="38" t="s">
        <v>55</v>
      </c>
      <c r="F180" s="15">
        <v>45</v>
      </c>
      <c r="G180" s="19">
        <v>2</v>
      </c>
      <c r="H180" s="19">
        <f t="shared" si="63"/>
        <v>90</v>
      </c>
      <c r="I180" s="38" t="s">
        <v>56</v>
      </c>
      <c r="J180" s="32"/>
      <c r="K180" s="32"/>
      <c r="L180" s="37">
        <v>13.73</v>
      </c>
      <c r="M180" s="32" t="s">
        <v>186</v>
      </c>
      <c r="N180" s="17">
        <v>135</v>
      </c>
      <c r="O180" s="25">
        <v>112</v>
      </c>
      <c r="V180" s="17">
        <f t="shared" si="73"/>
        <v>13.73</v>
      </c>
      <c r="W180" s="21">
        <v>5</v>
      </c>
      <c r="X180" s="21">
        <f>(20*(1+0.6))+($V$301-4)</f>
        <v>36</v>
      </c>
      <c r="Y180" s="21">
        <f>(24*(1+0.6))+($V$301-4)</f>
        <v>42.400000000000006</v>
      </c>
      <c r="Z180" s="21">
        <f>(28*(1+0.6))+($V$301-4)</f>
        <v>48.800000000000004</v>
      </c>
      <c r="AA180" s="21">
        <f>(39*(1+0.6))+($V$301-4)</f>
        <v>66.400000000000006</v>
      </c>
      <c r="AB180" s="26">
        <f t="shared" si="64"/>
        <v>10.181000000000001</v>
      </c>
      <c r="AC180" s="27">
        <f t="shared" si="65"/>
        <v>12.088999999999999</v>
      </c>
      <c r="AD180" s="26">
        <f t="shared" si="66"/>
        <v>12.101000000000003</v>
      </c>
      <c r="AE180" s="27">
        <f t="shared" si="67"/>
        <v>16.569000000000003</v>
      </c>
      <c r="AF180" s="26">
        <f t="shared" si="68"/>
        <v>14.021000000000003</v>
      </c>
      <c r="AG180" s="27">
        <f t="shared" si="69"/>
        <v>21.049000000000003</v>
      </c>
      <c r="AH180" s="26">
        <f t="shared" si="70"/>
        <v>19.301000000000002</v>
      </c>
      <c r="AI180" s="27">
        <f t="shared" si="71"/>
        <v>33.369</v>
      </c>
      <c r="AJ180" s="28" t="s">
        <v>45</v>
      </c>
      <c r="AK180" s="15" t="s">
        <v>189</v>
      </c>
      <c r="AL180" s="15" t="s">
        <v>190</v>
      </c>
    </row>
    <row r="181" spans="1:42" ht="14.25" customHeight="1">
      <c r="A181" s="15" t="s">
        <v>192</v>
      </c>
      <c r="B181" s="35" t="s">
        <v>193</v>
      </c>
      <c r="C181" s="17" t="s">
        <v>54</v>
      </c>
      <c r="D181" s="15" t="s">
        <v>41</v>
      </c>
      <c r="E181" s="38" t="s">
        <v>135</v>
      </c>
      <c r="F181" s="15">
        <v>45</v>
      </c>
      <c r="G181" s="19">
        <v>2</v>
      </c>
      <c r="H181" s="19">
        <f t="shared" si="63"/>
        <v>90</v>
      </c>
      <c r="I181" s="38" t="s">
        <v>56</v>
      </c>
      <c r="J181" s="32"/>
      <c r="K181" s="32"/>
      <c r="L181" s="37">
        <f>L180+19.53</f>
        <v>33.260000000000005</v>
      </c>
      <c r="M181" s="32" t="s">
        <v>186</v>
      </c>
      <c r="N181" s="17">
        <v>135</v>
      </c>
      <c r="O181" s="25">
        <v>112</v>
      </c>
      <c r="V181" s="17">
        <f t="shared" si="73"/>
        <v>33.260000000000005</v>
      </c>
      <c r="W181" s="21">
        <v>5</v>
      </c>
      <c r="X181" s="21">
        <f>(20*(1+0.6))+($V$304-4)</f>
        <v>86.8</v>
      </c>
      <c r="Y181" s="21">
        <f>(24*(1+0.6))+($V$304-4)</f>
        <v>93.2</v>
      </c>
      <c r="Z181" s="21">
        <f>(28*(1+0.6))+($V$304-4)</f>
        <v>99.6</v>
      </c>
      <c r="AA181" s="21">
        <f>(39*(1+0.6))+($V$304-4)</f>
        <v>117.2</v>
      </c>
      <c r="AB181" s="26">
        <f t="shared" si="64"/>
        <v>19.561999999999998</v>
      </c>
      <c r="AC181" s="27">
        <f t="shared" si="65"/>
        <v>33.977999999999994</v>
      </c>
      <c r="AD181" s="26">
        <f t="shared" si="66"/>
        <v>21.481999999999999</v>
      </c>
      <c r="AE181" s="27">
        <f t="shared" si="67"/>
        <v>38.457999999999998</v>
      </c>
      <c r="AF181" s="26">
        <f t="shared" si="68"/>
        <v>23.401999999999997</v>
      </c>
      <c r="AG181" s="27">
        <f t="shared" si="69"/>
        <v>42.937999999999988</v>
      </c>
      <c r="AH181" s="26">
        <f t="shared" si="70"/>
        <v>28.681999999999999</v>
      </c>
      <c r="AI181" s="27">
        <f t="shared" si="71"/>
        <v>55.257999999999996</v>
      </c>
      <c r="AJ181" s="28" t="s">
        <v>45</v>
      </c>
      <c r="AK181" s="15" t="s">
        <v>189</v>
      </c>
      <c r="AL181" s="15" t="s">
        <v>190</v>
      </c>
    </row>
    <row r="182" spans="1:42" ht="14.25" customHeight="1">
      <c r="A182" s="15" t="s">
        <v>192</v>
      </c>
      <c r="B182" s="35" t="s">
        <v>194</v>
      </c>
      <c r="C182" s="17" t="s">
        <v>54</v>
      </c>
      <c r="D182" s="15" t="s">
        <v>41</v>
      </c>
      <c r="E182" s="38" t="s">
        <v>135</v>
      </c>
      <c r="F182" s="15">
        <v>45</v>
      </c>
      <c r="G182" s="19">
        <v>2</v>
      </c>
      <c r="H182" s="19">
        <f t="shared" si="63"/>
        <v>90</v>
      </c>
      <c r="I182" s="38" t="s">
        <v>56</v>
      </c>
      <c r="J182" s="32"/>
      <c r="K182" s="32"/>
      <c r="L182" s="37">
        <f>L181+19.53</f>
        <v>52.790000000000006</v>
      </c>
      <c r="M182" s="32" t="s">
        <v>186</v>
      </c>
      <c r="N182" s="17">
        <v>135</v>
      </c>
      <c r="O182" s="25">
        <v>112</v>
      </c>
      <c r="V182" s="17">
        <f t="shared" si="73"/>
        <v>52.790000000000006</v>
      </c>
      <c r="W182" s="21">
        <v>5</v>
      </c>
      <c r="X182" s="21">
        <f>(20*(1+0.6))+($V$307-4)</f>
        <v>263.2</v>
      </c>
      <c r="Y182" s="21">
        <f>(24*(1+0.6))+($V$307-4)</f>
        <v>269.60000000000002</v>
      </c>
      <c r="Z182" s="21">
        <f>(28*(1+0.6))+($V$307-4)</f>
        <v>276</v>
      </c>
      <c r="AA182" s="21">
        <f>(39*(1+0.6))+($V$307-4)</f>
        <v>293.60000000000002</v>
      </c>
      <c r="AB182" s="26">
        <f t="shared" si="64"/>
        <v>66.62299999999999</v>
      </c>
      <c r="AC182" s="27">
        <f t="shared" si="65"/>
        <v>143.78699999999998</v>
      </c>
      <c r="AD182" s="26">
        <f t="shared" si="66"/>
        <v>68.543000000000006</v>
      </c>
      <c r="AE182" s="27">
        <f t="shared" si="67"/>
        <v>148.267</v>
      </c>
      <c r="AF182" s="26">
        <f t="shared" si="68"/>
        <v>70.462999999999994</v>
      </c>
      <c r="AG182" s="27">
        <f t="shared" si="69"/>
        <v>152.74699999999999</v>
      </c>
      <c r="AH182" s="26">
        <f t="shared" si="70"/>
        <v>75.742999999999995</v>
      </c>
      <c r="AI182" s="27">
        <f t="shared" si="71"/>
        <v>165.06699999999998</v>
      </c>
      <c r="AJ182" s="28" t="s">
        <v>45</v>
      </c>
      <c r="AK182" s="15" t="s">
        <v>189</v>
      </c>
      <c r="AL182" s="15" t="s">
        <v>190</v>
      </c>
    </row>
    <row r="183" spans="1:42" ht="14.25" customHeight="1">
      <c r="A183" s="15" t="s">
        <v>195</v>
      </c>
      <c r="B183" s="41">
        <v>45294</v>
      </c>
      <c r="C183" s="17" t="s">
        <v>54</v>
      </c>
      <c r="D183" s="15" t="s">
        <v>41</v>
      </c>
      <c r="E183" s="38" t="s">
        <v>135</v>
      </c>
      <c r="F183" s="15">
        <v>30</v>
      </c>
      <c r="G183" s="19">
        <v>2</v>
      </c>
      <c r="H183" s="19">
        <f t="shared" si="63"/>
        <v>60</v>
      </c>
      <c r="I183" s="38" t="s">
        <v>56</v>
      </c>
      <c r="J183" s="32"/>
      <c r="K183" s="32"/>
      <c r="L183" s="37">
        <f>L182+13.14</f>
        <v>65.930000000000007</v>
      </c>
      <c r="M183" s="32" t="s">
        <v>186</v>
      </c>
      <c r="N183" s="17">
        <v>90</v>
      </c>
      <c r="O183" s="25">
        <v>84</v>
      </c>
      <c r="V183" s="17">
        <f t="shared" si="73"/>
        <v>65.930000000000007</v>
      </c>
      <c r="W183" s="21">
        <v>5</v>
      </c>
      <c r="X183" s="21">
        <f>(20*(1+0.6))+($V$310-4)</f>
        <v>32</v>
      </c>
      <c r="Y183" s="21">
        <f>(24*(1+0.6))+($V$310-4)</f>
        <v>38.400000000000006</v>
      </c>
      <c r="Z183" s="21">
        <f>(28*(1+0.6))+($V$310-4)</f>
        <v>44.800000000000004</v>
      </c>
      <c r="AA183" s="21">
        <f>(39*(1+0.6))+($V$310-4)</f>
        <v>62.400000000000006</v>
      </c>
      <c r="AB183" s="26">
        <f t="shared" si="64"/>
        <v>-6.679000000000002</v>
      </c>
      <c r="AC183" s="27">
        <f t="shared" si="65"/>
        <v>-27.251000000000005</v>
      </c>
      <c r="AD183" s="26">
        <f t="shared" si="66"/>
        <v>-4.7590000000000003</v>
      </c>
      <c r="AE183" s="27">
        <f t="shared" si="67"/>
        <v>-22.771000000000001</v>
      </c>
      <c r="AF183" s="26">
        <f t="shared" si="68"/>
        <v>-2.8390000000000004</v>
      </c>
      <c r="AG183" s="27">
        <f t="shared" si="69"/>
        <v>-18.291</v>
      </c>
      <c r="AH183" s="26">
        <f t="shared" si="70"/>
        <v>2.4409999999999998</v>
      </c>
      <c r="AI183" s="27">
        <f t="shared" si="71"/>
        <v>-5.9710000000000001</v>
      </c>
      <c r="AJ183" s="28" t="s">
        <v>45</v>
      </c>
      <c r="AP183" s="15"/>
    </row>
    <row r="184" spans="1:42" ht="14.25" customHeight="1">
      <c r="A184" s="15" t="s">
        <v>195</v>
      </c>
      <c r="B184" s="41">
        <v>45296</v>
      </c>
      <c r="C184" s="17" t="s">
        <v>54</v>
      </c>
      <c r="D184" s="15" t="s">
        <v>41</v>
      </c>
      <c r="E184" s="38" t="s">
        <v>135</v>
      </c>
      <c r="F184" s="15">
        <v>30</v>
      </c>
      <c r="G184" s="19">
        <v>2</v>
      </c>
      <c r="H184" s="19">
        <f t="shared" si="63"/>
        <v>60</v>
      </c>
      <c r="I184" s="38" t="s">
        <v>56</v>
      </c>
      <c r="J184" s="32"/>
      <c r="K184" s="32"/>
      <c r="L184" s="37">
        <f>L183+8.92</f>
        <v>74.850000000000009</v>
      </c>
      <c r="M184" s="32" t="s">
        <v>186</v>
      </c>
      <c r="N184" s="17">
        <v>90</v>
      </c>
      <c r="O184" s="25">
        <v>84</v>
      </c>
      <c r="V184" s="17">
        <f t="shared" si="73"/>
        <v>74.850000000000009</v>
      </c>
      <c r="W184" s="21">
        <v>5</v>
      </c>
      <c r="X184" s="21">
        <f>(20*(1+0.6))+($V$313-4)</f>
        <v>32</v>
      </c>
      <c r="Y184" s="21">
        <f>(24*(1+0.6))+($V$313-4)</f>
        <v>38.400000000000006</v>
      </c>
      <c r="Z184" s="21">
        <f>(28*(1+0.6))+($V$313-4)</f>
        <v>44.800000000000004</v>
      </c>
      <c r="AA184" s="21">
        <f>(39*(1+0.6))+($V$313-4)</f>
        <v>62.400000000000006</v>
      </c>
      <c r="AB184" s="26">
        <f t="shared" si="64"/>
        <v>-9.3550000000000022</v>
      </c>
      <c r="AC184" s="27">
        <f t="shared" si="65"/>
        <v>-33.495000000000005</v>
      </c>
      <c r="AD184" s="26">
        <f t="shared" si="66"/>
        <v>-7.4350000000000005</v>
      </c>
      <c r="AE184" s="27">
        <f t="shared" si="67"/>
        <v>-29.015000000000001</v>
      </c>
      <c r="AF184" s="26">
        <f t="shared" si="68"/>
        <v>-5.5150000000000006</v>
      </c>
      <c r="AG184" s="27">
        <f t="shared" si="69"/>
        <v>-24.535</v>
      </c>
      <c r="AH184" s="26">
        <f t="shared" si="70"/>
        <v>-0.23500000000000032</v>
      </c>
      <c r="AI184" s="27">
        <f t="shared" si="71"/>
        <v>-12.215000000000002</v>
      </c>
      <c r="AJ184" s="28" t="s">
        <v>45</v>
      </c>
      <c r="AP184" s="15"/>
    </row>
    <row r="185" spans="1:42" ht="14.25" customHeight="1">
      <c r="A185" s="15" t="s">
        <v>196</v>
      </c>
      <c r="B185" s="35" t="s">
        <v>197</v>
      </c>
      <c r="C185" s="17" t="s">
        <v>121</v>
      </c>
      <c r="D185" s="15" t="s">
        <v>41</v>
      </c>
      <c r="E185" s="38" t="s">
        <v>148</v>
      </c>
      <c r="F185" s="15">
        <v>30</v>
      </c>
      <c r="G185" s="19">
        <v>2</v>
      </c>
      <c r="H185" s="19">
        <f t="shared" si="63"/>
        <v>60</v>
      </c>
      <c r="I185" s="38" t="s">
        <v>56</v>
      </c>
      <c r="J185" s="32"/>
      <c r="K185" s="32"/>
      <c r="L185" s="37">
        <f>L184+7.96</f>
        <v>82.81</v>
      </c>
      <c r="M185" s="32" t="s">
        <v>186</v>
      </c>
      <c r="N185" s="17">
        <v>90</v>
      </c>
      <c r="O185" s="25">
        <v>84</v>
      </c>
      <c r="V185" s="17">
        <f t="shared" si="73"/>
        <v>82.81</v>
      </c>
      <c r="W185" s="21">
        <v>5</v>
      </c>
      <c r="X185" s="21">
        <f>(20*(1+0.6))+($V$316-4)</f>
        <v>124.48</v>
      </c>
      <c r="Y185" s="21">
        <f>(24*(1+0.6))+($V$316-4)</f>
        <v>130.88</v>
      </c>
      <c r="Z185" s="21">
        <f>(28*(1+0.6))+($V$316-4)</f>
        <v>137.28</v>
      </c>
      <c r="AA185" s="21">
        <f>(39*(1+0.6))+($V$316-4)</f>
        <v>154.88</v>
      </c>
      <c r="AB185" s="26">
        <f t="shared" si="64"/>
        <v>16.000999999999998</v>
      </c>
      <c r="AC185" s="27">
        <f t="shared" si="65"/>
        <v>25.669</v>
      </c>
      <c r="AD185" s="26">
        <f t="shared" si="66"/>
        <v>17.920999999999999</v>
      </c>
      <c r="AE185" s="27">
        <f t="shared" si="67"/>
        <v>30.148999999999994</v>
      </c>
      <c r="AF185" s="26">
        <f t="shared" si="68"/>
        <v>19.841000000000001</v>
      </c>
      <c r="AG185" s="27">
        <f t="shared" si="69"/>
        <v>34.628999999999998</v>
      </c>
      <c r="AH185" s="26">
        <f t="shared" si="70"/>
        <v>25.120999999999999</v>
      </c>
      <c r="AI185" s="27">
        <f t="shared" si="71"/>
        <v>46.948999999999991</v>
      </c>
      <c r="AJ185" s="28" t="s">
        <v>45</v>
      </c>
      <c r="AP185" s="15"/>
    </row>
    <row r="186" spans="1:42" ht="14.25" customHeight="1">
      <c r="A186" s="15" t="s">
        <v>189</v>
      </c>
      <c r="B186" s="35">
        <v>100</v>
      </c>
      <c r="C186" s="17" t="s">
        <v>40</v>
      </c>
      <c r="D186" s="15" t="s">
        <v>41</v>
      </c>
      <c r="E186" s="38" t="s">
        <v>94</v>
      </c>
      <c r="F186" s="17">
        <v>28</v>
      </c>
      <c r="G186" s="19">
        <v>2</v>
      </c>
      <c r="H186" s="19">
        <f t="shared" si="63"/>
        <v>56</v>
      </c>
      <c r="I186" s="38" t="s">
        <v>94</v>
      </c>
      <c r="J186" s="32"/>
      <c r="K186" s="32"/>
      <c r="L186" s="40">
        <f>L185+3.27</f>
        <v>86.08</v>
      </c>
      <c r="M186" s="32" t="s">
        <v>186</v>
      </c>
      <c r="N186" s="17">
        <v>84</v>
      </c>
      <c r="O186" s="25">
        <v>168</v>
      </c>
      <c r="V186" s="17">
        <v>8</v>
      </c>
      <c r="W186" s="21">
        <v>5</v>
      </c>
      <c r="X186" s="21">
        <f t="shared" ref="X186:AA187" si="74">(X185*1.6)+4</f>
        <v>203.16800000000001</v>
      </c>
      <c r="Y186" s="21">
        <f t="shared" si="74"/>
        <v>213.40800000000002</v>
      </c>
      <c r="Z186" s="21">
        <f t="shared" si="74"/>
        <v>223.64800000000002</v>
      </c>
      <c r="AA186" s="21">
        <f t="shared" si="74"/>
        <v>251.80799999999999</v>
      </c>
      <c r="AB186" s="26">
        <f t="shared" si="64"/>
        <v>62.050400000000003</v>
      </c>
      <c r="AC186" s="27">
        <f t="shared" si="65"/>
        <v>133.11760000000001</v>
      </c>
      <c r="AD186" s="26">
        <f t="shared" si="66"/>
        <v>65.122399999999999</v>
      </c>
      <c r="AE186" s="27">
        <f t="shared" si="67"/>
        <v>140.28559999999999</v>
      </c>
      <c r="AF186" s="26">
        <f t="shared" si="68"/>
        <v>68.194400000000002</v>
      </c>
      <c r="AG186" s="27">
        <f t="shared" si="69"/>
        <v>147.45359999999999</v>
      </c>
      <c r="AH186" s="26">
        <f t="shared" si="70"/>
        <v>76.642399999999995</v>
      </c>
      <c r="AI186" s="27">
        <f t="shared" si="71"/>
        <v>167.16559999999998</v>
      </c>
      <c r="AJ186" s="28" t="s">
        <v>45</v>
      </c>
      <c r="AK186" s="15" t="s">
        <v>198</v>
      </c>
      <c r="AL186" s="15" t="s">
        <v>199</v>
      </c>
      <c r="AM186" s="15" t="s">
        <v>200</v>
      </c>
      <c r="AP186" s="15"/>
    </row>
    <row r="187" spans="1:42" ht="14.25" customHeight="1">
      <c r="A187" s="15" t="s">
        <v>190</v>
      </c>
      <c r="B187" s="35">
        <v>408</v>
      </c>
      <c r="C187" s="17" t="s">
        <v>40</v>
      </c>
      <c r="D187" s="15" t="s">
        <v>41</v>
      </c>
      <c r="E187" s="38" t="s">
        <v>94</v>
      </c>
      <c r="F187" s="17">
        <v>28</v>
      </c>
      <c r="G187" s="19">
        <v>2</v>
      </c>
      <c r="H187" s="19">
        <f t="shared" si="63"/>
        <v>56</v>
      </c>
      <c r="I187" s="38" t="s">
        <v>94</v>
      </c>
      <c r="J187" s="32"/>
      <c r="K187" s="32"/>
      <c r="L187" s="40">
        <f>L186+3.7</f>
        <v>89.78</v>
      </c>
      <c r="M187" s="32" t="s">
        <v>186</v>
      </c>
      <c r="N187" s="17">
        <v>84</v>
      </c>
      <c r="O187" s="25">
        <v>168</v>
      </c>
      <c r="V187" s="17">
        <v>8</v>
      </c>
      <c r="W187" s="21">
        <v>5</v>
      </c>
      <c r="X187" s="21">
        <f t="shared" si="74"/>
        <v>329.06880000000001</v>
      </c>
      <c r="Y187" s="21">
        <f t="shared" si="74"/>
        <v>345.45280000000002</v>
      </c>
      <c r="Z187" s="21">
        <f t="shared" si="74"/>
        <v>361.83680000000004</v>
      </c>
      <c r="AA187" s="21">
        <f t="shared" si="74"/>
        <v>406.89280000000002</v>
      </c>
      <c r="AB187" s="26">
        <f t="shared" si="64"/>
        <v>99.820639999999997</v>
      </c>
      <c r="AC187" s="27">
        <f t="shared" si="65"/>
        <v>221.24815999999998</v>
      </c>
      <c r="AD187" s="26">
        <f t="shared" si="66"/>
        <v>104.73584000000001</v>
      </c>
      <c r="AE187" s="27">
        <f t="shared" si="67"/>
        <v>232.71696</v>
      </c>
      <c r="AF187" s="26">
        <f t="shared" si="68"/>
        <v>109.65104000000001</v>
      </c>
      <c r="AG187" s="27">
        <f t="shared" si="69"/>
        <v>244.18576000000002</v>
      </c>
      <c r="AH187" s="26">
        <f t="shared" si="70"/>
        <v>123.16784</v>
      </c>
      <c r="AI187" s="27">
        <f t="shared" si="71"/>
        <v>275.72496000000001</v>
      </c>
      <c r="AJ187" s="28" t="s">
        <v>45</v>
      </c>
      <c r="AK187" s="15" t="s">
        <v>198</v>
      </c>
      <c r="AL187" s="15" t="s">
        <v>199</v>
      </c>
      <c r="AM187" s="15" t="s">
        <v>200</v>
      </c>
      <c r="AP187" s="15"/>
    </row>
    <row r="188" spans="1:42" ht="14.25" customHeight="1">
      <c r="A188" s="15" t="s">
        <v>201</v>
      </c>
      <c r="B188" s="35" t="s">
        <v>202</v>
      </c>
      <c r="C188" s="17" t="s">
        <v>40</v>
      </c>
      <c r="D188" s="15" t="s">
        <v>41</v>
      </c>
      <c r="E188" s="38" t="s">
        <v>156</v>
      </c>
      <c r="F188" s="15">
        <v>30</v>
      </c>
      <c r="G188" s="19">
        <v>2</v>
      </c>
      <c r="H188" s="19">
        <f t="shared" si="63"/>
        <v>60</v>
      </c>
      <c r="I188" s="38" t="s">
        <v>56</v>
      </c>
      <c r="J188" s="32"/>
      <c r="K188" s="32"/>
      <c r="L188" s="39">
        <f>L187+2.54</f>
        <v>92.320000000000007</v>
      </c>
      <c r="M188" s="32" t="s">
        <v>146</v>
      </c>
      <c r="N188" s="17">
        <v>90</v>
      </c>
      <c r="O188" s="25">
        <v>84</v>
      </c>
      <c r="V188" s="17">
        <v>4</v>
      </c>
      <c r="W188" s="21">
        <v>5</v>
      </c>
      <c r="X188" s="21">
        <f>X187*1.6</f>
        <v>526.51008000000002</v>
      </c>
      <c r="Y188" s="21">
        <f>Y187*1.6</f>
        <v>552.72448000000009</v>
      </c>
      <c r="Z188" s="21">
        <f>Z187*1.6</f>
        <v>578.93888000000004</v>
      </c>
      <c r="AA188" s="21">
        <f>AA187*1.6</f>
        <v>651.02848000000006</v>
      </c>
      <c r="AB188" s="26">
        <f t="shared" si="64"/>
        <v>160.25302400000001</v>
      </c>
      <c r="AC188" s="27">
        <f t="shared" si="65"/>
        <v>362.25705599999998</v>
      </c>
      <c r="AD188" s="26">
        <f t="shared" si="66"/>
        <v>168.11734400000003</v>
      </c>
      <c r="AE188" s="27">
        <f t="shared" si="67"/>
        <v>380.60713600000003</v>
      </c>
      <c r="AF188" s="26">
        <f t="shared" si="68"/>
        <v>175.98166399999999</v>
      </c>
      <c r="AG188" s="27">
        <f t="shared" si="69"/>
        <v>398.95721600000002</v>
      </c>
      <c r="AH188" s="26">
        <f t="shared" si="70"/>
        <v>197.60854400000002</v>
      </c>
      <c r="AI188" s="27">
        <f t="shared" si="71"/>
        <v>449.41993600000001</v>
      </c>
      <c r="AJ188" s="28" t="s">
        <v>45</v>
      </c>
      <c r="AP188" s="15"/>
    </row>
    <row r="189" spans="1:42" ht="14.25" customHeight="1">
      <c r="A189" s="15" t="s">
        <v>203</v>
      </c>
      <c r="B189" s="35" t="s">
        <v>204</v>
      </c>
      <c r="C189" s="17" t="s">
        <v>40</v>
      </c>
      <c r="D189" s="15" t="s">
        <v>41</v>
      </c>
      <c r="E189" s="38" t="s">
        <v>156</v>
      </c>
      <c r="F189" s="15">
        <v>30</v>
      </c>
      <c r="G189" s="19">
        <v>2</v>
      </c>
      <c r="H189" s="19">
        <f t="shared" si="63"/>
        <v>60</v>
      </c>
      <c r="I189" s="38" t="s">
        <v>56</v>
      </c>
      <c r="J189" s="32"/>
      <c r="K189" s="32"/>
      <c r="L189" s="37">
        <f>L188+9.08</f>
        <v>101.4</v>
      </c>
      <c r="M189" s="32" t="s">
        <v>146</v>
      </c>
      <c r="N189" s="17">
        <v>90</v>
      </c>
      <c r="O189" s="25">
        <v>84</v>
      </c>
      <c r="V189" s="17">
        <f>L189</f>
        <v>101.4</v>
      </c>
      <c r="W189" s="21">
        <v>5</v>
      </c>
      <c r="X189" s="21">
        <f>(20*1.6)+(V189-4)</f>
        <v>129.4</v>
      </c>
      <c r="Y189" s="21">
        <f>(24*1.6)+(V189-4)</f>
        <v>135.80000000000001</v>
      </c>
      <c r="Z189" s="21">
        <f>(28*1.6)+(V189-4)</f>
        <v>142.20000000000002</v>
      </c>
      <c r="AA189" s="21">
        <f>(39*1.6)+(V189-4)</f>
        <v>159.80000000000001</v>
      </c>
      <c r="AB189" s="26">
        <f t="shared" si="64"/>
        <v>11.899999999999999</v>
      </c>
      <c r="AC189" s="27">
        <f t="shared" si="65"/>
        <v>16.099999999999998</v>
      </c>
      <c r="AD189" s="26">
        <f t="shared" si="66"/>
        <v>13.820000000000002</v>
      </c>
      <c r="AE189" s="27">
        <f t="shared" si="67"/>
        <v>20.580000000000002</v>
      </c>
      <c r="AF189" s="26">
        <f t="shared" si="68"/>
        <v>15.740000000000004</v>
      </c>
      <c r="AG189" s="27">
        <f t="shared" si="69"/>
        <v>25.060000000000006</v>
      </c>
      <c r="AH189" s="26">
        <f t="shared" si="70"/>
        <v>21.02</v>
      </c>
      <c r="AI189" s="27">
        <f t="shared" si="71"/>
        <v>37.380000000000003</v>
      </c>
      <c r="AJ189" s="28" t="s">
        <v>45</v>
      </c>
      <c r="AP189" s="15"/>
    </row>
    <row r="190" spans="1:42" ht="14.25" customHeight="1">
      <c r="A190" s="55" t="s">
        <v>205</v>
      </c>
      <c r="B190" s="56">
        <v>45293</v>
      </c>
      <c r="C190" s="57" t="s">
        <v>54</v>
      </c>
      <c r="D190" s="55" t="s">
        <v>41</v>
      </c>
      <c r="E190" s="55" t="s">
        <v>55</v>
      </c>
      <c r="F190" s="55">
        <v>30</v>
      </c>
      <c r="G190" s="58">
        <v>2</v>
      </c>
      <c r="H190" s="58">
        <f t="shared" si="63"/>
        <v>60</v>
      </c>
      <c r="I190" s="55" t="s">
        <v>56</v>
      </c>
      <c r="J190" s="59"/>
      <c r="K190" s="59"/>
      <c r="L190" s="37">
        <f>L189+2.49</f>
        <v>103.89</v>
      </c>
      <c r="M190" s="55" t="s">
        <v>206</v>
      </c>
      <c r="N190" s="57">
        <v>90</v>
      </c>
      <c r="O190" s="60">
        <v>84</v>
      </c>
      <c r="V190" s="17">
        <v>4</v>
      </c>
      <c r="W190" s="21">
        <v>5</v>
      </c>
      <c r="X190" s="21">
        <f t="shared" ref="X190:AA192" si="75">X189*1.6</f>
        <v>207.04000000000002</v>
      </c>
      <c r="Y190" s="21">
        <f t="shared" si="75"/>
        <v>217.28000000000003</v>
      </c>
      <c r="Z190" s="21">
        <f t="shared" si="75"/>
        <v>227.52000000000004</v>
      </c>
      <c r="AA190" s="21">
        <f t="shared" si="75"/>
        <v>255.68000000000004</v>
      </c>
      <c r="AB190" s="26">
        <f t="shared" si="64"/>
        <v>64.412000000000006</v>
      </c>
      <c r="AC190" s="27">
        <f t="shared" si="65"/>
        <v>138.62800000000001</v>
      </c>
      <c r="AD190" s="26">
        <f t="shared" si="66"/>
        <v>67.484000000000009</v>
      </c>
      <c r="AE190" s="27">
        <f t="shared" si="67"/>
        <v>145.79600000000002</v>
      </c>
      <c r="AF190" s="26">
        <f t="shared" si="68"/>
        <v>70.556000000000012</v>
      </c>
      <c r="AG190" s="27">
        <f t="shared" si="69"/>
        <v>152.96400000000003</v>
      </c>
      <c r="AH190" s="26">
        <f t="shared" si="70"/>
        <v>79.004000000000005</v>
      </c>
      <c r="AI190" s="27">
        <f t="shared" si="71"/>
        <v>172.67600000000002</v>
      </c>
      <c r="AJ190" s="28" t="s">
        <v>45</v>
      </c>
      <c r="AP190" s="15"/>
    </row>
    <row r="191" spans="1:42" ht="14.25" customHeight="1">
      <c r="A191" s="55" t="s">
        <v>207</v>
      </c>
      <c r="B191" s="56">
        <v>45293</v>
      </c>
      <c r="C191" s="57" t="s">
        <v>54</v>
      </c>
      <c r="D191" s="55" t="s">
        <v>41</v>
      </c>
      <c r="E191" s="55" t="s">
        <v>156</v>
      </c>
      <c r="F191" s="55">
        <v>30</v>
      </c>
      <c r="G191" s="58">
        <v>2</v>
      </c>
      <c r="H191" s="58">
        <f t="shared" si="63"/>
        <v>60</v>
      </c>
      <c r="I191" s="55" t="s">
        <v>56</v>
      </c>
      <c r="J191" s="59"/>
      <c r="K191" s="59"/>
      <c r="L191" s="37">
        <f>L190+2.5</f>
        <v>106.39</v>
      </c>
      <c r="M191" s="55" t="s">
        <v>206</v>
      </c>
      <c r="N191" s="57">
        <v>90</v>
      </c>
      <c r="O191" s="60">
        <v>84</v>
      </c>
      <c r="V191" s="17">
        <v>4</v>
      </c>
      <c r="W191" s="21">
        <v>5</v>
      </c>
      <c r="X191" s="21">
        <f t="shared" si="75"/>
        <v>331.26400000000007</v>
      </c>
      <c r="Y191" s="21">
        <f t="shared" si="75"/>
        <v>347.64800000000008</v>
      </c>
      <c r="Z191" s="21">
        <f t="shared" si="75"/>
        <v>364.0320000000001</v>
      </c>
      <c r="AA191" s="21">
        <f t="shared" si="75"/>
        <v>409.08800000000008</v>
      </c>
      <c r="AB191" s="26">
        <f t="shared" si="64"/>
        <v>101.67920000000002</v>
      </c>
      <c r="AC191" s="27">
        <f t="shared" si="65"/>
        <v>225.58480000000003</v>
      </c>
      <c r="AD191" s="26">
        <f t="shared" si="66"/>
        <v>106.59440000000002</v>
      </c>
      <c r="AE191" s="27">
        <f t="shared" si="67"/>
        <v>237.05360000000005</v>
      </c>
      <c r="AF191" s="26">
        <f t="shared" si="68"/>
        <v>111.50960000000002</v>
      </c>
      <c r="AG191" s="27">
        <f t="shared" si="69"/>
        <v>248.52240000000006</v>
      </c>
      <c r="AH191" s="26">
        <f t="shared" si="70"/>
        <v>125.02640000000002</v>
      </c>
      <c r="AI191" s="27">
        <f t="shared" si="71"/>
        <v>280.06160000000006</v>
      </c>
      <c r="AJ191" s="28" t="s">
        <v>45</v>
      </c>
      <c r="AP191" s="15"/>
    </row>
    <row r="192" spans="1:42" ht="14.25" customHeight="1">
      <c r="A192" s="15" t="s">
        <v>208</v>
      </c>
      <c r="B192" s="35">
        <v>1</v>
      </c>
      <c r="C192" s="17" t="s">
        <v>54</v>
      </c>
      <c r="D192" s="15" t="s">
        <v>41</v>
      </c>
      <c r="E192" s="38" t="s">
        <v>55</v>
      </c>
      <c r="F192" s="15">
        <v>30</v>
      </c>
      <c r="G192" s="19">
        <v>2</v>
      </c>
      <c r="H192" s="19">
        <f t="shared" si="63"/>
        <v>60</v>
      </c>
      <c r="I192" s="38" t="s">
        <v>56</v>
      </c>
      <c r="J192" s="32"/>
      <c r="K192" s="32"/>
      <c r="L192" s="39">
        <f>L191+2.42</f>
        <v>108.81</v>
      </c>
      <c r="M192" s="15" t="s">
        <v>206</v>
      </c>
      <c r="N192" s="17">
        <v>90</v>
      </c>
      <c r="O192" s="25">
        <v>84</v>
      </c>
      <c r="V192" s="17">
        <v>4</v>
      </c>
      <c r="W192" s="21">
        <v>5</v>
      </c>
      <c r="X192" s="21">
        <f t="shared" si="75"/>
        <v>530.02240000000018</v>
      </c>
      <c r="Y192" s="21">
        <f t="shared" si="75"/>
        <v>556.23680000000013</v>
      </c>
      <c r="Z192" s="21">
        <f t="shared" si="75"/>
        <v>582.4512000000002</v>
      </c>
      <c r="AA192" s="21">
        <f t="shared" si="75"/>
        <v>654.54080000000022</v>
      </c>
      <c r="AB192" s="26">
        <f t="shared" si="64"/>
        <v>161.30672000000004</v>
      </c>
      <c r="AC192" s="27">
        <f t="shared" si="65"/>
        <v>364.71568000000008</v>
      </c>
      <c r="AD192" s="26">
        <f t="shared" si="66"/>
        <v>169.17104000000003</v>
      </c>
      <c r="AE192" s="27">
        <f t="shared" si="67"/>
        <v>383.06576000000007</v>
      </c>
      <c r="AF192" s="26">
        <f t="shared" si="68"/>
        <v>177.03536000000005</v>
      </c>
      <c r="AG192" s="27">
        <f t="shared" si="69"/>
        <v>401.41584000000012</v>
      </c>
      <c r="AH192" s="26">
        <f t="shared" si="70"/>
        <v>198.66224000000005</v>
      </c>
      <c r="AI192" s="27">
        <f t="shared" si="71"/>
        <v>451.87856000000011</v>
      </c>
      <c r="AJ192" s="28" t="s">
        <v>45</v>
      </c>
      <c r="AP192" s="15"/>
    </row>
    <row r="193" spans="1:42" ht="14.25" customHeight="1">
      <c r="A193" s="15" t="s">
        <v>209</v>
      </c>
      <c r="B193" s="35">
        <v>2</v>
      </c>
      <c r="C193" s="17" t="s">
        <v>54</v>
      </c>
      <c r="D193" s="15" t="s">
        <v>41</v>
      </c>
      <c r="E193" s="38" t="s">
        <v>55</v>
      </c>
      <c r="F193" s="15">
        <v>30</v>
      </c>
      <c r="G193" s="19">
        <v>2</v>
      </c>
      <c r="H193" s="19">
        <f t="shared" si="63"/>
        <v>60</v>
      </c>
      <c r="I193" s="38" t="s">
        <v>56</v>
      </c>
      <c r="J193" s="32"/>
      <c r="K193" s="32"/>
      <c r="L193" s="40">
        <f>L192+3.37</f>
        <v>112.18</v>
      </c>
      <c r="M193" s="15" t="s">
        <v>206</v>
      </c>
      <c r="N193" s="17">
        <v>90</v>
      </c>
      <c r="O193" s="25">
        <v>84</v>
      </c>
      <c r="V193" s="17">
        <v>8</v>
      </c>
      <c r="W193" s="21">
        <v>5</v>
      </c>
      <c r="X193" s="21">
        <f t="shared" ref="X193:AA194" si="76">(X192*1.6)+4</f>
        <v>852.03584000000035</v>
      </c>
      <c r="Y193" s="21">
        <f t="shared" si="76"/>
        <v>893.97888000000023</v>
      </c>
      <c r="Z193" s="21">
        <f t="shared" si="76"/>
        <v>935.92192000000034</v>
      </c>
      <c r="AA193" s="21">
        <f t="shared" si="76"/>
        <v>1051.2652800000003</v>
      </c>
      <c r="AB193" s="26">
        <f t="shared" si="64"/>
        <v>256.71075200000007</v>
      </c>
      <c r="AC193" s="27">
        <f t="shared" si="65"/>
        <v>587.32508800000016</v>
      </c>
      <c r="AD193" s="26">
        <f t="shared" si="66"/>
        <v>269.29366400000004</v>
      </c>
      <c r="AE193" s="27">
        <f t="shared" si="67"/>
        <v>616.68521600000008</v>
      </c>
      <c r="AF193" s="26">
        <f t="shared" si="68"/>
        <v>281.87657600000011</v>
      </c>
      <c r="AG193" s="27">
        <f t="shared" si="69"/>
        <v>646.04534400000023</v>
      </c>
      <c r="AH193" s="26">
        <f t="shared" si="70"/>
        <v>316.4795840000001</v>
      </c>
      <c r="AI193" s="27">
        <f t="shared" si="71"/>
        <v>726.78569600000014</v>
      </c>
      <c r="AJ193" s="28" t="s">
        <v>45</v>
      </c>
      <c r="AP193" s="15"/>
    </row>
    <row r="194" spans="1:42" ht="14.25" customHeight="1">
      <c r="A194" s="15" t="s">
        <v>210</v>
      </c>
      <c r="B194" s="35">
        <v>2</v>
      </c>
      <c r="C194" s="17" t="s">
        <v>54</v>
      </c>
      <c r="D194" s="15" t="s">
        <v>41</v>
      </c>
      <c r="E194" s="38" t="s">
        <v>156</v>
      </c>
      <c r="F194" s="15">
        <v>30</v>
      </c>
      <c r="G194" s="19">
        <v>2</v>
      </c>
      <c r="H194" s="19">
        <f t="shared" si="63"/>
        <v>60</v>
      </c>
      <c r="I194" s="38" t="s">
        <v>56</v>
      </c>
      <c r="J194" s="32"/>
      <c r="K194" s="32"/>
      <c r="L194" s="40">
        <f>L193+4.55</f>
        <v>116.73</v>
      </c>
      <c r="M194" s="15" t="s">
        <v>206</v>
      </c>
      <c r="N194" s="17">
        <v>90</v>
      </c>
      <c r="O194" s="25">
        <v>84</v>
      </c>
      <c r="V194" s="17">
        <v>8</v>
      </c>
      <c r="W194" s="21">
        <v>5</v>
      </c>
      <c r="X194" s="21">
        <f t="shared" si="76"/>
        <v>1367.2573440000006</v>
      </c>
      <c r="Y194" s="21">
        <f t="shared" si="76"/>
        <v>1434.3662080000004</v>
      </c>
      <c r="Z194" s="21">
        <f t="shared" si="76"/>
        <v>1501.4750720000006</v>
      </c>
      <c r="AA194" s="21">
        <f t="shared" si="76"/>
        <v>1686.0244480000006</v>
      </c>
      <c r="AB194" s="26">
        <f t="shared" si="64"/>
        <v>411.27720320000014</v>
      </c>
      <c r="AC194" s="27">
        <f t="shared" si="65"/>
        <v>947.9801408000003</v>
      </c>
      <c r="AD194" s="26">
        <f t="shared" si="66"/>
        <v>431.40986240000012</v>
      </c>
      <c r="AE194" s="27">
        <f t="shared" si="67"/>
        <v>994.95634560000019</v>
      </c>
      <c r="AF194" s="26">
        <f t="shared" si="68"/>
        <v>451.54252160000016</v>
      </c>
      <c r="AG194" s="27">
        <f t="shared" si="69"/>
        <v>1041.9325504000003</v>
      </c>
      <c r="AH194" s="26">
        <f t="shared" si="70"/>
        <v>506.90733440000014</v>
      </c>
      <c r="AI194" s="27">
        <f t="shared" si="71"/>
        <v>1171.1171136000003</v>
      </c>
      <c r="AJ194" s="28" t="s">
        <v>45</v>
      </c>
      <c r="AP194" s="15"/>
    </row>
    <row r="195" spans="1:42" ht="14.25" customHeight="1">
      <c r="A195" s="15" t="s">
        <v>211</v>
      </c>
      <c r="B195" s="41">
        <v>45293</v>
      </c>
      <c r="C195" s="28" t="s">
        <v>54</v>
      </c>
      <c r="D195" s="15" t="s">
        <v>41</v>
      </c>
      <c r="E195" s="38" t="s">
        <v>55</v>
      </c>
      <c r="F195" s="15">
        <v>30</v>
      </c>
      <c r="G195" s="19">
        <v>2</v>
      </c>
      <c r="H195" s="19">
        <f t="shared" si="63"/>
        <v>60</v>
      </c>
      <c r="I195" s="38" t="s">
        <v>56</v>
      </c>
      <c r="J195" s="32"/>
      <c r="K195" s="32"/>
      <c r="L195" s="37">
        <f>L194+6.02</f>
        <v>122.75</v>
      </c>
      <c r="M195" s="15" t="s">
        <v>206</v>
      </c>
      <c r="N195" s="17">
        <v>90</v>
      </c>
      <c r="O195" s="25">
        <v>84</v>
      </c>
      <c r="V195" s="17">
        <f>L195</f>
        <v>122.75</v>
      </c>
      <c r="W195" s="21">
        <v>5</v>
      </c>
      <c r="X195" s="21">
        <f>(X194*(1.6)+(12.04-4))</f>
        <v>2195.6517504000008</v>
      </c>
      <c r="Y195" s="21">
        <f>(Y194*(1.6)+(12.04-4))</f>
        <v>2303.0259328000006</v>
      </c>
      <c r="Z195" s="21">
        <f>(Z194*(1.6)+(12.04-4))</f>
        <v>2410.400115200001</v>
      </c>
      <c r="AA195" s="21">
        <f>(AA194*(1.6)+(12.04-4))</f>
        <v>2705.6791168000009</v>
      </c>
      <c r="AB195" s="26">
        <f t="shared" si="64"/>
        <v>625.37052512000025</v>
      </c>
      <c r="AC195" s="27">
        <f t="shared" si="65"/>
        <v>1447.5312252800004</v>
      </c>
      <c r="AD195" s="26">
        <f t="shared" si="66"/>
        <v>657.58277984000017</v>
      </c>
      <c r="AE195" s="27">
        <f t="shared" si="67"/>
        <v>1522.6931529600004</v>
      </c>
      <c r="AF195" s="26">
        <f t="shared" si="68"/>
        <v>689.79503456000032</v>
      </c>
      <c r="AG195" s="27">
        <f t="shared" si="69"/>
        <v>1597.8550806400006</v>
      </c>
      <c r="AH195" s="26">
        <f t="shared" si="70"/>
        <v>778.37873504000027</v>
      </c>
      <c r="AI195" s="27">
        <f t="shared" si="71"/>
        <v>1804.5503817600004</v>
      </c>
      <c r="AJ195" s="28" t="s">
        <v>45</v>
      </c>
    </row>
    <row r="196" spans="1:42" ht="14.25" customHeight="1">
      <c r="A196" s="51" t="s">
        <v>216</v>
      </c>
      <c r="B196" s="35">
        <v>200</v>
      </c>
      <c r="C196" s="28" t="s">
        <v>40</v>
      </c>
      <c r="D196" s="15" t="s">
        <v>41</v>
      </c>
      <c r="E196" s="38" t="s">
        <v>42</v>
      </c>
      <c r="F196" s="28">
        <v>15</v>
      </c>
      <c r="G196" s="19">
        <v>2</v>
      </c>
      <c r="H196" s="19">
        <f t="shared" si="63"/>
        <v>30</v>
      </c>
      <c r="I196" s="38" t="s">
        <v>42</v>
      </c>
      <c r="J196" s="61"/>
      <c r="K196" s="61"/>
      <c r="L196" s="62"/>
      <c r="M196" s="15" t="s">
        <v>217</v>
      </c>
      <c r="N196" s="28">
        <v>45</v>
      </c>
      <c r="O196" s="25">
        <v>168</v>
      </c>
      <c r="V196" s="28">
        <v>4</v>
      </c>
      <c r="W196" s="21">
        <v>5</v>
      </c>
      <c r="X196" s="28"/>
      <c r="Y196" s="28"/>
      <c r="Z196" s="28"/>
      <c r="AA196" s="28"/>
      <c r="AB196" s="26"/>
      <c r="AC196" s="27"/>
      <c r="AD196" s="26"/>
      <c r="AE196" s="27"/>
      <c r="AF196" s="26"/>
      <c r="AG196" s="27"/>
      <c r="AH196" s="26"/>
      <c r="AI196" s="27"/>
      <c r="AJ196" s="28" t="s">
        <v>169</v>
      </c>
    </row>
    <row r="197" spans="1:42" ht="14.25" customHeight="1">
      <c r="A197" s="38" t="s">
        <v>216</v>
      </c>
      <c r="B197" s="35">
        <v>400</v>
      </c>
      <c r="C197" s="17" t="s">
        <v>40</v>
      </c>
      <c r="D197" s="15" t="s">
        <v>41</v>
      </c>
      <c r="E197" s="38" t="s">
        <v>42</v>
      </c>
      <c r="F197" s="28">
        <v>15</v>
      </c>
      <c r="G197" s="19">
        <v>2</v>
      </c>
      <c r="H197" s="19">
        <f t="shared" si="63"/>
        <v>30</v>
      </c>
      <c r="I197" s="38" t="s">
        <v>42</v>
      </c>
      <c r="J197" s="61"/>
      <c r="K197" s="61"/>
      <c r="L197" s="62">
        <f>2.13/56*30</f>
        <v>1.1410714285714285</v>
      </c>
      <c r="M197" s="15" t="s">
        <v>217</v>
      </c>
      <c r="N197" s="28">
        <v>45</v>
      </c>
      <c r="O197" s="25">
        <v>168</v>
      </c>
      <c r="V197" s="28">
        <v>4</v>
      </c>
      <c r="W197" s="22">
        <v>5</v>
      </c>
      <c r="X197" s="21">
        <f t="shared" ref="X197:AA201" si="77">X196*1.6</f>
        <v>0</v>
      </c>
      <c r="Y197" s="21">
        <f t="shared" si="77"/>
        <v>0</v>
      </c>
      <c r="Z197" s="21">
        <f t="shared" si="77"/>
        <v>0</v>
      </c>
      <c r="AA197" s="21">
        <f t="shared" si="77"/>
        <v>0</v>
      </c>
      <c r="AB197" s="26">
        <f t="shared" ref="AB197:AB228" si="78">W197+(X197-V197-W197)*0.3</f>
        <v>2.3000000000000003</v>
      </c>
      <c r="AC197" s="27">
        <f t="shared" ref="AC197:AC228" si="79">(X197-V197-W197)*0.7</f>
        <v>-6.3</v>
      </c>
      <c r="AD197" s="26">
        <f t="shared" ref="AD197:AD228" si="80">W197+(Y197-V197-W197)*0.3</f>
        <v>2.3000000000000003</v>
      </c>
      <c r="AE197" s="27">
        <f t="shared" ref="AE197:AE228" si="81">(Y197-V197-W197)*0.7</f>
        <v>-6.3</v>
      </c>
      <c r="AF197" s="26">
        <f t="shared" ref="AF197:AF228" si="82">W197+(Z197-V197-W197)*0.3</f>
        <v>2.3000000000000003</v>
      </c>
      <c r="AG197" s="27">
        <f t="shared" ref="AG197:AG228" si="83">(Z197-V197-W197)*0.7</f>
        <v>-6.3</v>
      </c>
      <c r="AH197" s="26">
        <f t="shared" ref="AH197:AH228" si="84">W197+(AA197-V197-W197)*0.3</f>
        <v>2.3000000000000003</v>
      </c>
      <c r="AI197" s="27">
        <f t="shared" ref="AI197:AI228" si="85">(AA197-V197-W197)*0.7</f>
        <v>-6.3</v>
      </c>
      <c r="AJ197" s="28" t="s">
        <v>45</v>
      </c>
    </row>
    <row r="198" spans="1:42" ht="14.25" customHeight="1">
      <c r="A198" s="15" t="s">
        <v>218</v>
      </c>
      <c r="B198" s="35">
        <v>0.05</v>
      </c>
      <c r="C198" s="17" t="s">
        <v>54</v>
      </c>
      <c r="D198" s="15" t="s">
        <v>41</v>
      </c>
      <c r="E198" s="38" t="s">
        <v>55</v>
      </c>
      <c r="F198" s="15">
        <v>30</v>
      </c>
      <c r="G198" s="19">
        <v>2</v>
      </c>
      <c r="H198" s="19">
        <f t="shared" si="63"/>
        <v>60</v>
      </c>
      <c r="I198" s="38" t="s">
        <v>56</v>
      </c>
      <c r="J198" s="32"/>
      <c r="K198" s="32"/>
      <c r="L198" s="39">
        <f>L197+2.69</f>
        <v>3.8310714285714287</v>
      </c>
      <c r="M198" s="32" t="s">
        <v>172</v>
      </c>
      <c r="N198" s="17">
        <v>90</v>
      </c>
      <c r="O198" s="25">
        <v>84</v>
      </c>
      <c r="V198" s="17">
        <v>4</v>
      </c>
      <c r="W198" s="21">
        <v>5</v>
      </c>
      <c r="X198" s="21">
        <f t="shared" si="77"/>
        <v>0</v>
      </c>
      <c r="Y198" s="21">
        <f t="shared" si="77"/>
        <v>0</v>
      </c>
      <c r="Z198" s="21">
        <f t="shared" si="77"/>
        <v>0</v>
      </c>
      <c r="AA198" s="21">
        <f t="shared" si="77"/>
        <v>0</v>
      </c>
      <c r="AB198" s="26">
        <f t="shared" si="78"/>
        <v>2.3000000000000003</v>
      </c>
      <c r="AC198" s="27">
        <f t="shared" si="79"/>
        <v>-6.3</v>
      </c>
      <c r="AD198" s="26">
        <f t="shared" si="80"/>
        <v>2.3000000000000003</v>
      </c>
      <c r="AE198" s="27">
        <f t="shared" si="81"/>
        <v>-6.3</v>
      </c>
      <c r="AF198" s="26">
        <f t="shared" si="82"/>
        <v>2.3000000000000003</v>
      </c>
      <c r="AG198" s="27">
        <f t="shared" si="83"/>
        <v>-6.3</v>
      </c>
      <c r="AH198" s="26">
        <f t="shared" si="84"/>
        <v>2.3000000000000003</v>
      </c>
      <c r="AI198" s="27">
        <f t="shared" si="85"/>
        <v>-6.3</v>
      </c>
      <c r="AJ198" s="28" t="s">
        <v>45</v>
      </c>
    </row>
    <row r="199" spans="1:42" ht="14.25" customHeight="1">
      <c r="A199" s="15" t="s">
        <v>219</v>
      </c>
      <c r="B199" s="35">
        <v>0.05</v>
      </c>
      <c r="C199" s="17" t="s">
        <v>54</v>
      </c>
      <c r="D199" s="15" t="s">
        <v>41</v>
      </c>
      <c r="E199" s="38" t="s">
        <v>156</v>
      </c>
      <c r="F199" s="15">
        <v>100</v>
      </c>
      <c r="G199" s="19">
        <v>2</v>
      </c>
      <c r="H199" s="19">
        <f t="shared" si="63"/>
        <v>200</v>
      </c>
      <c r="I199" s="38" t="s">
        <v>56</v>
      </c>
      <c r="J199" s="32"/>
      <c r="K199" s="32"/>
      <c r="L199" s="39">
        <f>L198+2.69</f>
        <v>6.5210714285714282</v>
      </c>
      <c r="M199" s="32" t="s">
        <v>172</v>
      </c>
      <c r="N199" s="17">
        <v>200</v>
      </c>
      <c r="O199" s="25">
        <v>84</v>
      </c>
      <c r="V199" s="17">
        <v>4</v>
      </c>
      <c r="W199" s="21">
        <v>5</v>
      </c>
      <c r="X199" s="21">
        <f t="shared" si="77"/>
        <v>0</v>
      </c>
      <c r="Y199" s="21">
        <f t="shared" si="77"/>
        <v>0</v>
      </c>
      <c r="Z199" s="21">
        <f t="shared" si="77"/>
        <v>0</v>
      </c>
      <c r="AA199" s="21">
        <f t="shared" si="77"/>
        <v>0</v>
      </c>
      <c r="AB199" s="26">
        <f t="shared" si="78"/>
        <v>2.3000000000000003</v>
      </c>
      <c r="AC199" s="27">
        <f t="shared" si="79"/>
        <v>-6.3</v>
      </c>
      <c r="AD199" s="26">
        <f t="shared" si="80"/>
        <v>2.3000000000000003</v>
      </c>
      <c r="AE199" s="27">
        <f t="shared" si="81"/>
        <v>-6.3</v>
      </c>
      <c r="AF199" s="26">
        <f t="shared" si="82"/>
        <v>2.3000000000000003</v>
      </c>
      <c r="AG199" s="27">
        <f t="shared" si="83"/>
        <v>-6.3</v>
      </c>
      <c r="AH199" s="26">
        <f t="shared" si="84"/>
        <v>2.3000000000000003</v>
      </c>
      <c r="AI199" s="27">
        <f t="shared" si="85"/>
        <v>-6.3</v>
      </c>
      <c r="AJ199" s="28" t="s">
        <v>45</v>
      </c>
    </row>
    <row r="200" spans="1:42" ht="14.25" customHeight="1">
      <c r="A200" s="15" t="s">
        <v>220</v>
      </c>
      <c r="B200" s="35">
        <v>50</v>
      </c>
      <c r="C200" s="17" t="s">
        <v>40</v>
      </c>
      <c r="D200" s="15" t="s">
        <v>41</v>
      </c>
      <c r="E200" s="38" t="s">
        <v>42</v>
      </c>
      <c r="F200" s="17">
        <v>6</v>
      </c>
      <c r="G200" s="19">
        <v>2</v>
      </c>
      <c r="H200" s="19">
        <f t="shared" si="63"/>
        <v>12</v>
      </c>
      <c r="I200" s="38" t="s">
        <v>42</v>
      </c>
      <c r="J200" s="32"/>
      <c r="K200" s="32"/>
      <c r="L200" s="39">
        <f>L199+1.14</f>
        <v>7.6610714285714279</v>
      </c>
      <c r="M200" s="32" t="s">
        <v>221</v>
      </c>
      <c r="N200" s="17">
        <v>24</v>
      </c>
      <c r="O200" s="25">
        <v>84</v>
      </c>
      <c r="U200" s="21"/>
      <c r="V200" s="21">
        <v>4</v>
      </c>
      <c r="W200" s="21">
        <v>5</v>
      </c>
      <c r="X200" s="21">
        <f t="shared" si="77"/>
        <v>0</v>
      </c>
      <c r="Y200" s="21">
        <f t="shared" si="77"/>
        <v>0</v>
      </c>
      <c r="Z200" s="21">
        <f t="shared" si="77"/>
        <v>0</v>
      </c>
      <c r="AA200" s="21">
        <f t="shared" si="77"/>
        <v>0</v>
      </c>
      <c r="AB200" s="26">
        <f t="shared" si="78"/>
        <v>2.3000000000000003</v>
      </c>
      <c r="AC200" s="27">
        <f t="shared" si="79"/>
        <v>-6.3</v>
      </c>
      <c r="AD200" s="26">
        <f t="shared" si="80"/>
        <v>2.3000000000000003</v>
      </c>
      <c r="AE200" s="27">
        <f t="shared" si="81"/>
        <v>-6.3</v>
      </c>
      <c r="AF200" s="26">
        <f t="shared" si="82"/>
        <v>2.3000000000000003</v>
      </c>
      <c r="AG200" s="27">
        <f t="shared" si="83"/>
        <v>-6.3</v>
      </c>
      <c r="AH200" s="26">
        <f t="shared" si="84"/>
        <v>2.3000000000000003</v>
      </c>
      <c r="AI200" s="27">
        <f t="shared" si="85"/>
        <v>-6.3</v>
      </c>
      <c r="AJ200" s="28" t="s">
        <v>45</v>
      </c>
    </row>
    <row r="201" spans="1:42" ht="14.25" customHeight="1">
      <c r="A201" s="15" t="s">
        <v>220</v>
      </c>
      <c r="B201" s="35">
        <v>100</v>
      </c>
      <c r="C201" s="17" t="s">
        <v>40</v>
      </c>
      <c r="D201" s="15" t="s">
        <v>41</v>
      </c>
      <c r="E201" s="38" t="s">
        <v>42</v>
      </c>
      <c r="F201" s="17">
        <v>6</v>
      </c>
      <c r="G201" s="19">
        <v>2</v>
      </c>
      <c r="H201" s="19">
        <f t="shared" si="63"/>
        <v>12</v>
      </c>
      <c r="I201" s="38" t="s">
        <v>42</v>
      </c>
      <c r="J201" s="32"/>
      <c r="K201" s="32"/>
      <c r="L201" s="39">
        <f>L200+1.37</f>
        <v>9.031071428571428</v>
      </c>
      <c r="M201" s="32" t="s">
        <v>221</v>
      </c>
      <c r="N201" s="17">
        <v>24</v>
      </c>
      <c r="O201" s="25">
        <v>84</v>
      </c>
      <c r="U201" s="21"/>
      <c r="V201" s="21">
        <v>4</v>
      </c>
      <c r="W201" s="21">
        <v>5</v>
      </c>
      <c r="X201" s="21">
        <f t="shared" si="77"/>
        <v>0</v>
      </c>
      <c r="Y201" s="21">
        <f t="shared" si="77"/>
        <v>0</v>
      </c>
      <c r="Z201" s="21">
        <f t="shared" si="77"/>
        <v>0</v>
      </c>
      <c r="AA201" s="21">
        <f t="shared" si="77"/>
        <v>0</v>
      </c>
      <c r="AB201" s="26">
        <f t="shared" si="78"/>
        <v>2.3000000000000003</v>
      </c>
      <c r="AC201" s="27">
        <f t="shared" si="79"/>
        <v>-6.3</v>
      </c>
      <c r="AD201" s="26">
        <f t="shared" si="80"/>
        <v>2.3000000000000003</v>
      </c>
      <c r="AE201" s="27">
        <f t="shared" si="81"/>
        <v>-6.3</v>
      </c>
      <c r="AF201" s="26">
        <f t="shared" si="82"/>
        <v>2.3000000000000003</v>
      </c>
      <c r="AG201" s="27">
        <f t="shared" si="83"/>
        <v>-6.3</v>
      </c>
      <c r="AH201" s="26">
        <f t="shared" si="84"/>
        <v>2.3000000000000003</v>
      </c>
      <c r="AI201" s="27">
        <f t="shared" si="85"/>
        <v>-6.3</v>
      </c>
      <c r="AJ201" s="28" t="s">
        <v>45</v>
      </c>
    </row>
    <row r="202" spans="1:42" ht="14.25" customHeight="1">
      <c r="A202" s="15" t="s">
        <v>222</v>
      </c>
      <c r="B202" s="35">
        <v>5</v>
      </c>
      <c r="C202" s="17" t="s">
        <v>40</v>
      </c>
      <c r="D202" s="15" t="s">
        <v>41</v>
      </c>
      <c r="E202" s="38" t="s">
        <v>42</v>
      </c>
      <c r="F202" s="17">
        <v>3</v>
      </c>
      <c r="G202" s="19">
        <v>2</v>
      </c>
      <c r="H202" s="19">
        <f t="shared" si="63"/>
        <v>6</v>
      </c>
      <c r="I202" s="38" t="s">
        <v>42</v>
      </c>
      <c r="J202" s="32"/>
      <c r="K202" s="32"/>
      <c r="L202" s="37">
        <f>L201+13.37</f>
        <v>22.401071428571427</v>
      </c>
      <c r="M202" s="32" t="s">
        <v>221</v>
      </c>
      <c r="N202" s="17">
        <v>12</v>
      </c>
      <c r="O202" s="25">
        <v>84</v>
      </c>
      <c r="V202" s="17">
        <f>L202</f>
        <v>22.401071428571427</v>
      </c>
      <c r="W202" s="21">
        <v>5</v>
      </c>
      <c r="X202" s="21">
        <f>(20*(1+0.6))+($V$375-4)</f>
        <v>32</v>
      </c>
      <c r="Y202" s="21">
        <f>(24*(1+0.6))+($V$375-4)</f>
        <v>38.400000000000006</v>
      </c>
      <c r="Z202" s="21">
        <f>(28*(1+0.6))+($V$375-4)</f>
        <v>44.800000000000004</v>
      </c>
      <c r="AA202" s="21">
        <f>(37*(1+0.6))+($V$375-4)</f>
        <v>59.2</v>
      </c>
      <c r="AB202" s="26">
        <f t="shared" si="78"/>
        <v>6.3796785714285722</v>
      </c>
      <c r="AC202" s="27">
        <f t="shared" si="79"/>
        <v>3.2192500000000006</v>
      </c>
      <c r="AD202" s="26">
        <f t="shared" si="80"/>
        <v>8.2996785714285739</v>
      </c>
      <c r="AE202" s="27">
        <f t="shared" si="81"/>
        <v>7.6992500000000046</v>
      </c>
      <c r="AF202" s="26">
        <f t="shared" si="82"/>
        <v>10.219678571428574</v>
      </c>
      <c r="AG202" s="27">
        <f t="shared" si="83"/>
        <v>12.179250000000003</v>
      </c>
      <c r="AH202" s="26">
        <f t="shared" si="84"/>
        <v>14.539678571428572</v>
      </c>
      <c r="AI202" s="27">
        <f t="shared" si="85"/>
        <v>22.259250000000002</v>
      </c>
      <c r="AJ202" s="28" t="s">
        <v>45</v>
      </c>
    </row>
    <row r="203" spans="1:42" ht="14.25" customHeight="1">
      <c r="A203" s="15" t="s">
        <v>222</v>
      </c>
      <c r="B203" s="35">
        <v>10</v>
      </c>
      <c r="C203" s="17" t="s">
        <v>40</v>
      </c>
      <c r="D203" s="15" t="s">
        <v>41</v>
      </c>
      <c r="E203" s="38" t="s">
        <v>42</v>
      </c>
      <c r="F203" s="17">
        <v>3</v>
      </c>
      <c r="G203" s="19">
        <v>2</v>
      </c>
      <c r="H203" s="19">
        <f t="shared" si="63"/>
        <v>6</v>
      </c>
      <c r="I203" s="38" t="s">
        <v>42</v>
      </c>
      <c r="J203" s="32"/>
      <c r="K203" s="32"/>
      <c r="L203" s="40">
        <f>L202+3.3</f>
        <v>25.701071428571428</v>
      </c>
      <c r="M203" s="32" t="s">
        <v>221</v>
      </c>
      <c r="N203" s="17">
        <v>12</v>
      </c>
      <c r="O203" s="25">
        <v>84</v>
      </c>
      <c r="V203" s="17">
        <v>8</v>
      </c>
      <c r="W203" s="21">
        <v>5</v>
      </c>
      <c r="X203" s="17">
        <f>(X202*1.6)+4</f>
        <v>55.2</v>
      </c>
      <c r="Y203" s="17">
        <f>(Y202*1.6)+4</f>
        <v>65.440000000000012</v>
      </c>
      <c r="Z203" s="17">
        <f>(Z202*1.6)+4</f>
        <v>75.680000000000007</v>
      </c>
      <c r="AA203" s="17">
        <f>(AA202*1.6)+4</f>
        <v>98.720000000000013</v>
      </c>
      <c r="AB203" s="26">
        <f t="shared" si="78"/>
        <v>17.66</v>
      </c>
      <c r="AC203" s="27">
        <f t="shared" si="79"/>
        <v>29.54</v>
      </c>
      <c r="AD203" s="26">
        <f t="shared" si="80"/>
        <v>20.732000000000003</v>
      </c>
      <c r="AE203" s="27">
        <f t="shared" si="81"/>
        <v>36.708000000000006</v>
      </c>
      <c r="AF203" s="26">
        <f t="shared" si="82"/>
        <v>23.804000000000002</v>
      </c>
      <c r="AG203" s="27">
        <f t="shared" si="83"/>
        <v>43.876000000000005</v>
      </c>
      <c r="AH203" s="26">
        <f t="shared" si="84"/>
        <v>30.716000000000005</v>
      </c>
      <c r="AI203" s="27">
        <f t="shared" si="85"/>
        <v>60.004000000000005</v>
      </c>
      <c r="AJ203" s="28" t="s">
        <v>45</v>
      </c>
    </row>
    <row r="204" spans="1:42" ht="14.25" customHeight="1">
      <c r="A204" s="15" t="s">
        <v>223</v>
      </c>
      <c r="B204" s="35">
        <v>2.5</v>
      </c>
      <c r="C204" s="17" t="s">
        <v>40</v>
      </c>
      <c r="D204" s="15" t="s">
        <v>41</v>
      </c>
      <c r="E204" s="38" t="s">
        <v>42</v>
      </c>
      <c r="F204" s="17">
        <v>6</v>
      </c>
      <c r="G204" s="19">
        <v>2</v>
      </c>
      <c r="H204" s="19">
        <f t="shared" si="63"/>
        <v>12</v>
      </c>
      <c r="I204" s="38" t="s">
        <v>42</v>
      </c>
      <c r="J204" s="32"/>
      <c r="K204" s="32"/>
      <c r="L204" s="39">
        <f>L203+2.21</f>
        <v>27.911071428571429</v>
      </c>
      <c r="M204" s="32" t="s">
        <v>221</v>
      </c>
      <c r="N204" s="17">
        <v>24</v>
      </c>
      <c r="O204" s="25">
        <v>84</v>
      </c>
      <c r="U204" s="21"/>
      <c r="V204" s="21">
        <v>4</v>
      </c>
      <c r="W204" s="21">
        <v>5</v>
      </c>
      <c r="X204" s="21">
        <f>X203*1.6</f>
        <v>88.320000000000007</v>
      </c>
      <c r="Y204" s="21">
        <f>Y203*1.6</f>
        <v>104.70400000000002</v>
      </c>
      <c r="Z204" s="21">
        <f>Z203*1.6</f>
        <v>121.08800000000002</v>
      </c>
      <c r="AA204" s="21">
        <f>AA203*1.6</f>
        <v>157.95200000000003</v>
      </c>
      <c r="AB204" s="26">
        <f t="shared" si="78"/>
        <v>28.796000000000003</v>
      </c>
      <c r="AC204" s="27">
        <f t="shared" si="79"/>
        <v>55.524000000000001</v>
      </c>
      <c r="AD204" s="26">
        <f t="shared" si="80"/>
        <v>33.711200000000005</v>
      </c>
      <c r="AE204" s="27">
        <f t="shared" si="81"/>
        <v>66.992800000000017</v>
      </c>
      <c r="AF204" s="26">
        <f t="shared" si="82"/>
        <v>38.626400000000004</v>
      </c>
      <c r="AG204" s="27">
        <f t="shared" si="83"/>
        <v>78.461600000000004</v>
      </c>
      <c r="AH204" s="26">
        <f t="shared" si="84"/>
        <v>49.685600000000008</v>
      </c>
      <c r="AI204" s="27">
        <f t="shared" si="85"/>
        <v>104.26640000000002</v>
      </c>
      <c r="AJ204" s="28" t="s">
        <v>45</v>
      </c>
    </row>
    <row r="205" spans="1:42" ht="14.25" customHeight="1">
      <c r="A205" s="15" t="s">
        <v>223</v>
      </c>
      <c r="B205" s="35">
        <v>5</v>
      </c>
      <c r="C205" s="17" t="s">
        <v>40</v>
      </c>
      <c r="D205" s="15" t="s">
        <v>41</v>
      </c>
      <c r="E205" s="38" t="s">
        <v>42</v>
      </c>
      <c r="F205" s="17">
        <v>6</v>
      </c>
      <c r="G205" s="19">
        <v>2</v>
      </c>
      <c r="H205" s="19">
        <f t="shared" si="63"/>
        <v>12</v>
      </c>
      <c r="I205" s="38" t="s">
        <v>42</v>
      </c>
      <c r="J205" s="32"/>
      <c r="K205" s="32"/>
      <c r="L205" s="37">
        <f>L204+36</f>
        <v>63.911071428571432</v>
      </c>
      <c r="M205" s="32" t="s">
        <v>221</v>
      </c>
      <c r="N205" s="17">
        <v>24</v>
      </c>
      <c r="O205" s="25">
        <v>84</v>
      </c>
      <c r="V205" s="17">
        <f>L205</f>
        <v>63.911071428571432</v>
      </c>
      <c r="W205" s="21">
        <v>5</v>
      </c>
      <c r="X205" s="21">
        <f>(20*(1+0.6))+(72-4)</f>
        <v>100</v>
      </c>
      <c r="Y205" s="21">
        <f>(24*(1+0.6))+(72-4)</f>
        <v>106.4</v>
      </c>
      <c r="Z205" s="21">
        <f>(28*(1+0.6))+(72-4)</f>
        <v>112.80000000000001</v>
      </c>
      <c r="AA205" s="21">
        <f>(37*(1+0.6))+(72-4)</f>
        <v>127.2</v>
      </c>
      <c r="AB205" s="26">
        <f t="shared" si="78"/>
        <v>14.32667857142857</v>
      </c>
      <c r="AC205" s="27">
        <f t="shared" si="79"/>
        <v>21.762249999999995</v>
      </c>
      <c r="AD205" s="26">
        <f t="shared" si="80"/>
        <v>16.246678571428571</v>
      </c>
      <c r="AE205" s="27">
        <f t="shared" si="81"/>
        <v>26.242249999999999</v>
      </c>
      <c r="AF205" s="26">
        <f t="shared" si="82"/>
        <v>18.166678571428573</v>
      </c>
      <c r="AG205" s="27">
        <f t="shared" si="83"/>
        <v>30.722250000000003</v>
      </c>
      <c r="AH205" s="26">
        <f t="shared" si="84"/>
        <v>22.48667857142857</v>
      </c>
      <c r="AI205" s="27">
        <f t="shared" si="85"/>
        <v>40.802249999999994</v>
      </c>
      <c r="AJ205" s="28" t="s">
        <v>45</v>
      </c>
    </row>
    <row r="206" spans="1:42" ht="14.25" customHeight="1">
      <c r="A206" s="45" t="s">
        <v>224</v>
      </c>
      <c r="B206" s="35">
        <v>250</v>
      </c>
      <c r="C206" s="17" t="s">
        <v>70</v>
      </c>
      <c r="D206" s="15" t="s">
        <v>41</v>
      </c>
      <c r="E206" s="38" t="s">
        <v>42</v>
      </c>
      <c r="F206" s="17">
        <v>4</v>
      </c>
      <c r="G206" s="19">
        <v>2</v>
      </c>
      <c r="H206" s="19">
        <f t="shared" si="63"/>
        <v>8</v>
      </c>
      <c r="I206" s="38" t="s">
        <v>42</v>
      </c>
      <c r="J206" s="32"/>
      <c r="K206" s="32"/>
      <c r="L206" s="39">
        <v>2.46</v>
      </c>
      <c r="M206" s="32" t="s">
        <v>225</v>
      </c>
      <c r="N206" s="17">
        <v>8</v>
      </c>
      <c r="O206" s="25">
        <v>84</v>
      </c>
      <c r="U206" s="21"/>
      <c r="V206" s="21">
        <v>4</v>
      </c>
      <c r="W206" s="21">
        <v>5</v>
      </c>
      <c r="X206" s="21">
        <f t="shared" ref="X206:AA207" si="86">X205*1.6</f>
        <v>160</v>
      </c>
      <c r="Y206" s="21">
        <f t="shared" si="86"/>
        <v>170.24</v>
      </c>
      <c r="Z206" s="21">
        <f t="shared" si="86"/>
        <v>180.48000000000002</v>
      </c>
      <c r="AA206" s="21">
        <f t="shared" si="86"/>
        <v>203.52</v>
      </c>
      <c r="AB206" s="26">
        <f t="shared" si="78"/>
        <v>50.3</v>
      </c>
      <c r="AC206" s="27">
        <f t="shared" si="79"/>
        <v>105.69999999999999</v>
      </c>
      <c r="AD206" s="26">
        <f t="shared" si="80"/>
        <v>53.372</v>
      </c>
      <c r="AE206" s="27">
        <f t="shared" si="81"/>
        <v>112.86799999999999</v>
      </c>
      <c r="AF206" s="26">
        <f t="shared" si="82"/>
        <v>56.444000000000003</v>
      </c>
      <c r="AG206" s="27">
        <f t="shared" si="83"/>
        <v>120.036</v>
      </c>
      <c r="AH206" s="26">
        <f t="shared" si="84"/>
        <v>63.356000000000002</v>
      </c>
      <c r="AI206" s="27">
        <f t="shared" si="85"/>
        <v>136.16399999999999</v>
      </c>
      <c r="AJ206" s="28" t="s">
        <v>45</v>
      </c>
    </row>
    <row r="207" spans="1:42" ht="14.25" customHeight="1">
      <c r="A207" s="45" t="s">
        <v>224</v>
      </c>
      <c r="B207" s="35">
        <v>500</v>
      </c>
      <c r="C207" s="17" t="s">
        <v>70</v>
      </c>
      <c r="D207" s="15" t="s">
        <v>41</v>
      </c>
      <c r="E207" s="38" t="s">
        <v>42</v>
      </c>
      <c r="F207" s="17">
        <v>4</v>
      </c>
      <c r="G207" s="19">
        <v>2</v>
      </c>
      <c r="H207" s="19">
        <f t="shared" si="63"/>
        <v>8</v>
      </c>
      <c r="I207" s="38" t="s">
        <v>42</v>
      </c>
      <c r="J207" s="32"/>
      <c r="K207" s="32"/>
      <c r="L207" s="39">
        <f>1.09+L206</f>
        <v>3.55</v>
      </c>
      <c r="M207" s="32" t="s">
        <v>225</v>
      </c>
      <c r="N207" s="17">
        <v>8</v>
      </c>
      <c r="O207" s="25">
        <v>84</v>
      </c>
      <c r="U207" s="21"/>
      <c r="V207" s="21">
        <v>4</v>
      </c>
      <c r="W207" s="21">
        <v>5</v>
      </c>
      <c r="X207" s="21">
        <f t="shared" si="86"/>
        <v>256</v>
      </c>
      <c r="Y207" s="21">
        <f t="shared" si="86"/>
        <v>272.38400000000001</v>
      </c>
      <c r="Z207" s="21">
        <f t="shared" si="86"/>
        <v>288.76800000000003</v>
      </c>
      <c r="AA207" s="21">
        <f t="shared" si="86"/>
        <v>325.63200000000006</v>
      </c>
      <c r="AB207" s="26">
        <f t="shared" si="78"/>
        <v>79.099999999999994</v>
      </c>
      <c r="AC207" s="27">
        <f t="shared" si="79"/>
        <v>172.89999999999998</v>
      </c>
      <c r="AD207" s="26">
        <f t="shared" si="80"/>
        <v>84.015200000000007</v>
      </c>
      <c r="AE207" s="27">
        <f t="shared" si="81"/>
        <v>184.36879999999999</v>
      </c>
      <c r="AF207" s="26">
        <f t="shared" si="82"/>
        <v>88.930400000000006</v>
      </c>
      <c r="AG207" s="27">
        <f t="shared" si="83"/>
        <v>195.83760000000001</v>
      </c>
      <c r="AH207" s="26">
        <f t="shared" si="84"/>
        <v>99.98960000000001</v>
      </c>
      <c r="AI207" s="27">
        <f t="shared" si="85"/>
        <v>221.64240000000004</v>
      </c>
      <c r="AJ207" s="28" t="s">
        <v>45</v>
      </c>
    </row>
    <row r="208" spans="1:42" ht="14.25" customHeight="1">
      <c r="A208" s="15" t="s">
        <v>39</v>
      </c>
      <c r="B208" s="16">
        <v>25</v>
      </c>
      <c r="C208" s="17" t="s">
        <v>40</v>
      </c>
      <c r="D208" s="15" t="s">
        <v>41</v>
      </c>
      <c r="E208" s="18" t="s">
        <v>42</v>
      </c>
      <c r="F208" s="28">
        <v>4</v>
      </c>
      <c r="G208" s="19">
        <v>3</v>
      </c>
      <c r="H208" s="19">
        <f t="shared" si="63"/>
        <v>12</v>
      </c>
      <c r="I208" s="20" t="s">
        <v>42</v>
      </c>
      <c r="J208" s="21" t="s">
        <v>43</v>
      </c>
      <c r="K208" s="21"/>
      <c r="L208" s="26">
        <f>0.24*3</f>
        <v>0.72</v>
      </c>
      <c r="M208" t="s">
        <v>44</v>
      </c>
      <c r="N208" s="24">
        <v>38</v>
      </c>
      <c r="O208" s="25">
        <v>84</v>
      </c>
      <c r="U208" s="21"/>
      <c r="V208" s="21">
        <v>4</v>
      </c>
      <c r="W208" s="21">
        <v>5</v>
      </c>
      <c r="X208" s="21">
        <f>X204*(1+0.6+0.4)</f>
        <v>176.64000000000001</v>
      </c>
      <c r="Y208" s="21">
        <f>Y204*(1+0.6+0.4)</f>
        <v>209.40800000000004</v>
      </c>
      <c r="Z208" s="21">
        <f>Z204*(1+0.6+0.4)</f>
        <v>242.17600000000004</v>
      </c>
      <c r="AA208" s="21">
        <f>AA204*(1+0.6+0.4)</f>
        <v>315.90400000000005</v>
      </c>
      <c r="AB208" s="26">
        <f t="shared" si="78"/>
        <v>55.292000000000002</v>
      </c>
      <c r="AC208" s="27">
        <f t="shared" si="79"/>
        <v>117.348</v>
      </c>
      <c r="AD208" s="26">
        <f t="shared" si="80"/>
        <v>65.122400000000013</v>
      </c>
      <c r="AE208" s="27">
        <f t="shared" si="81"/>
        <v>140.28560000000002</v>
      </c>
      <c r="AF208" s="26">
        <f t="shared" si="82"/>
        <v>74.952800000000011</v>
      </c>
      <c r="AG208" s="27">
        <f t="shared" si="83"/>
        <v>163.22320000000002</v>
      </c>
      <c r="AH208" s="26">
        <f t="shared" si="84"/>
        <v>97.071200000000019</v>
      </c>
      <c r="AI208" s="27">
        <f t="shared" si="85"/>
        <v>214.83280000000002</v>
      </c>
      <c r="AJ208" s="28" t="s">
        <v>45</v>
      </c>
      <c r="AK208" s="15" t="s">
        <v>46</v>
      </c>
    </row>
    <row r="209" spans="1:37" ht="14.25" customHeight="1">
      <c r="A209" s="15" t="s">
        <v>39</v>
      </c>
      <c r="B209" s="16">
        <v>50</v>
      </c>
      <c r="C209" s="17" t="s">
        <v>40</v>
      </c>
      <c r="D209" s="15" t="s">
        <v>41</v>
      </c>
      <c r="E209" s="18" t="s">
        <v>42</v>
      </c>
      <c r="F209" s="28">
        <v>4</v>
      </c>
      <c r="G209" s="29">
        <v>3</v>
      </c>
      <c r="H209" s="19">
        <f t="shared" si="63"/>
        <v>12</v>
      </c>
      <c r="I209" s="20" t="s">
        <v>42</v>
      </c>
      <c r="J209" s="21" t="s">
        <v>43</v>
      </c>
      <c r="K209" s="21"/>
      <c r="L209" s="26">
        <f>0.28*3</f>
        <v>0.84000000000000008</v>
      </c>
      <c r="M209" t="s">
        <v>44</v>
      </c>
      <c r="N209" s="24">
        <v>38</v>
      </c>
      <c r="O209" s="25">
        <v>84</v>
      </c>
      <c r="U209" s="21"/>
      <c r="V209" s="21">
        <v>4</v>
      </c>
      <c r="W209" s="21">
        <v>5</v>
      </c>
      <c r="X209" s="21">
        <f>X204*(1+0.6+0.4)</f>
        <v>176.64000000000001</v>
      </c>
      <c r="Y209" s="21">
        <f>Y204*(1+0.6+0.4)</f>
        <v>209.40800000000004</v>
      </c>
      <c r="Z209" s="21">
        <f>Z204*(1+0.6+0.4)</f>
        <v>242.17600000000004</v>
      </c>
      <c r="AA209" s="21">
        <f>AA204*(1+0.6+0.4)</f>
        <v>315.90400000000005</v>
      </c>
      <c r="AB209" s="26">
        <f t="shared" si="78"/>
        <v>55.292000000000002</v>
      </c>
      <c r="AC209" s="27">
        <f t="shared" si="79"/>
        <v>117.348</v>
      </c>
      <c r="AD209" s="26">
        <f t="shared" si="80"/>
        <v>65.122400000000013</v>
      </c>
      <c r="AE209" s="27">
        <f t="shared" si="81"/>
        <v>140.28560000000002</v>
      </c>
      <c r="AF209" s="26">
        <f t="shared" si="82"/>
        <v>74.952800000000011</v>
      </c>
      <c r="AG209" s="27">
        <f t="shared" si="83"/>
        <v>163.22320000000002</v>
      </c>
      <c r="AH209" s="26">
        <f t="shared" si="84"/>
        <v>97.071200000000019</v>
      </c>
      <c r="AI209" s="27">
        <f t="shared" si="85"/>
        <v>214.83280000000002</v>
      </c>
      <c r="AJ209" s="28" t="s">
        <v>45</v>
      </c>
      <c r="AK209" s="15" t="s">
        <v>46</v>
      </c>
    </row>
    <row r="210" spans="1:37" ht="14.25" customHeight="1">
      <c r="A210" s="15" t="s">
        <v>39</v>
      </c>
      <c r="B210" s="16">
        <v>100</v>
      </c>
      <c r="C210" s="17" t="s">
        <v>40</v>
      </c>
      <c r="D210" s="15" t="s">
        <v>41</v>
      </c>
      <c r="E210" s="18" t="s">
        <v>42</v>
      </c>
      <c r="F210" s="28">
        <v>4</v>
      </c>
      <c r="G210" s="19">
        <v>3</v>
      </c>
      <c r="H210" s="19">
        <f t="shared" si="63"/>
        <v>12</v>
      </c>
      <c r="I210" s="20" t="s">
        <v>42</v>
      </c>
      <c r="J210" s="21" t="s">
        <v>43</v>
      </c>
      <c r="K210" s="21"/>
      <c r="L210" s="26">
        <f>0.26*3</f>
        <v>0.78</v>
      </c>
      <c r="M210" t="s">
        <v>44</v>
      </c>
      <c r="N210" s="24">
        <v>38</v>
      </c>
      <c r="O210" s="25">
        <v>84</v>
      </c>
      <c r="U210" s="21"/>
      <c r="V210" s="21">
        <v>4</v>
      </c>
      <c r="W210" s="21">
        <v>5</v>
      </c>
      <c r="X210" s="21">
        <f>X204*(1+0.6+0.4)</f>
        <v>176.64000000000001</v>
      </c>
      <c r="Y210" s="21">
        <f>Y204*(1+0.6+0.4)</f>
        <v>209.40800000000004</v>
      </c>
      <c r="Z210" s="21">
        <f>Z204*(1+0.6+0.4)</f>
        <v>242.17600000000004</v>
      </c>
      <c r="AA210" s="21">
        <f>AA204*(1+0.6+0.4)</f>
        <v>315.90400000000005</v>
      </c>
      <c r="AB210" s="26">
        <f t="shared" si="78"/>
        <v>55.292000000000002</v>
      </c>
      <c r="AC210" s="27">
        <f t="shared" si="79"/>
        <v>117.348</v>
      </c>
      <c r="AD210" s="26">
        <f t="shared" si="80"/>
        <v>65.122400000000013</v>
      </c>
      <c r="AE210" s="27">
        <f t="shared" si="81"/>
        <v>140.28560000000002</v>
      </c>
      <c r="AF210" s="26">
        <f t="shared" si="82"/>
        <v>74.952800000000011</v>
      </c>
      <c r="AG210" s="27">
        <f t="shared" si="83"/>
        <v>163.22320000000002</v>
      </c>
      <c r="AH210" s="26">
        <f t="shared" si="84"/>
        <v>97.071200000000019</v>
      </c>
      <c r="AI210" s="27">
        <f t="shared" si="85"/>
        <v>214.83280000000002</v>
      </c>
      <c r="AJ210" s="28" t="s">
        <v>45</v>
      </c>
      <c r="AK210" s="15" t="s">
        <v>46</v>
      </c>
    </row>
    <row r="211" spans="1:37" ht="14.25" customHeight="1">
      <c r="A211" s="69" t="s">
        <v>47</v>
      </c>
      <c r="B211" s="16">
        <v>2.5</v>
      </c>
      <c r="C211" s="17" t="s">
        <v>40</v>
      </c>
      <c r="D211" s="15" t="s">
        <v>41</v>
      </c>
      <c r="E211" s="18" t="s">
        <v>42</v>
      </c>
      <c r="F211" s="17">
        <v>28</v>
      </c>
      <c r="G211" s="19">
        <v>3</v>
      </c>
      <c r="H211" s="19">
        <f t="shared" si="63"/>
        <v>84</v>
      </c>
      <c r="I211" s="20" t="s">
        <v>42</v>
      </c>
      <c r="J211" s="21" t="s">
        <v>48</v>
      </c>
      <c r="K211" s="21"/>
      <c r="L211" s="26">
        <f>0.27*3</f>
        <v>0.81</v>
      </c>
      <c r="M211" t="s">
        <v>44</v>
      </c>
      <c r="N211" s="30">
        <v>112</v>
      </c>
      <c r="O211" s="25">
        <v>84</v>
      </c>
      <c r="U211" s="21"/>
      <c r="V211" s="21">
        <v>4</v>
      </c>
      <c r="W211" s="21">
        <v>5</v>
      </c>
      <c r="X211" s="21">
        <f t="shared" ref="X211:AA216" si="87">X207*(1+0.6+0.4)</f>
        <v>512</v>
      </c>
      <c r="Y211" s="21">
        <f t="shared" si="87"/>
        <v>544.76800000000003</v>
      </c>
      <c r="Z211" s="21">
        <f t="shared" si="87"/>
        <v>577.53600000000006</v>
      </c>
      <c r="AA211" s="21">
        <f t="shared" si="87"/>
        <v>651.26400000000012</v>
      </c>
      <c r="AB211" s="26">
        <f t="shared" si="78"/>
        <v>155.9</v>
      </c>
      <c r="AC211" s="27">
        <f t="shared" si="79"/>
        <v>352.09999999999997</v>
      </c>
      <c r="AD211" s="26">
        <f t="shared" si="80"/>
        <v>165.7304</v>
      </c>
      <c r="AE211" s="27">
        <f t="shared" si="81"/>
        <v>375.0376</v>
      </c>
      <c r="AF211" s="26">
        <f t="shared" si="82"/>
        <v>175.5608</v>
      </c>
      <c r="AG211" s="27">
        <f t="shared" si="83"/>
        <v>397.97520000000003</v>
      </c>
      <c r="AH211" s="26">
        <f t="shared" si="84"/>
        <v>197.67920000000004</v>
      </c>
      <c r="AI211" s="27">
        <f t="shared" si="85"/>
        <v>449.58480000000003</v>
      </c>
      <c r="AJ211" s="28" t="s">
        <v>45</v>
      </c>
      <c r="AK211" s="15" t="s">
        <v>46</v>
      </c>
    </row>
    <row r="212" spans="1:37" ht="14.25" customHeight="1">
      <c r="A212" s="69" t="s">
        <v>47</v>
      </c>
      <c r="B212" s="16">
        <v>5</v>
      </c>
      <c r="C212" s="17" t="s">
        <v>40</v>
      </c>
      <c r="D212" s="15" t="s">
        <v>41</v>
      </c>
      <c r="E212" s="18" t="s">
        <v>42</v>
      </c>
      <c r="F212" s="17">
        <v>28</v>
      </c>
      <c r="G212" s="19">
        <v>3</v>
      </c>
      <c r="H212" s="19">
        <f t="shared" si="63"/>
        <v>84</v>
      </c>
      <c r="I212" s="20" t="s">
        <v>42</v>
      </c>
      <c r="J212" s="21" t="s">
        <v>48</v>
      </c>
      <c r="K212" s="21"/>
      <c r="L212" s="26">
        <f>0.27*3</f>
        <v>0.81</v>
      </c>
      <c r="M212" t="s">
        <v>44</v>
      </c>
      <c r="N212" s="30">
        <v>112</v>
      </c>
      <c r="O212" s="25">
        <v>84</v>
      </c>
      <c r="U212" s="21"/>
      <c r="V212" s="21">
        <v>4</v>
      </c>
      <c r="W212" s="21">
        <v>5</v>
      </c>
      <c r="X212" s="21">
        <f t="shared" si="87"/>
        <v>353.28000000000003</v>
      </c>
      <c r="Y212" s="21">
        <f t="shared" si="87"/>
        <v>418.81600000000009</v>
      </c>
      <c r="Z212" s="21">
        <f t="shared" si="87"/>
        <v>484.35200000000009</v>
      </c>
      <c r="AA212" s="21">
        <f t="shared" si="87"/>
        <v>631.80800000000011</v>
      </c>
      <c r="AB212" s="26">
        <f t="shared" si="78"/>
        <v>108.28400000000001</v>
      </c>
      <c r="AC212" s="27">
        <f t="shared" si="79"/>
        <v>240.99600000000001</v>
      </c>
      <c r="AD212" s="26">
        <f t="shared" si="80"/>
        <v>127.94480000000001</v>
      </c>
      <c r="AE212" s="27">
        <f t="shared" si="81"/>
        <v>286.87120000000004</v>
      </c>
      <c r="AF212" s="26">
        <f t="shared" si="82"/>
        <v>147.60560000000001</v>
      </c>
      <c r="AG212" s="27">
        <f t="shared" si="83"/>
        <v>332.74640000000005</v>
      </c>
      <c r="AH212" s="26">
        <f t="shared" si="84"/>
        <v>191.84240000000003</v>
      </c>
      <c r="AI212" s="27">
        <f t="shared" si="85"/>
        <v>435.96560000000005</v>
      </c>
      <c r="AJ212" s="28" t="s">
        <v>45</v>
      </c>
      <c r="AK212" s="15" t="s">
        <v>46</v>
      </c>
    </row>
    <row r="213" spans="1:37" ht="14.25" customHeight="1">
      <c r="A213" s="69" t="s">
        <v>47</v>
      </c>
      <c r="B213" s="16">
        <v>10</v>
      </c>
      <c r="C213" s="17" t="s">
        <v>40</v>
      </c>
      <c r="D213" s="15" t="s">
        <v>41</v>
      </c>
      <c r="E213" s="18" t="s">
        <v>42</v>
      </c>
      <c r="F213" s="17">
        <v>4</v>
      </c>
      <c r="G213" s="19">
        <v>3</v>
      </c>
      <c r="H213" s="19">
        <f t="shared" si="63"/>
        <v>12</v>
      </c>
      <c r="I213" s="20" t="s">
        <v>42</v>
      </c>
      <c r="J213" s="22" t="s">
        <v>49</v>
      </c>
      <c r="K213" s="21"/>
      <c r="L213" s="26">
        <f>0.27*3</f>
        <v>0.81</v>
      </c>
      <c r="M213" t="s">
        <v>44</v>
      </c>
      <c r="N213" s="28">
        <v>38</v>
      </c>
      <c r="O213" s="25">
        <v>84</v>
      </c>
      <c r="U213" s="21"/>
      <c r="V213" s="21">
        <v>4</v>
      </c>
      <c r="W213" s="21">
        <v>5</v>
      </c>
      <c r="X213" s="21">
        <f t="shared" si="87"/>
        <v>353.28000000000003</v>
      </c>
      <c r="Y213" s="21">
        <f t="shared" si="87"/>
        <v>418.81600000000009</v>
      </c>
      <c r="Z213" s="21">
        <f t="shared" si="87"/>
        <v>484.35200000000009</v>
      </c>
      <c r="AA213" s="21">
        <f t="shared" si="87"/>
        <v>631.80800000000011</v>
      </c>
      <c r="AB213" s="26">
        <f t="shared" si="78"/>
        <v>108.28400000000001</v>
      </c>
      <c r="AC213" s="27">
        <f t="shared" si="79"/>
        <v>240.99600000000001</v>
      </c>
      <c r="AD213" s="26">
        <f t="shared" si="80"/>
        <v>127.94480000000001</v>
      </c>
      <c r="AE213" s="27">
        <f t="shared" si="81"/>
        <v>286.87120000000004</v>
      </c>
      <c r="AF213" s="26">
        <f t="shared" si="82"/>
        <v>147.60560000000001</v>
      </c>
      <c r="AG213" s="27">
        <f t="shared" si="83"/>
        <v>332.74640000000005</v>
      </c>
      <c r="AH213" s="26">
        <f t="shared" si="84"/>
        <v>191.84240000000003</v>
      </c>
      <c r="AI213" s="27">
        <f t="shared" si="85"/>
        <v>435.96560000000005</v>
      </c>
      <c r="AJ213" s="28" t="s">
        <v>45</v>
      </c>
      <c r="AK213" s="15" t="s">
        <v>46</v>
      </c>
    </row>
    <row r="214" spans="1:37" ht="14.25" customHeight="1">
      <c r="A214" s="69" t="s">
        <v>47</v>
      </c>
      <c r="B214" s="16">
        <v>20</v>
      </c>
      <c r="C214" s="17" t="s">
        <v>40</v>
      </c>
      <c r="D214" s="15" t="s">
        <v>41</v>
      </c>
      <c r="E214" s="18" t="s">
        <v>42</v>
      </c>
      <c r="F214" s="17">
        <v>4</v>
      </c>
      <c r="G214" s="19">
        <v>3</v>
      </c>
      <c r="H214" s="19">
        <f t="shared" si="63"/>
        <v>12</v>
      </c>
      <c r="I214" s="20" t="s">
        <v>42</v>
      </c>
      <c r="J214" s="22" t="s">
        <v>49</v>
      </c>
      <c r="K214" s="21"/>
      <c r="L214" s="26">
        <f>0.27*3</f>
        <v>0.81</v>
      </c>
      <c r="M214" t="s">
        <v>44</v>
      </c>
      <c r="N214" s="28">
        <v>38</v>
      </c>
      <c r="O214" s="25">
        <v>84</v>
      </c>
      <c r="U214" s="21"/>
      <c r="V214" s="21">
        <v>4</v>
      </c>
      <c r="W214" s="21">
        <v>5</v>
      </c>
      <c r="X214" s="21">
        <f t="shared" si="87"/>
        <v>353.28000000000003</v>
      </c>
      <c r="Y214" s="21">
        <f t="shared" si="87"/>
        <v>418.81600000000009</v>
      </c>
      <c r="Z214" s="21">
        <f t="shared" si="87"/>
        <v>484.35200000000009</v>
      </c>
      <c r="AA214" s="21">
        <f t="shared" si="87"/>
        <v>631.80800000000011</v>
      </c>
      <c r="AB214" s="26">
        <f t="shared" si="78"/>
        <v>108.28400000000001</v>
      </c>
      <c r="AC214" s="27">
        <f t="shared" si="79"/>
        <v>240.99600000000001</v>
      </c>
      <c r="AD214" s="26">
        <f t="shared" si="80"/>
        <v>127.94480000000001</v>
      </c>
      <c r="AE214" s="27">
        <f t="shared" si="81"/>
        <v>286.87120000000004</v>
      </c>
      <c r="AF214" s="26">
        <f t="shared" si="82"/>
        <v>147.60560000000001</v>
      </c>
      <c r="AG214" s="27">
        <f t="shared" si="83"/>
        <v>332.74640000000005</v>
      </c>
      <c r="AH214" s="26">
        <f t="shared" si="84"/>
        <v>191.84240000000003</v>
      </c>
      <c r="AI214" s="27">
        <f t="shared" si="85"/>
        <v>435.96560000000005</v>
      </c>
      <c r="AJ214" s="28" t="s">
        <v>45</v>
      </c>
      <c r="AK214" s="15" t="s">
        <v>46</v>
      </c>
    </row>
    <row r="215" spans="1:37" ht="14.25" customHeight="1">
      <c r="A215" s="15" t="s">
        <v>50</v>
      </c>
      <c r="B215" s="16">
        <v>10</v>
      </c>
      <c r="C215" s="17" t="s">
        <v>40</v>
      </c>
      <c r="D215" s="15" t="s">
        <v>41</v>
      </c>
      <c r="E215" s="18" t="s">
        <v>42</v>
      </c>
      <c r="F215" s="17">
        <v>4</v>
      </c>
      <c r="G215" s="19">
        <v>3</v>
      </c>
      <c r="H215" s="19">
        <f t="shared" si="63"/>
        <v>12</v>
      </c>
      <c r="I215" s="20" t="s">
        <v>42</v>
      </c>
      <c r="J215" s="21" t="s">
        <v>43</v>
      </c>
      <c r="K215" s="21"/>
      <c r="L215" s="26">
        <f>L211*3</f>
        <v>2.4300000000000002</v>
      </c>
      <c r="M215" t="s">
        <v>44</v>
      </c>
      <c r="N215" s="28">
        <v>38</v>
      </c>
      <c r="O215" s="25">
        <v>84</v>
      </c>
      <c r="U215" s="21"/>
      <c r="V215" s="21">
        <v>4</v>
      </c>
      <c r="W215" s="21">
        <v>5</v>
      </c>
      <c r="X215" s="21">
        <f t="shared" si="87"/>
        <v>1024</v>
      </c>
      <c r="Y215" s="21">
        <f t="shared" si="87"/>
        <v>1089.5360000000001</v>
      </c>
      <c r="Z215" s="21">
        <f t="shared" si="87"/>
        <v>1155.0720000000001</v>
      </c>
      <c r="AA215" s="21">
        <f t="shared" si="87"/>
        <v>1302.5280000000002</v>
      </c>
      <c r="AB215" s="26">
        <f t="shared" si="78"/>
        <v>309.5</v>
      </c>
      <c r="AC215" s="27">
        <f t="shared" si="79"/>
        <v>710.5</v>
      </c>
      <c r="AD215" s="26">
        <f t="shared" si="80"/>
        <v>329.16079999999999</v>
      </c>
      <c r="AE215" s="27">
        <f t="shared" si="81"/>
        <v>756.37519999999995</v>
      </c>
      <c r="AF215" s="26">
        <f t="shared" si="82"/>
        <v>348.82160000000005</v>
      </c>
      <c r="AG215" s="27">
        <f t="shared" si="83"/>
        <v>802.25040000000001</v>
      </c>
      <c r="AH215" s="26">
        <f t="shared" si="84"/>
        <v>393.05840000000006</v>
      </c>
      <c r="AI215" s="27">
        <f t="shared" si="85"/>
        <v>905.46960000000013</v>
      </c>
      <c r="AJ215" s="28" t="s">
        <v>45</v>
      </c>
      <c r="AK215" s="15" t="s">
        <v>46</v>
      </c>
    </row>
    <row r="216" spans="1:37" ht="14.25" customHeight="1">
      <c r="A216" s="15" t="s">
        <v>50</v>
      </c>
      <c r="B216" s="16">
        <v>20</v>
      </c>
      <c r="C216" s="17" t="s">
        <v>40</v>
      </c>
      <c r="D216" s="15" t="s">
        <v>41</v>
      </c>
      <c r="E216" s="18" t="s">
        <v>42</v>
      </c>
      <c r="F216" s="17">
        <v>4</v>
      </c>
      <c r="G216" s="19">
        <v>3</v>
      </c>
      <c r="H216" s="19">
        <f t="shared" si="63"/>
        <v>12</v>
      </c>
      <c r="I216" s="20" t="s">
        <v>42</v>
      </c>
      <c r="J216" s="21" t="s">
        <v>43</v>
      </c>
      <c r="K216" s="21"/>
      <c r="L216" s="26">
        <f>L212*3</f>
        <v>2.4300000000000002</v>
      </c>
      <c r="M216" t="s">
        <v>44</v>
      </c>
      <c r="N216" s="28">
        <v>38</v>
      </c>
      <c r="O216" s="25">
        <v>84</v>
      </c>
      <c r="U216" s="21"/>
      <c r="V216" s="21">
        <v>4</v>
      </c>
      <c r="W216" s="21">
        <v>5</v>
      </c>
      <c r="X216" s="21">
        <f t="shared" si="87"/>
        <v>706.56000000000006</v>
      </c>
      <c r="Y216" s="21">
        <f t="shared" si="87"/>
        <v>837.63200000000018</v>
      </c>
      <c r="Z216" s="21">
        <f t="shared" si="87"/>
        <v>968.70400000000018</v>
      </c>
      <c r="AA216" s="21">
        <f t="shared" si="87"/>
        <v>1263.6160000000002</v>
      </c>
      <c r="AB216" s="26">
        <f t="shared" si="78"/>
        <v>214.268</v>
      </c>
      <c r="AC216" s="27">
        <f t="shared" si="79"/>
        <v>488.29200000000003</v>
      </c>
      <c r="AD216" s="26">
        <f t="shared" si="80"/>
        <v>253.58960000000005</v>
      </c>
      <c r="AE216" s="27">
        <f t="shared" si="81"/>
        <v>580.04240000000004</v>
      </c>
      <c r="AF216" s="26">
        <f t="shared" si="82"/>
        <v>292.91120000000006</v>
      </c>
      <c r="AG216" s="27">
        <f t="shared" si="83"/>
        <v>671.79280000000006</v>
      </c>
      <c r="AH216" s="26">
        <f t="shared" si="84"/>
        <v>381.38480000000004</v>
      </c>
      <c r="AI216" s="27">
        <f t="shared" si="85"/>
        <v>878.23120000000006</v>
      </c>
      <c r="AJ216" s="28" t="s">
        <v>45</v>
      </c>
      <c r="AK216" s="15" t="s">
        <v>46</v>
      </c>
    </row>
    <row r="217" spans="1:37" ht="14.25" customHeight="1">
      <c r="A217" s="15" t="s">
        <v>51</v>
      </c>
      <c r="B217" s="16">
        <v>30</v>
      </c>
      <c r="C217" s="32" t="s">
        <v>40</v>
      </c>
      <c r="D217" s="15" t="s">
        <v>41</v>
      </c>
      <c r="E217" s="33" t="s">
        <v>42</v>
      </c>
      <c r="F217" s="17">
        <v>3</v>
      </c>
      <c r="G217" s="19">
        <v>3</v>
      </c>
      <c r="H217" s="19">
        <f t="shared" si="63"/>
        <v>9</v>
      </c>
      <c r="I217" s="20" t="s">
        <v>42</v>
      </c>
      <c r="J217" s="22" t="s">
        <v>52</v>
      </c>
      <c r="K217" s="21"/>
      <c r="L217" s="34">
        <f>14.71*3</f>
        <v>44.13</v>
      </c>
      <c r="M217" s="32" t="s">
        <v>53</v>
      </c>
      <c r="N217" s="17">
        <v>18</v>
      </c>
      <c r="O217" s="25">
        <v>84</v>
      </c>
      <c r="U217" s="21"/>
      <c r="V217" s="21">
        <f>L217</f>
        <v>44.13</v>
      </c>
      <c r="W217" s="21">
        <v>5</v>
      </c>
      <c r="X217" s="21">
        <f>(20*(1+0.6+0.4))+(L217-4)</f>
        <v>80.13</v>
      </c>
      <c r="Y217" s="21">
        <f>(24*(1+0.6+0.4))+(L217-4)</f>
        <v>88.13</v>
      </c>
      <c r="Z217" s="21">
        <f>(28*(1+0.6+0.4))+(L217-4)</f>
        <v>96.13</v>
      </c>
      <c r="AA217" s="21">
        <f>(39*(1+0.6+0.4))+(L217-4)</f>
        <v>118.13</v>
      </c>
      <c r="AB217" s="26">
        <f t="shared" si="78"/>
        <v>14.299999999999997</v>
      </c>
      <c r="AC217" s="27">
        <f t="shared" si="79"/>
        <v>21.699999999999992</v>
      </c>
      <c r="AD217" s="26">
        <f t="shared" si="80"/>
        <v>16.699999999999996</v>
      </c>
      <c r="AE217" s="27">
        <f t="shared" si="81"/>
        <v>27.299999999999994</v>
      </c>
      <c r="AF217" s="26">
        <f t="shared" si="82"/>
        <v>19.099999999999998</v>
      </c>
      <c r="AG217" s="27">
        <f t="shared" si="83"/>
        <v>32.899999999999991</v>
      </c>
      <c r="AH217" s="26">
        <f t="shared" si="84"/>
        <v>25.7</v>
      </c>
      <c r="AI217" s="27">
        <f t="shared" si="85"/>
        <v>48.3</v>
      </c>
      <c r="AJ217" s="28" t="s">
        <v>45</v>
      </c>
      <c r="AK217" s="15" t="s">
        <v>46</v>
      </c>
    </row>
    <row r="218" spans="1:37" ht="14.25" customHeight="1">
      <c r="A218" s="15" t="s">
        <v>51</v>
      </c>
      <c r="B218" s="16">
        <v>60</v>
      </c>
      <c r="C218" s="32" t="s">
        <v>40</v>
      </c>
      <c r="D218" s="15" t="s">
        <v>41</v>
      </c>
      <c r="E218" s="33" t="s">
        <v>42</v>
      </c>
      <c r="F218" s="17">
        <v>3</v>
      </c>
      <c r="G218" s="19">
        <v>3</v>
      </c>
      <c r="H218" s="19">
        <f t="shared" si="63"/>
        <v>9</v>
      </c>
      <c r="I218" s="20" t="s">
        <v>42</v>
      </c>
      <c r="J218" s="22" t="s">
        <v>52</v>
      </c>
      <c r="K218" s="21"/>
      <c r="L218" s="34">
        <f>L216*3</f>
        <v>7.2900000000000009</v>
      </c>
      <c r="M218" s="32" t="s">
        <v>53</v>
      </c>
      <c r="N218" s="17">
        <v>18</v>
      </c>
      <c r="O218" s="25">
        <v>84</v>
      </c>
      <c r="U218" s="21"/>
      <c r="V218" s="21">
        <f>L218</f>
        <v>7.2900000000000009</v>
      </c>
      <c r="W218" s="21">
        <v>5</v>
      </c>
      <c r="X218" s="21">
        <f>(20*(1+0.6+0.4))+(L218-4)</f>
        <v>43.29</v>
      </c>
      <c r="Y218" s="21">
        <f>(24*(1+0.6+0.4))+(L218-4)</f>
        <v>51.29</v>
      </c>
      <c r="Z218" s="21">
        <f>(28*(1+0.6+0.4))+(L218-4)</f>
        <v>59.29</v>
      </c>
      <c r="AA218" s="21">
        <f>(39*(1+0.6+0.4))+(L218-4)</f>
        <v>81.290000000000006</v>
      </c>
      <c r="AB218" s="26">
        <f t="shared" si="78"/>
        <v>14.299999999999999</v>
      </c>
      <c r="AC218" s="27">
        <f t="shared" si="79"/>
        <v>21.7</v>
      </c>
      <c r="AD218" s="26">
        <f t="shared" si="80"/>
        <v>16.7</v>
      </c>
      <c r="AE218" s="27">
        <f t="shared" si="81"/>
        <v>27.299999999999997</v>
      </c>
      <c r="AF218" s="26">
        <f t="shared" si="82"/>
        <v>19.100000000000001</v>
      </c>
      <c r="AG218" s="27">
        <f t="shared" si="83"/>
        <v>32.9</v>
      </c>
      <c r="AH218" s="26">
        <f t="shared" si="84"/>
        <v>25.7</v>
      </c>
      <c r="AI218" s="27">
        <f t="shared" si="85"/>
        <v>48.3</v>
      </c>
      <c r="AJ218" s="28" t="s">
        <v>45</v>
      </c>
      <c r="AK218" s="15" t="s">
        <v>46</v>
      </c>
    </row>
    <row r="219" spans="1:37" ht="14.25" customHeight="1">
      <c r="A219" s="15" t="s">
        <v>58</v>
      </c>
      <c r="B219" s="16">
        <v>1</v>
      </c>
      <c r="C219" s="32" t="s">
        <v>40</v>
      </c>
      <c r="D219" s="15" t="s">
        <v>41</v>
      </c>
      <c r="E219" s="33" t="s">
        <v>42</v>
      </c>
      <c r="F219" s="17">
        <v>28</v>
      </c>
      <c r="G219" s="19">
        <v>3</v>
      </c>
      <c r="H219" s="19">
        <f t="shared" si="63"/>
        <v>84</v>
      </c>
      <c r="I219" s="20" t="s">
        <v>42</v>
      </c>
      <c r="J219" s="21" t="s">
        <v>48</v>
      </c>
      <c r="K219" s="21"/>
      <c r="L219" s="26">
        <f>1.77*3</f>
        <v>5.3100000000000005</v>
      </c>
      <c r="M219" s="32" t="s">
        <v>59</v>
      </c>
      <c r="N219" s="28">
        <v>112</v>
      </c>
      <c r="O219" s="25">
        <v>84</v>
      </c>
      <c r="U219" s="21"/>
      <c r="V219" s="21">
        <v>4</v>
      </c>
      <c r="W219" s="21">
        <v>5</v>
      </c>
      <c r="X219" s="21">
        <f>X217*(1+0.6+0.4)</f>
        <v>160.26</v>
      </c>
      <c r="Y219" s="21">
        <f>Y217*(1+0.6+0.4)</f>
        <v>176.26</v>
      </c>
      <c r="Z219" s="21">
        <f>Z217*(1+0.6+0.4)</f>
        <v>192.26</v>
      </c>
      <c r="AA219" s="21">
        <f>AA217*(1+0.6+0.4)</f>
        <v>236.26</v>
      </c>
      <c r="AB219" s="26">
        <f t="shared" si="78"/>
        <v>50.377999999999993</v>
      </c>
      <c r="AC219" s="27">
        <f t="shared" si="79"/>
        <v>105.88199999999999</v>
      </c>
      <c r="AD219" s="26">
        <f t="shared" si="80"/>
        <v>55.177999999999997</v>
      </c>
      <c r="AE219" s="27">
        <f t="shared" si="81"/>
        <v>117.08199999999998</v>
      </c>
      <c r="AF219" s="26">
        <f t="shared" si="82"/>
        <v>59.977999999999994</v>
      </c>
      <c r="AG219" s="27">
        <f t="shared" si="83"/>
        <v>128.28199999999998</v>
      </c>
      <c r="AH219" s="26">
        <f t="shared" si="84"/>
        <v>73.177999999999997</v>
      </c>
      <c r="AI219" s="27">
        <f t="shared" si="85"/>
        <v>159.08199999999999</v>
      </c>
      <c r="AJ219" s="28" t="s">
        <v>45</v>
      </c>
      <c r="AK219" s="15" t="s">
        <v>60</v>
      </c>
    </row>
    <row r="220" spans="1:37" ht="14.25" customHeight="1">
      <c r="A220" s="15" t="s">
        <v>65</v>
      </c>
      <c r="B220" s="35">
        <v>11.5</v>
      </c>
      <c r="C220" s="17" t="s">
        <v>54</v>
      </c>
      <c r="D220" s="15" t="s">
        <v>41</v>
      </c>
      <c r="E220" s="33" t="s">
        <v>55</v>
      </c>
      <c r="F220" s="15">
        <v>60</v>
      </c>
      <c r="G220" s="19">
        <v>3</v>
      </c>
      <c r="H220" s="19">
        <f t="shared" si="63"/>
        <v>180</v>
      </c>
      <c r="I220" s="20" t="s">
        <v>56</v>
      </c>
      <c r="J220" s="32" t="s">
        <v>66</v>
      </c>
      <c r="K220" s="32"/>
      <c r="L220" s="37">
        <f>L218*3</f>
        <v>21.870000000000005</v>
      </c>
      <c r="M220" s="32" t="s">
        <v>67</v>
      </c>
      <c r="N220" s="28">
        <v>180</v>
      </c>
      <c r="O220" s="28">
        <v>84</v>
      </c>
      <c r="U220" s="21"/>
      <c r="V220" s="21">
        <f>L220</f>
        <v>21.870000000000005</v>
      </c>
      <c r="W220" s="22">
        <v>5</v>
      </c>
      <c r="X220" s="21">
        <f>20*(1+0.6+0.4)+$V$104-4</f>
        <v>40</v>
      </c>
      <c r="Y220" s="21">
        <f>24*(1+0.6+0.4)+$V$104-4</f>
        <v>48</v>
      </c>
      <c r="Z220" s="21">
        <f>28*(1+0.6+0.4)+$V$104-4</f>
        <v>56</v>
      </c>
      <c r="AA220" s="21">
        <f>39*(1+0.6+0.4)+$V$104-4</f>
        <v>78</v>
      </c>
      <c r="AB220" s="26">
        <f t="shared" si="78"/>
        <v>8.9389999999999983</v>
      </c>
      <c r="AC220" s="27">
        <f t="shared" si="79"/>
        <v>9.1909999999999954</v>
      </c>
      <c r="AD220" s="26">
        <f t="shared" si="80"/>
        <v>11.338999999999999</v>
      </c>
      <c r="AE220" s="27">
        <f t="shared" si="81"/>
        <v>14.790999999999995</v>
      </c>
      <c r="AF220" s="26">
        <f t="shared" si="82"/>
        <v>13.738999999999999</v>
      </c>
      <c r="AG220" s="27">
        <f t="shared" si="83"/>
        <v>20.390999999999995</v>
      </c>
      <c r="AH220" s="26">
        <f t="shared" si="84"/>
        <v>20.338999999999999</v>
      </c>
      <c r="AI220" s="27">
        <f t="shared" si="85"/>
        <v>35.790999999999997</v>
      </c>
      <c r="AJ220" s="28" t="s">
        <v>45</v>
      </c>
    </row>
    <row r="221" spans="1:37" ht="14.25" customHeight="1">
      <c r="A221" s="15" t="s">
        <v>68</v>
      </c>
      <c r="B221" s="35" t="s">
        <v>69</v>
      </c>
      <c r="C221" s="17" t="s">
        <v>70</v>
      </c>
      <c r="D221" s="15" t="s">
        <v>41</v>
      </c>
      <c r="E221" s="33" t="s">
        <v>42</v>
      </c>
      <c r="F221" s="32">
        <v>63</v>
      </c>
      <c r="G221" s="19">
        <v>3</v>
      </c>
      <c r="H221" s="19">
        <f t="shared" si="63"/>
        <v>189</v>
      </c>
      <c r="I221" s="38" t="s">
        <v>42</v>
      </c>
      <c r="J221" s="15" t="s">
        <v>71</v>
      </c>
      <c r="K221" s="32"/>
      <c r="L221" s="40">
        <f>2.83*3</f>
        <v>8.49</v>
      </c>
      <c r="M221" s="32" t="s">
        <v>72</v>
      </c>
      <c r="N221" s="17">
        <v>252</v>
      </c>
      <c r="O221" s="28">
        <v>308</v>
      </c>
      <c r="U221" s="21"/>
      <c r="V221" s="21">
        <v>8</v>
      </c>
      <c r="W221" s="21">
        <v>5</v>
      </c>
      <c r="X221" s="21">
        <f t="shared" ref="X221:AA222" si="88">X219*(1+0.6+0.4)+4</f>
        <v>324.52</v>
      </c>
      <c r="Y221" s="21">
        <f t="shared" si="88"/>
        <v>356.52</v>
      </c>
      <c r="Z221" s="21">
        <f t="shared" si="88"/>
        <v>388.52</v>
      </c>
      <c r="AA221" s="21">
        <f t="shared" si="88"/>
        <v>476.52</v>
      </c>
      <c r="AB221" s="26">
        <f t="shared" si="78"/>
        <v>98.455999999999989</v>
      </c>
      <c r="AC221" s="27">
        <f t="shared" si="79"/>
        <v>218.06399999999996</v>
      </c>
      <c r="AD221" s="26">
        <f t="shared" si="80"/>
        <v>108.056</v>
      </c>
      <c r="AE221" s="27">
        <f t="shared" si="81"/>
        <v>240.46399999999997</v>
      </c>
      <c r="AF221" s="26">
        <f t="shared" si="82"/>
        <v>117.65599999999999</v>
      </c>
      <c r="AG221" s="27">
        <f t="shared" si="83"/>
        <v>262.86399999999998</v>
      </c>
      <c r="AH221" s="26">
        <f t="shared" si="84"/>
        <v>144.05599999999998</v>
      </c>
      <c r="AI221" s="27">
        <f t="shared" si="85"/>
        <v>324.46399999999994</v>
      </c>
      <c r="AJ221" s="28" t="s">
        <v>45</v>
      </c>
    </row>
    <row r="222" spans="1:37" ht="14.25" customHeight="1">
      <c r="A222" s="15" t="s">
        <v>73</v>
      </c>
      <c r="B222" s="35">
        <v>75</v>
      </c>
      <c r="C222" s="17" t="s">
        <v>70</v>
      </c>
      <c r="D222" s="15" t="s">
        <v>41</v>
      </c>
      <c r="E222" s="33" t="s">
        <v>42</v>
      </c>
      <c r="F222" s="17">
        <v>84</v>
      </c>
      <c r="G222" s="19">
        <v>3</v>
      </c>
      <c r="H222" s="19">
        <f t="shared" si="63"/>
        <v>252</v>
      </c>
      <c r="I222" s="38" t="s">
        <v>42</v>
      </c>
      <c r="J222" s="32"/>
      <c r="K222" s="32"/>
      <c r="L222" s="40">
        <f>2.57*3</f>
        <v>7.7099999999999991</v>
      </c>
      <c r="M222" s="32" t="s">
        <v>72</v>
      </c>
      <c r="N222" s="17">
        <v>336</v>
      </c>
      <c r="O222" s="28">
        <v>308</v>
      </c>
      <c r="U222" s="21"/>
      <c r="V222" s="21">
        <v>8</v>
      </c>
      <c r="W222" s="21">
        <v>5</v>
      </c>
      <c r="X222" s="21">
        <f t="shared" si="88"/>
        <v>84</v>
      </c>
      <c r="Y222" s="21">
        <f t="shared" si="88"/>
        <v>100</v>
      </c>
      <c r="Z222" s="21">
        <f t="shared" si="88"/>
        <v>116</v>
      </c>
      <c r="AA222" s="21">
        <f t="shared" si="88"/>
        <v>160</v>
      </c>
      <c r="AB222" s="26">
        <f t="shared" si="78"/>
        <v>26.3</v>
      </c>
      <c r="AC222" s="27">
        <f t="shared" si="79"/>
        <v>49.699999999999996</v>
      </c>
      <c r="AD222" s="26">
        <f t="shared" si="80"/>
        <v>31.099999999999998</v>
      </c>
      <c r="AE222" s="27">
        <f t="shared" si="81"/>
        <v>60.9</v>
      </c>
      <c r="AF222" s="26">
        <f t="shared" si="82"/>
        <v>35.9</v>
      </c>
      <c r="AG222" s="27">
        <f t="shared" si="83"/>
        <v>72.099999999999994</v>
      </c>
      <c r="AH222" s="26">
        <f t="shared" si="84"/>
        <v>49.1</v>
      </c>
      <c r="AI222" s="27">
        <f t="shared" si="85"/>
        <v>102.89999999999999</v>
      </c>
      <c r="AJ222" s="28" t="s">
        <v>45</v>
      </c>
    </row>
    <row r="223" spans="1:37" ht="14.25" customHeight="1">
      <c r="A223" s="15" t="s">
        <v>74</v>
      </c>
      <c r="B223" s="35" t="s">
        <v>69</v>
      </c>
      <c r="C223" s="17" t="s">
        <v>70</v>
      </c>
      <c r="D223" s="15" t="s">
        <v>41</v>
      </c>
      <c r="E223" s="33" t="s">
        <v>42</v>
      </c>
      <c r="F223" s="17">
        <v>63</v>
      </c>
      <c r="G223" s="19">
        <v>3</v>
      </c>
      <c r="H223" s="19">
        <f t="shared" si="63"/>
        <v>189</v>
      </c>
      <c r="I223" s="38" t="s">
        <v>42</v>
      </c>
      <c r="J223" s="15" t="s">
        <v>71</v>
      </c>
      <c r="K223" s="32"/>
      <c r="L223" s="39">
        <f>1.88*3</f>
        <v>5.64</v>
      </c>
      <c r="M223" s="32" t="s">
        <v>72</v>
      </c>
      <c r="N223" s="17">
        <v>252</v>
      </c>
      <c r="O223" s="28">
        <v>308</v>
      </c>
      <c r="U223" s="21"/>
      <c r="V223" s="21">
        <v>4</v>
      </c>
      <c r="W223" s="21">
        <v>5</v>
      </c>
      <c r="X223" s="21">
        <f>X221*(1+0.6+0.4)</f>
        <v>649.04</v>
      </c>
      <c r="Y223" s="21">
        <f>Y221*(1+0.6+0.4)</f>
        <v>713.04</v>
      </c>
      <c r="Z223" s="21">
        <f>Z221*(1+0.6+0.4)</f>
        <v>777.04</v>
      </c>
      <c r="AA223" s="21">
        <f>AA221*(1+0.6+0.4)</f>
        <v>953.04</v>
      </c>
      <c r="AB223" s="26">
        <f t="shared" si="78"/>
        <v>197.01199999999997</v>
      </c>
      <c r="AC223" s="27">
        <f t="shared" si="79"/>
        <v>448.02799999999996</v>
      </c>
      <c r="AD223" s="26">
        <f t="shared" si="80"/>
        <v>216.21199999999999</v>
      </c>
      <c r="AE223" s="27">
        <f t="shared" si="81"/>
        <v>492.82799999999992</v>
      </c>
      <c r="AF223" s="26">
        <f t="shared" si="82"/>
        <v>235.41199999999998</v>
      </c>
      <c r="AG223" s="27">
        <f t="shared" si="83"/>
        <v>537.62799999999993</v>
      </c>
      <c r="AH223" s="26">
        <f t="shared" si="84"/>
        <v>288.21199999999999</v>
      </c>
      <c r="AI223" s="27">
        <f t="shared" si="85"/>
        <v>660.82799999999997</v>
      </c>
      <c r="AJ223" s="28" t="s">
        <v>45</v>
      </c>
    </row>
    <row r="224" spans="1:37" ht="14.25" customHeight="1">
      <c r="A224" s="15" t="s">
        <v>75</v>
      </c>
      <c r="B224" s="35" t="s">
        <v>69</v>
      </c>
      <c r="C224" s="17" t="s">
        <v>70</v>
      </c>
      <c r="D224" s="15" t="s">
        <v>41</v>
      </c>
      <c r="E224" s="33" t="s">
        <v>42</v>
      </c>
      <c r="F224" s="32">
        <v>63</v>
      </c>
      <c r="G224" s="19">
        <v>3</v>
      </c>
      <c r="H224" s="19">
        <f t="shared" si="63"/>
        <v>189</v>
      </c>
      <c r="I224" s="38" t="s">
        <v>42</v>
      </c>
      <c r="J224" s="15" t="s">
        <v>71</v>
      </c>
      <c r="K224" s="32"/>
      <c r="L224" s="40">
        <f>2.8*3</f>
        <v>8.3999999999999986</v>
      </c>
      <c r="M224" s="32" t="s">
        <v>72</v>
      </c>
      <c r="N224" s="17">
        <v>252</v>
      </c>
      <c r="O224" s="28">
        <v>308</v>
      </c>
      <c r="U224" s="21"/>
      <c r="V224" s="21">
        <v>8</v>
      </c>
      <c r="W224" s="21">
        <v>5</v>
      </c>
      <c r="X224" s="21">
        <f>X222*(1+0.6+0.4)+4</f>
        <v>172</v>
      </c>
      <c r="Y224" s="21">
        <f>Y222*(1+0.6+0.4)+4</f>
        <v>204</v>
      </c>
      <c r="Z224" s="21">
        <f>Z222*(1+0.6+0.4)+4</f>
        <v>236</v>
      </c>
      <c r="AA224" s="21">
        <f>AA222*(1+0.6+0.4)+4</f>
        <v>324</v>
      </c>
      <c r="AB224" s="26">
        <f t="shared" si="78"/>
        <v>52.699999999999996</v>
      </c>
      <c r="AC224" s="27">
        <f t="shared" si="79"/>
        <v>111.3</v>
      </c>
      <c r="AD224" s="26">
        <f t="shared" si="80"/>
        <v>62.3</v>
      </c>
      <c r="AE224" s="27">
        <f t="shared" si="81"/>
        <v>133.69999999999999</v>
      </c>
      <c r="AF224" s="26">
        <f t="shared" si="82"/>
        <v>71.899999999999991</v>
      </c>
      <c r="AG224" s="27">
        <f t="shared" si="83"/>
        <v>156.1</v>
      </c>
      <c r="AH224" s="26">
        <f t="shared" si="84"/>
        <v>98.3</v>
      </c>
      <c r="AI224" s="27">
        <f t="shared" si="85"/>
        <v>217.7</v>
      </c>
      <c r="AJ224" s="28" t="s">
        <v>45</v>
      </c>
    </row>
    <row r="225" spans="1:40" ht="14.25" customHeight="1">
      <c r="A225" s="15" t="s">
        <v>76</v>
      </c>
      <c r="B225" s="35" t="s">
        <v>69</v>
      </c>
      <c r="C225" s="17" t="s">
        <v>70</v>
      </c>
      <c r="D225" s="15" t="s">
        <v>41</v>
      </c>
      <c r="E225" s="33" t="s">
        <v>42</v>
      </c>
      <c r="F225" s="32">
        <v>63</v>
      </c>
      <c r="G225" s="19">
        <v>3</v>
      </c>
      <c r="H225" s="19">
        <f t="shared" si="63"/>
        <v>189</v>
      </c>
      <c r="I225" s="38" t="s">
        <v>42</v>
      </c>
      <c r="J225" s="15" t="s">
        <v>71</v>
      </c>
      <c r="K225" s="32"/>
      <c r="L225" s="37">
        <f>5.85*3</f>
        <v>17.549999999999997</v>
      </c>
      <c r="M225" s="32" t="s">
        <v>72</v>
      </c>
      <c r="N225" s="17">
        <v>252</v>
      </c>
      <c r="O225" s="28">
        <v>308</v>
      </c>
      <c r="U225" s="21"/>
      <c r="V225" s="21">
        <f t="shared" ref="V225:V230" si="89">L225</f>
        <v>17.549999999999997</v>
      </c>
      <c r="W225" s="21">
        <v>5</v>
      </c>
      <c r="X225" s="21">
        <f>(20*(1+0.6+0.4))+(V225-4)</f>
        <v>53.55</v>
      </c>
      <c r="Y225" s="21">
        <f>(24*(1+0.6+0.4))+(V225-4)</f>
        <v>61.55</v>
      </c>
      <c r="Z225" s="21">
        <f>(28*(1+0.6+0.4))+(V225-4)</f>
        <v>69.55</v>
      </c>
      <c r="AA225" s="21">
        <f>(39*(1+0.6+0.4))+(V225-4)</f>
        <v>91.55</v>
      </c>
      <c r="AB225" s="26">
        <f t="shared" si="78"/>
        <v>14.299999999999999</v>
      </c>
      <c r="AC225" s="27">
        <f t="shared" si="79"/>
        <v>21.7</v>
      </c>
      <c r="AD225" s="26">
        <f t="shared" si="80"/>
        <v>16.7</v>
      </c>
      <c r="AE225" s="27">
        <f t="shared" si="81"/>
        <v>27.299999999999997</v>
      </c>
      <c r="AF225" s="26">
        <f t="shared" si="82"/>
        <v>19.100000000000001</v>
      </c>
      <c r="AG225" s="27">
        <f t="shared" si="83"/>
        <v>32.9</v>
      </c>
      <c r="AH225" s="26">
        <f t="shared" si="84"/>
        <v>25.7</v>
      </c>
      <c r="AI225" s="27">
        <f t="shared" si="85"/>
        <v>48.3</v>
      </c>
      <c r="AJ225" s="28" t="s">
        <v>45</v>
      </c>
    </row>
    <row r="226" spans="1:40" ht="14.25" customHeight="1">
      <c r="A226" s="15" t="s">
        <v>77</v>
      </c>
      <c r="B226" s="41">
        <v>45381</v>
      </c>
      <c r="C226" s="17" t="s">
        <v>78</v>
      </c>
      <c r="D226" s="15" t="s">
        <v>41</v>
      </c>
      <c r="E226" s="33" t="s">
        <v>42</v>
      </c>
      <c r="F226" s="32">
        <v>63</v>
      </c>
      <c r="G226" s="19">
        <v>3</v>
      </c>
      <c r="H226" s="19">
        <f t="shared" si="63"/>
        <v>189</v>
      </c>
      <c r="I226" s="38" t="s">
        <v>42</v>
      </c>
      <c r="J226" s="15" t="s">
        <v>71</v>
      </c>
      <c r="K226" s="32"/>
      <c r="L226" s="37">
        <f>14.7*3</f>
        <v>44.099999999999994</v>
      </c>
      <c r="M226" s="32" t="s">
        <v>72</v>
      </c>
      <c r="N226" s="17">
        <v>252</v>
      </c>
      <c r="O226" s="28">
        <v>308</v>
      </c>
      <c r="U226" s="21"/>
      <c r="V226" s="21">
        <f t="shared" si="89"/>
        <v>44.099999999999994</v>
      </c>
      <c r="W226" s="21">
        <v>5</v>
      </c>
      <c r="X226" s="21">
        <f>(20*(1+0.6+0.4))+(V226-4)</f>
        <v>80.099999999999994</v>
      </c>
      <c r="Y226" s="21">
        <f>(24*(1+0.6+0.4))+(V226-4)</f>
        <v>88.1</v>
      </c>
      <c r="Z226" s="21">
        <f>(28*(1+0.6+0.4))+(V226-4)</f>
        <v>96.1</v>
      </c>
      <c r="AA226" s="21">
        <f>(39*(1+0.6+0.4))+(V226-4)</f>
        <v>118.1</v>
      </c>
      <c r="AB226" s="26">
        <f t="shared" si="78"/>
        <v>14.299999999999999</v>
      </c>
      <c r="AC226" s="27">
        <f t="shared" si="79"/>
        <v>21.7</v>
      </c>
      <c r="AD226" s="26">
        <f t="shared" si="80"/>
        <v>16.7</v>
      </c>
      <c r="AE226" s="27">
        <f t="shared" si="81"/>
        <v>27.299999999999997</v>
      </c>
      <c r="AF226" s="26">
        <f t="shared" si="82"/>
        <v>19.100000000000001</v>
      </c>
      <c r="AG226" s="27">
        <f t="shared" si="83"/>
        <v>32.9</v>
      </c>
      <c r="AH226" s="26">
        <f t="shared" si="84"/>
        <v>25.7</v>
      </c>
      <c r="AI226" s="27">
        <f t="shared" si="85"/>
        <v>48.3</v>
      </c>
      <c r="AJ226" s="28" t="s">
        <v>45</v>
      </c>
    </row>
    <row r="227" spans="1:40" ht="14.25" customHeight="1">
      <c r="A227" s="15" t="s">
        <v>79</v>
      </c>
      <c r="B227" s="35" t="s">
        <v>80</v>
      </c>
      <c r="C227" s="17" t="s">
        <v>70</v>
      </c>
      <c r="D227" s="15" t="s">
        <v>41</v>
      </c>
      <c r="E227" s="33" t="s">
        <v>81</v>
      </c>
      <c r="F227" s="17">
        <v>9</v>
      </c>
      <c r="G227" s="19">
        <v>3</v>
      </c>
      <c r="H227" s="19">
        <f t="shared" si="63"/>
        <v>27</v>
      </c>
      <c r="I227" s="38" t="s">
        <v>82</v>
      </c>
      <c r="J227" s="32"/>
      <c r="K227" s="32"/>
      <c r="L227" s="37">
        <f>19.51*3</f>
        <v>58.53</v>
      </c>
      <c r="M227" s="32" t="s">
        <v>72</v>
      </c>
      <c r="N227" s="17">
        <v>36</v>
      </c>
      <c r="O227" s="28">
        <v>308</v>
      </c>
      <c r="U227" s="21"/>
      <c r="V227" s="21">
        <f t="shared" si="89"/>
        <v>58.53</v>
      </c>
      <c r="W227" s="21">
        <v>5</v>
      </c>
      <c r="X227" s="21">
        <f>(20*(1+0.6+0.4))+(V227-4)</f>
        <v>94.53</v>
      </c>
      <c r="Y227" s="21">
        <f>(24*(1+0.6+0.4))+(V227-4)</f>
        <v>102.53</v>
      </c>
      <c r="Z227" s="21">
        <f>(28*(1+0.6+0.4))+(V227-4)</f>
        <v>110.53</v>
      </c>
      <c r="AA227" s="21">
        <f>(39*(1+0.6+0.4))+(V227-4)</f>
        <v>132.53</v>
      </c>
      <c r="AB227" s="26">
        <f t="shared" si="78"/>
        <v>14.299999999999999</v>
      </c>
      <c r="AC227" s="27">
        <f t="shared" si="79"/>
        <v>21.7</v>
      </c>
      <c r="AD227" s="26">
        <f t="shared" si="80"/>
        <v>16.7</v>
      </c>
      <c r="AE227" s="27">
        <f t="shared" si="81"/>
        <v>27.299999999999997</v>
      </c>
      <c r="AF227" s="26">
        <f t="shared" si="82"/>
        <v>19.100000000000001</v>
      </c>
      <c r="AG227" s="27">
        <f t="shared" si="83"/>
        <v>32.9</v>
      </c>
      <c r="AH227" s="26">
        <f t="shared" si="84"/>
        <v>25.7</v>
      </c>
      <c r="AI227" s="27">
        <f t="shared" si="85"/>
        <v>48.3</v>
      </c>
      <c r="AJ227" s="28" t="s">
        <v>45</v>
      </c>
    </row>
    <row r="228" spans="1:40" ht="14.25" customHeight="1">
      <c r="A228" s="15" t="s">
        <v>83</v>
      </c>
      <c r="B228" s="35">
        <v>75</v>
      </c>
      <c r="C228" s="17" t="s">
        <v>70</v>
      </c>
      <c r="D228" s="15" t="s">
        <v>41</v>
      </c>
      <c r="E228" s="33" t="s">
        <v>42</v>
      </c>
      <c r="F228" s="17">
        <f>84*1</f>
        <v>84</v>
      </c>
      <c r="G228" s="19">
        <v>3</v>
      </c>
      <c r="H228" s="19">
        <f t="shared" si="63"/>
        <v>252</v>
      </c>
      <c r="I228" s="38" t="s">
        <v>42</v>
      </c>
      <c r="J228" s="32"/>
      <c r="K228" s="32"/>
      <c r="L228" s="37">
        <f>9.55*3</f>
        <v>28.650000000000002</v>
      </c>
      <c r="M228" s="32" t="s">
        <v>72</v>
      </c>
      <c r="N228" s="17">
        <v>336</v>
      </c>
      <c r="O228" s="28">
        <v>308</v>
      </c>
      <c r="U228" s="21"/>
      <c r="V228" s="21">
        <f t="shared" si="89"/>
        <v>28.650000000000002</v>
      </c>
      <c r="W228" s="21">
        <v>5</v>
      </c>
      <c r="X228" s="21">
        <f>(20*(1+0.6+0.4))+(V228-4)</f>
        <v>64.650000000000006</v>
      </c>
      <c r="Y228" s="21">
        <f>(24*(1+0.6+0.4))+(V228-4)</f>
        <v>72.650000000000006</v>
      </c>
      <c r="Z228" s="21">
        <f>(28*(1+0.6+0.4))+(V228-4)</f>
        <v>80.650000000000006</v>
      </c>
      <c r="AA228" s="21">
        <f>(39*(1+0.6+0.4))+(V228-4)</f>
        <v>102.65</v>
      </c>
      <c r="AB228" s="26">
        <f t="shared" si="78"/>
        <v>14.299999999999999</v>
      </c>
      <c r="AC228" s="27">
        <f t="shared" si="79"/>
        <v>21.7</v>
      </c>
      <c r="AD228" s="26">
        <f t="shared" si="80"/>
        <v>16.7</v>
      </c>
      <c r="AE228" s="27">
        <f t="shared" si="81"/>
        <v>27.299999999999997</v>
      </c>
      <c r="AF228" s="26">
        <f t="shared" si="82"/>
        <v>19.100000000000001</v>
      </c>
      <c r="AG228" s="27">
        <f t="shared" si="83"/>
        <v>32.9</v>
      </c>
      <c r="AH228" s="26">
        <f t="shared" si="84"/>
        <v>25.7</v>
      </c>
      <c r="AI228" s="27">
        <f t="shared" si="85"/>
        <v>48.3</v>
      </c>
      <c r="AJ228" s="28" t="s">
        <v>45</v>
      </c>
    </row>
    <row r="229" spans="1:40" ht="14.25" customHeight="1">
      <c r="A229" s="38" t="s">
        <v>84</v>
      </c>
      <c r="B229" s="35">
        <v>250</v>
      </c>
      <c r="C229" s="28" t="s">
        <v>40</v>
      </c>
      <c r="D229" s="15" t="s">
        <v>41</v>
      </c>
      <c r="E229" s="38" t="s">
        <v>42</v>
      </c>
      <c r="F229" s="17">
        <v>28</v>
      </c>
      <c r="G229" s="19">
        <v>3</v>
      </c>
      <c r="H229" s="19">
        <f t="shared" si="63"/>
        <v>84</v>
      </c>
      <c r="I229" s="38" t="s">
        <v>42</v>
      </c>
      <c r="J229" s="32"/>
      <c r="K229" s="32"/>
      <c r="L229" s="37">
        <f>L227*3</f>
        <v>175.59</v>
      </c>
      <c r="M229" s="32" t="s">
        <v>85</v>
      </c>
      <c r="N229" s="17">
        <v>112</v>
      </c>
      <c r="O229" s="25">
        <v>112</v>
      </c>
      <c r="U229" s="21"/>
      <c r="V229" s="21">
        <f t="shared" si="89"/>
        <v>175.59</v>
      </c>
      <c r="W229" s="22">
        <v>5</v>
      </c>
      <c r="X229" s="21">
        <f>X227*(1+0.6+0.4)+($V$139-4)</f>
        <v>202.2</v>
      </c>
      <c r="Y229" s="21">
        <f>Y227*(1+0.6+0.4)+($V$139-4)</f>
        <v>218.2</v>
      </c>
      <c r="Z229" s="21">
        <f>Z227*(1+0.6+0.4)+($V$139-4)</f>
        <v>234.2</v>
      </c>
      <c r="AA229" s="21">
        <f>AA227*(1+0.6+0.4)+($V$139-4)</f>
        <v>278.2</v>
      </c>
      <c r="AB229" s="26">
        <f t="shared" ref="AB229:AB256" si="90">W229+(X229-V229-W229)*0.3</f>
        <v>11.482999999999995</v>
      </c>
      <c r="AC229" s="27">
        <f t="shared" ref="AC229:AC256" si="91">(X229-V229-W229)*0.7</f>
        <v>15.126999999999988</v>
      </c>
      <c r="AD229" s="26">
        <f t="shared" ref="AD229:AD256" si="92">W229+(Y229-V229-W229)*0.3</f>
        <v>16.282999999999994</v>
      </c>
      <c r="AE229" s="27">
        <f t="shared" ref="AE229:AE256" si="93">(Y229-V229-W229)*0.7</f>
        <v>26.326999999999988</v>
      </c>
      <c r="AF229" s="26">
        <f t="shared" ref="AF229:AF256" si="94">W229+(Z229-V229-W229)*0.3</f>
        <v>21.082999999999995</v>
      </c>
      <c r="AG229" s="27">
        <f t="shared" ref="AG229:AG256" si="95">(Z229-V229-W229)*0.7</f>
        <v>37.526999999999987</v>
      </c>
      <c r="AH229" s="26">
        <f t="shared" ref="AH229:AH256" si="96">W229+(AA229-V229-W229)*0.3</f>
        <v>34.282999999999994</v>
      </c>
      <c r="AI229" s="27">
        <f t="shared" ref="AI229:AI256" si="97">(AA229-V229-W229)*0.7</f>
        <v>68.326999999999984</v>
      </c>
      <c r="AJ229" s="28" t="s">
        <v>45</v>
      </c>
    </row>
    <row r="230" spans="1:40" ht="14.25" customHeight="1">
      <c r="A230" s="15" t="s">
        <v>84</v>
      </c>
      <c r="B230" s="16">
        <v>500</v>
      </c>
      <c r="C230" s="32" t="s">
        <v>40</v>
      </c>
      <c r="D230" s="15" t="s">
        <v>41</v>
      </c>
      <c r="E230" s="33" t="s">
        <v>42</v>
      </c>
      <c r="F230" s="17">
        <v>28</v>
      </c>
      <c r="G230" s="19">
        <v>3</v>
      </c>
      <c r="H230" s="19">
        <f t="shared" si="63"/>
        <v>84</v>
      </c>
      <c r="I230" s="38" t="s">
        <v>42</v>
      </c>
      <c r="J230" s="32"/>
      <c r="K230" s="32"/>
      <c r="L230" s="37">
        <f>6.57*3</f>
        <v>19.71</v>
      </c>
      <c r="M230" s="32" t="s">
        <v>85</v>
      </c>
      <c r="N230" s="17">
        <v>112</v>
      </c>
      <c r="O230" s="25">
        <v>112</v>
      </c>
      <c r="U230" s="21"/>
      <c r="V230" s="21">
        <f t="shared" si="89"/>
        <v>19.71</v>
      </c>
      <c r="W230" s="21">
        <v>5</v>
      </c>
      <c r="X230" s="21">
        <f>(20*(1+0.6+0.4))+(V230-4)</f>
        <v>55.71</v>
      </c>
      <c r="Y230" s="21">
        <f>(24*(1+0.6+0.4))+(V230-4)</f>
        <v>63.71</v>
      </c>
      <c r="Z230" s="21">
        <f>(28*(1+0.6+0.4))+(V230-4)</f>
        <v>71.710000000000008</v>
      </c>
      <c r="AA230" s="21">
        <f>(39*(1+0.6+0.4))+(V230-4)</f>
        <v>93.710000000000008</v>
      </c>
      <c r="AB230" s="26">
        <f t="shared" si="90"/>
        <v>14.299999999999999</v>
      </c>
      <c r="AC230" s="27">
        <f t="shared" si="91"/>
        <v>21.7</v>
      </c>
      <c r="AD230" s="26">
        <f t="shared" si="92"/>
        <v>16.7</v>
      </c>
      <c r="AE230" s="27">
        <f t="shared" si="93"/>
        <v>27.299999999999997</v>
      </c>
      <c r="AF230" s="26">
        <f t="shared" si="94"/>
        <v>19.100000000000001</v>
      </c>
      <c r="AG230" s="27">
        <f t="shared" si="95"/>
        <v>32.900000000000006</v>
      </c>
      <c r="AH230" s="26">
        <f t="shared" si="96"/>
        <v>25.7</v>
      </c>
      <c r="AI230" s="27">
        <f t="shared" si="97"/>
        <v>48.3</v>
      </c>
      <c r="AJ230" s="28" t="s">
        <v>45</v>
      </c>
    </row>
    <row r="231" spans="1:40" ht="14.25" customHeight="1">
      <c r="A231" s="15" t="s">
        <v>86</v>
      </c>
      <c r="B231" s="16">
        <v>250</v>
      </c>
      <c r="C231" s="32" t="s">
        <v>40</v>
      </c>
      <c r="D231" s="15" t="s">
        <v>41</v>
      </c>
      <c r="E231" s="33" t="s">
        <v>42</v>
      </c>
      <c r="F231" s="17">
        <v>28</v>
      </c>
      <c r="G231" s="19">
        <v>3</v>
      </c>
      <c r="H231" s="19">
        <f t="shared" si="63"/>
        <v>84</v>
      </c>
      <c r="I231" s="38" t="s">
        <v>42</v>
      </c>
      <c r="J231" s="32"/>
      <c r="K231" s="32"/>
      <c r="L231" s="39">
        <f>0.39*3</f>
        <v>1.17</v>
      </c>
      <c r="M231" s="32" t="s">
        <v>85</v>
      </c>
      <c r="N231" s="11">
        <f>6*28</f>
        <v>168</v>
      </c>
      <c r="O231" s="42">
        <v>56</v>
      </c>
      <c r="P231" s="1" t="s">
        <v>87</v>
      </c>
      <c r="Q231" s="28">
        <v>56</v>
      </c>
      <c r="R231" s="17">
        <f>6*28</f>
        <v>168</v>
      </c>
      <c r="U231" s="21"/>
      <c r="V231" s="21">
        <v>4</v>
      </c>
      <c r="W231" s="21">
        <v>5</v>
      </c>
      <c r="X231" s="21">
        <f t="shared" ref="X231:AA233" si="98">X229*(1+0.6+0.4)</f>
        <v>404.4</v>
      </c>
      <c r="Y231" s="21">
        <f t="shared" si="98"/>
        <v>436.4</v>
      </c>
      <c r="Z231" s="21">
        <f t="shared" si="98"/>
        <v>468.4</v>
      </c>
      <c r="AA231" s="21">
        <f t="shared" si="98"/>
        <v>556.4</v>
      </c>
      <c r="AB231" s="26">
        <f t="shared" si="90"/>
        <v>123.61999999999999</v>
      </c>
      <c r="AC231" s="27">
        <f t="shared" si="91"/>
        <v>276.77999999999997</v>
      </c>
      <c r="AD231" s="26">
        <f t="shared" si="92"/>
        <v>133.22</v>
      </c>
      <c r="AE231" s="27">
        <f t="shared" si="93"/>
        <v>299.17999999999995</v>
      </c>
      <c r="AF231" s="26">
        <f t="shared" si="94"/>
        <v>142.82</v>
      </c>
      <c r="AG231" s="27">
        <f t="shared" si="95"/>
        <v>321.58</v>
      </c>
      <c r="AH231" s="26">
        <f t="shared" si="96"/>
        <v>169.22</v>
      </c>
      <c r="AI231" s="27">
        <f t="shared" si="97"/>
        <v>383.17999999999995</v>
      </c>
      <c r="AJ231" s="28" t="s">
        <v>45</v>
      </c>
    </row>
    <row r="232" spans="1:40" ht="14.25" customHeight="1">
      <c r="A232" s="15" t="s">
        <v>86</v>
      </c>
      <c r="B232" s="16">
        <v>500</v>
      </c>
      <c r="C232" s="32" t="s">
        <v>40</v>
      </c>
      <c r="D232" s="15" t="s">
        <v>41</v>
      </c>
      <c r="E232" s="33" t="s">
        <v>42</v>
      </c>
      <c r="F232" s="17">
        <f>28*3</f>
        <v>84</v>
      </c>
      <c r="G232" s="19">
        <v>3</v>
      </c>
      <c r="H232" s="19">
        <f t="shared" si="63"/>
        <v>252</v>
      </c>
      <c r="I232" s="38" t="s">
        <v>42</v>
      </c>
      <c r="J232" s="32"/>
      <c r="K232" s="32"/>
      <c r="L232" s="39">
        <f>0.75*3</f>
        <v>2.25</v>
      </c>
      <c r="M232" s="32" t="s">
        <v>85</v>
      </c>
      <c r="N232" s="11">
        <f>6*28</f>
        <v>168</v>
      </c>
      <c r="O232" s="42">
        <v>56</v>
      </c>
      <c r="P232" s="1" t="s">
        <v>87</v>
      </c>
      <c r="Q232" s="28">
        <v>56</v>
      </c>
      <c r="R232" s="17">
        <f>6*28</f>
        <v>168</v>
      </c>
      <c r="U232" s="21"/>
      <c r="V232" s="21">
        <v>4</v>
      </c>
      <c r="W232" s="21">
        <v>5</v>
      </c>
      <c r="X232" s="21">
        <f t="shared" si="98"/>
        <v>111.42</v>
      </c>
      <c r="Y232" s="21">
        <f t="shared" si="98"/>
        <v>127.42</v>
      </c>
      <c r="Z232" s="21">
        <f t="shared" si="98"/>
        <v>143.42000000000002</v>
      </c>
      <c r="AA232" s="21">
        <f t="shared" si="98"/>
        <v>187.42000000000002</v>
      </c>
      <c r="AB232" s="26">
        <f t="shared" si="90"/>
        <v>35.725999999999999</v>
      </c>
      <c r="AC232" s="27">
        <f t="shared" si="91"/>
        <v>71.694000000000003</v>
      </c>
      <c r="AD232" s="26">
        <f t="shared" si="92"/>
        <v>40.525999999999996</v>
      </c>
      <c r="AE232" s="27">
        <f t="shared" si="93"/>
        <v>82.893999999999991</v>
      </c>
      <c r="AF232" s="26">
        <f t="shared" si="94"/>
        <v>45.326000000000001</v>
      </c>
      <c r="AG232" s="27">
        <f t="shared" si="95"/>
        <v>94.094000000000008</v>
      </c>
      <c r="AH232" s="26">
        <f t="shared" si="96"/>
        <v>58.526000000000003</v>
      </c>
      <c r="AI232" s="27">
        <f t="shared" si="97"/>
        <v>124.89400000000001</v>
      </c>
      <c r="AJ232" s="28" t="s">
        <v>45</v>
      </c>
    </row>
    <row r="233" spans="1:40" ht="14.25" customHeight="1">
      <c r="A233" s="15" t="s">
        <v>99</v>
      </c>
      <c r="B233" s="35">
        <v>20</v>
      </c>
      <c r="C233" s="17" t="s">
        <v>40</v>
      </c>
      <c r="D233" s="15" t="s">
        <v>41</v>
      </c>
      <c r="E233" s="33" t="s">
        <v>94</v>
      </c>
      <c r="F233" s="17">
        <f>28*1</f>
        <v>28</v>
      </c>
      <c r="G233" s="19">
        <v>3</v>
      </c>
      <c r="H233" s="19">
        <f t="shared" ref="H233:H296" si="99">F233*G233</f>
        <v>84</v>
      </c>
      <c r="I233" s="38" t="s">
        <v>94</v>
      </c>
      <c r="J233" s="32"/>
      <c r="K233" s="32"/>
      <c r="L233" s="39">
        <f>0.87*3</f>
        <v>2.61</v>
      </c>
      <c r="M233" s="32" t="s">
        <v>100</v>
      </c>
      <c r="N233" s="17">
        <v>112</v>
      </c>
      <c r="O233" s="25">
        <v>168</v>
      </c>
      <c r="U233" s="21"/>
      <c r="V233" s="21">
        <v>4</v>
      </c>
      <c r="W233" s="21">
        <v>5</v>
      </c>
      <c r="X233" s="21">
        <f t="shared" si="98"/>
        <v>808.8</v>
      </c>
      <c r="Y233" s="21">
        <f t="shared" si="98"/>
        <v>872.8</v>
      </c>
      <c r="Z233" s="21">
        <f t="shared" si="98"/>
        <v>936.8</v>
      </c>
      <c r="AA233" s="21">
        <f t="shared" si="98"/>
        <v>1112.8</v>
      </c>
      <c r="AB233" s="26">
        <f t="shared" si="90"/>
        <v>244.93999999999997</v>
      </c>
      <c r="AC233" s="27">
        <f t="shared" si="91"/>
        <v>559.8599999999999</v>
      </c>
      <c r="AD233" s="26">
        <f t="shared" si="92"/>
        <v>264.14</v>
      </c>
      <c r="AE233" s="27">
        <f t="shared" si="93"/>
        <v>604.66</v>
      </c>
      <c r="AF233" s="26">
        <f t="shared" si="94"/>
        <v>283.33999999999997</v>
      </c>
      <c r="AG233" s="27">
        <f t="shared" si="95"/>
        <v>649.45999999999992</v>
      </c>
      <c r="AH233" s="26">
        <f t="shared" si="96"/>
        <v>336.14</v>
      </c>
      <c r="AI233" s="27">
        <f t="shared" si="97"/>
        <v>772.66</v>
      </c>
      <c r="AJ233" s="28" t="s">
        <v>45</v>
      </c>
    </row>
    <row r="234" spans="1:40" ht="14.25" customHeight="1">
      <c r="A234" s="15" t="s">
        <v>99</v>
      </c>
      <c r="B234" s="35">
        <v>40</v>
      </c>
      <c r="C234" s="17" t="s">
        <v>40</v>
      </c>
      <c r="D234" s="15" t="s">
        <v>41</v>
      </c>
      <c r="E234" s="33" t="s">
        <v>94</v>
      </c>
      <c r="F234" s="17">
        <f>28*1</f>
        <v>28</v>
      </c>
      <c r="G234" s="19">
        <v>3</v>
      </c>
      <c r="H234" s="19">
        <f t="shared" si="99"/>
        <v>84</v>
      </c>
      <c r="I234" s="38" t="s">
        <v>94</v>
      </c>
      <c r="J234" s="32"/>
      <c r="K234" s="32"/>
      <c r="L234" s="40">
        <f>2.45*3</f>
        <v>7.3500000000000005</v>
      </c>
      <c r="M234" s="32" t="s">
        <v>100</v>
      </c>
      <c r="N234" s="17">
        <v>112</v>
      </c>
      <c r="O234" s="25">
        <v>168</v>
      </c>
      <c r="U234" s="21"/>
      <c r="V234" s="21">
        <v>8</v>
      </c>
      <c r="W234" s="21">
        <v>5</v>
      </c>
      <c r="X234" s="21">
        <f>X232*(1+0.6+0.4)+4</f>
        <v>226.84</v>
      </c>
      <c r="Y234" s="21">
        <f>Y232*(1+0.6+0.4)+4</f>
        <v>258.84000000000003</v>
      </c>
      <c r="Z234" s="21">
        <f>Z232*(1+0.6+0.4)+4</f>
        <v>290.84000000000003</v>
      </c>
      <c r="AA234" s="21">
        <f>AA232*(1+0.6+0.4)+4</f>
        <v>378.84000000000003</v>
      </c>
      <c r="AB234" s="26">
        <f t="shared" si="90"/>
        <v>69.152000000000001</v>
      </c>
      <c r="AC234" s="27">
        <f t="shared" si="91"/>
        <v>149.68799999999999</v>
      </c>
      <c r="AD234" s="26">
        <f t="shared" si="92"/>
        <v>78.75200000000001</v>
      </c>
      <c r="AE234" s="27">
        <f t="shared" si="93"/>
        <v>172.08800000000002</v>
      </c>
      <c r="AF234" s="26">
        <f t="shared" si="94"/>
        <v>88.352000000000004</v>
      </c>
      <c r="AG234" s="27">
        <f t="shared" si="95"/>
        <v>194.488</v>
      </c>
      <c r="AH234" s="26">
        <f t="shared" si="96"/>
        <v>114.75200000000001</v>
      </c>
      <c r="AI234" s="27">
        <f t="shared" si="97"/>
        <v>256.08800000000002</v>
      </c>
      <c r="AJ234" s="28" t="s">
        <v>45</v>
      </c>
    </row>
    <row r="235" spans="1:40" ht="14.25" customHeight="1">
      <c r="A235" s="15" t="s">
        <v>101</v>
      </c>
      <c r="B235" s="35">
        <v>15</v>
      </c>
      <c r="C235" s="17" t="s">
        <v>40</v>
      </c>
      <c r="D235" s="15" t="s">
        <v>41</v>
      </c>
      <c r="E235" s="33" t="s">
        <v>94</v>
      </c>
      <c r="F235" s="17">
        <f>28*1</f>
        <v>28</v>
      </c>
      <c r="G235" s="19">
        <v>3</v>
      </c>
      <c r="H235" s="19">
        <f t="shared" si="99"/>
        <v>84</v>
      </c>
      <c r="I235" s="38" t="s">
        <v>94</v>
      </c>
      <c r="J235" s="32"/>
      <c r="K235" s="32"/>
      <c r="L235" s="39">
        <f>0.42*3</f>
        <v>1.26</v>
      </c>
      <c r="M235" s="32" t="s">
        <v>100</v>
      </c>
      <c r="N235" s="17">
        <v>112</v>
      </c>
      <c r="O235" s="25">
        <v>168</v>
      </c>
      <c r="U235" s="21"/>
      <c r="V235" s="21">
        <v>4</v>
      </c>
      <c r="W235" s="21">
        <v>5</v>
      </c>
      <c r="X235" s="21">
        <f t="shared" ref="X235:AA236" si="100">X233*(1+0.6+0.4)</f>
        <v>1617.6</v>
      </c>
      <c r="Y235" s="21">
        <f t="shared" si="100"/>
        <v>1745.6</v>
      </c>
      <c r="Z235" s="21">
        <f t="shared" si="100"/>
        <v>1873.6</v>
      </c>
      <c r="AA235" s="21">
        <f t="shared" si="100"/>
        <v>2225.6</v>
      </c>
      <c r="AB235" s="26">
        <f t="shared" si="90"/>
        <v>487.57999999999993</v>
      </c>
      <c r="AC235" s="27">
        <f t="shared" si="91"/>
        <v>1126.0199999999998</v>
      </c>
      <c r="AD235" s="26">
        <f t="shared" si="92"/>
        <v>525.9799999999999</v>
      </c>
      <c r="AE235" s="27">
        <f t="shared" si="93"/>
        <v>1215.6199999999999</v>
      </c>
      <c r="AF235" s="26">
        <f t="shared" si="94"/>
        <v>564.38</v>
      </c>
      <c r="AG235" s="27">
        <f t="shared" si="95"/>
        <v>1305.2199999999998</v>
      </c>
      <c r="AH235" s="26">
        <f t="shared" si="96"/>
        <v>669.9799999999999</v>
      </c>
      <c r="AI235" s="27">
        <f t="shared" si="97"/>
        <v>1551.62</v>
      </c>
      <c r="AJ235" s="28" t="s">
        <v>45</v>
      </c>
    </row>
    <row r="236" spans="1:40" ht="14.25" customHeight="1">
      <c r="A236" s="15" t="s">
        <v>101</v>
      </c>
      <c r="B236" s="35">
        <v>30</v>
      </c>
      <c r="C236" s="17" t="s">
        <v>40</v>
      </c>
      <c r="D236" s="15" t="s">
        <v>41</v>
      </c>
      <c r="E236" s="33" t="s">
        <v>94</v>
      </c>
      <c r="F236" s="17">
        <f>28*1</f>
        <v>28</v>
      </c>
      <c r="G236" s="19">
        <v>3</v>
      </c>
      <c r="H236" s="19">
        <f t="shared" si="99"/>
        <v>84</v>
      </c>
      <c r="I236" s="38" t="s">
        <v>94</v>
      </c>
      <c r="J236" s="32"/>
      <c r="K236" s="32"/>
      <c r="L236" s="39">
        <f>1.07*3</f>
        <v>3.21</v>
      </c>
      <c r="M236" s="32" t="s">
        <v>100</v>
      </c>
      <c r="N236" s="17">
        <v>112</v>
      </c>
      <c r="O236" s="25">
        <v>168</v>
      </c>
      <c r="U236" s="21"/>
      <c r="V236" s="21">
        <v>4</v>
      </c>
      <c r="W236" s="21">
        <v>5</v>
      </c>
      <c r="X236" s="21">
        <f t="shared" si="100"/>
        <v>453.68</v>
      </c>
      <c r="Y236" s="21">
        <f t="shared" si="100"/>
        <v>517.68000000000006</v>
      </c>
      <c r="Z236" s="21">
        <f t="shared" si="100"/>
        <v>581.68000000000006</v>
      </c>
      <c r="AA236" s="21">
        <f t="shared" si="100"/>
        <v>757.68000000000006</v>
      </c>
      <c r="AB236" s="26">
        <f t="shared" si="90"/>
        <v>138.404</v>
      </c>
      <c r="AC236" s="27">
        <f t="shared" si="91"/>
        <v>311.27600000000001</v>
      </c>
      <c r="AD236" s="26">
        <f t="shared" si="92"/>
        <v>157.60400000000001</v>
      </c>
      <c r="AE236" s="27">
        <f t="shared" si="93"/>
        <v>356.07600000000002</v>
      </c>
      <c r="AF236" s="26">
        <f t="shared" si="94"/>
        <v>176.804</v>
      </c>
      <c r="AG236" s="27">
        <f t="shared" si="95"/>
        <v>400.87600000000003</v>
      </c>
      <c r="AH236" s="26">
        <f t="shared" si="96"/>
        <v>229.60400000000001</v>
      </c>
      <c r="AI236" s="27">
        <f t="shared" si="97"/>
        <v>524.07600000000002</v>
      </c>
      <c r="AJ236" s="28" t="s">
        <v>45</v>
      </c>
    </row>
    <row r="237" spans="1:40" ht="14.25" customHeight="1">
      <c r="A237" s="15" t="s">
        <v>102</v>
      </c>
      <c r="B237" s="35">
        <v>20</v>
      </c>
      <c r="C237" s="17" t="s">
        <v>40</v>
      </c>
      <c r="D237" s="15" t="s">
        <v>41</v>
      </c>
      <c r="E237" s="33" t="s">
        <v>94</v>
      </c>
      <c r="F237" s="17">
        <f>28*1</f>
        <v>28</v>
      </c>
      <c r="G237" s="19">
        <v>3</v>
      </c>
      <c r="H237" s="19">
        <f t="shared" si="99"/>
        <v>84</v>
      </c>
      <c r="I237" s="38" t="s">
        <v>94</v>
      </c>
      <c r="J237" s="32"/>
      <c r="K237" s="32"/>
      <c r="L237" s="37">
        <f>3.64*3</f>
        <v>10.92</v>
      </c>
      <c r="M237" s="32" t="s">
        <v>100</v>
      </c>
      <c r="N237" s="17">
        <v>112</v>
      </c>
      <c r="O237" s="25">
        <v>168</v>
      </c>
      <c r="U237" s="21"/>
      <c r="V237" s="21">
        <f>L237</f>
        <v>10.92</v>
      </c>
      <c r="W237" s="21">
        <v>5</v>
      </c>
      <c r="X237" s="21">
        <f>(20*(1+0.6+0.4))+(V237-4)</f>
        <v>46.92</v>
      </c>
      <c r="Y237" s="21">
        <f>(24*(1+0.6+0.4))+(V237-4)</f>
        <v>54.92</v>
      </c>
      <c r="Z237" s="21">
        <f>(28*(1+0.6+0.4))+(V237-4)</f>
        <v>62.92</v>
      </c>
      <c r="AA237" s="21">
        <f>(39*(1+0.6+0.4))+(V237-4)</f>
        <v>84.92</v>
      </c>
      <c r="AB237" s="26">
        <f t="shared" si="90"/>
        <v>14.299999999999999</v>
      </c>
      <c r="AC237" s="27">
        <f t="shared" si="91"/>
        <v>21.7</v>
      </c>
      <c r="AD237" s="26">
        <f t="shared" si="92"/>
        <v>16.7</v>
      </c>
      <c r="AE237" s="27">
        <f t="shared" si="93"/>
        <v>27.299999999999997</v>
      </c>
      <c r="AF237" s="26">
        <f t="shared" si="94"/>
        <v>19.100000000000001</v>
      </c>
      <c r="AG237" s="27">
        <f t="shared" si="95"/>
        <v>32.9</v>
      </c>
      <c r="AH237" s="26">
        <f t="shared" si="96"/>
        <v>25.7</v>
      </c>
      <c r="AI237" s="27">
        <f t="shared" si="97"/>
        <v>48.3</v>
      </c>
      <c r="AJ237" s="28" t="s">
        <v>45</v>
      </c>
    </row>
    <row r="238" spans="1:40" ht="14.25" customHeight="1">
      <c r="A238" s="15" t="s">
        <v>111</v>
      </c>
      <c r="B238" s="16">
        <v>120</v>
      </c>
      <c r="C238" s="32" t="s">
        <v>40</v>
      </c>
      <c r="D238" s="15" t="s">
        <v>41</v>
      </c>
      <c r="E238" s="33" t="s">
        <v>94</v>
      </c>
      <c r="F238" s="17">
        <v>84</v>
      </c>
      <c r="G238" s="19">
        <v>3</v>
      </c>
      <c r="H238" s="19">
        <f t="shared" si="99"/>
        <v>252</v>
      </c>
      <c r="I238" s="38" t="s">
        <v>94</v>
      </c>
      <c r="J238" s="32"/>
      <c r="K238" s="32"/>
      <c r="L238" s="37">
        <f>24.12*3</f>
        <v>72.36</v>
      </c>
      <c r="M238" s="32" t="s">
        <v>112</v>
      </c>
      <c r="N238" s="17">
        <v>336</v>
      </c>
      <c r="O238" s="25">
        <v>84</v>
      </c>
      <c r="U238" s="21"/>
      <c r="V238" s="21">
        <f>L238</f>
        <v>72.36</v>
      </c>
      <c r="W238" s="21">
        <v>5</v>
      </c>
      <c r="X238" s="21">
        <f>(20*(1+0.6+0.4))+(V238-4)</f>
        <v>108.36</v>
      </c>
      <c r="Y238" s="21">
        <f>(24*(1+0.6+0.4))+(V238-4)</f>
        <v>116.36</v>
      </c>
      <c r="Z238" s="21">
        <f>(28*(1+0.6+0.4))+(V238-4)</f>
        <v>124.36</v>
      </c>
      <c r="AA238" s="21">
        <f>(39*(1+0.6+0.4))+(V238-4)</f>
        <v>146.36000000000001</v>
      </c>
      <c r="AB238" s="26">
        <f t="shared" si="90"/>
        <v>14.299999999999999</v>
      </c>
      <c r="AC238" s="27">
        <f t="shared" si="91"/>
        <v>21.7</v>
      </c>
      <c r="AD238" s="26">
        <f t="shared" si="92"/>
        <v>16.7</v>
      </c>
      <c r="AE238" s="27">
        <f t="shared" si="93"/>
        <v>27.299999999999997</v>
      </c>
      <c r="AF238" s="26">
        <f t="shared" si="94"/>
        <v>19.100000000000001</v>
      </c>
      <c r="AG238" s="27">
        <f t="shared" si="95"/>
        <v>32.9</v>
      </c>
      <c r="AH238" s="26">
        <f t="shared" si="96"/>
        <v>25.700000000000003</v>
      </c>
      <c r="AI238" s="27">
        <f t="shared" si="97"/>
        <v>48.300000000000004</v>
      </c>
      <c r="AJ238" s="28" t="s">
        <v>45</v>
      </c>
    </row>
    <row r="239" spans="1:40" ht="14.25" customHeight="1">
      <c r="A239" s="15" t="s">
        <v>113</v>
      </c>
      <c r="B239" s="16">
        <v>120</v>
      </c>
      <c r="C239" s="32" t="s">
        <v>40</v>
      </c>
      <c r="D239" s="15" t="s">
        <v>41</v>
      </c>
      <c r="E239" s="33" t="s">
        <v>42</v>
      </c>
      <c r="F239" s="17">
        <v>30</v>
      </c>
      <c r="G239" s="19">
        <v>3</v>
      </c>
      <c r="H239" s="19">
        <f t="shared" si="99"/>
        <v>90</v>
      </c>
      <c r="I239" s="38" t="s">
        <v>42</v>
      </c>
      <c r="J239" s="32"/>
      <c r="K239" s="32"/>
      <c r="L239" s="39">
        <v>3</v>
      </c>
      <c r="M239" s="32" t="s">
        <v>114</v>
      </c>
      <c r="N239" s="15">
        <v>180</v>
      </c>
      <c r="O239" s="44">
        <v>140</v>
      </c>
      <c r="P239" s="32" t="s">
        <v>115</v>
      </c>
      <c r="Q239" s="28">
        <v>140</v>
      </c>
      <c r="R239" s="17">
        <v>180</v>
      </c>
      <c r="U239" s="21"/>
      <c r="V239" s="21">
        <v>4</v>
      </c>
      <c r="W239" s="21">
        <v>5</v>
      </c>
      <c r="X239" s="21">
        <f t="shared" ref="X239:AA240" si="101">X237*(1+0.6+0.4)</f>
        <v>93.84</v>
      </c>
      <c r="Y239" s="21">
        <f t="shared" si="101"/>
        <v>109.84</v>
      </c>
      <c r="Z239" s="21">
        <f t="shared" si="101"/>
        <v>125.84</v>
      </c>
      <c r="AA239" s="21">
        <f t="shared" si="101"/>
        <v>169.84</v>
      </c>
      <c r="AB239" s="26">
        <f t="shared" si="90"/>
        <v>30.452000000000002</v>
      </c>
      <c r="AC239" s="27">
        <f t="shared" si="91"/>
        <v>59.387999999999998</v>
      </c>
      <c r="AD239" s="26">
        <f t="shared" si="92"/>
        <v>35.251999999999995</v>
      </c>
      <c r="AE239" s="27">
        <f t="shared" si="93"/>
        <v>70.587999999999994</v>
      </c>
      <c r="AF239" s="26">
        <f t="shared" si="94"/>
        <v>40.052</v>
      </c>
      <c r="AG239" s="27">
        <f t="shared" si="95"/>
        <v>81.787999999999997</v>
      </c>
      <c r="AH239" s="26">
        <f t="shared" si="96"/>
        <v>53.252000000000002</v>
      </c>
      <c r="AI239" s="27">
        <f t="shared" si="97"/>
        <v>112.58799999999999</v>
      </c>
      <c r="AJ239" s="28" t="s">
        <v>45</v>
      </c>
      <c r="AK239" s="15" t="s">
        <v>116</v>
      </c>
      <c r="AL239" s="15" t="s">
        <v>117</v>
      </c>
      <c r="AM239" s="15" t="s">
        <v>118</v>
      </c>
      <c r="AN239" s="15" t="s">
        <v>119</v>
      </c>
    </row>
    <row r="240" spans="1:40" ht="14.25" customHeight="1">
      <c r="A240" s="15" t="s">
        <v>113</v>
      </c>
      <c r="B240" s="16">
        <v>180</v>
      </c>
      <c r="C240" s="32" t="s">
        <v>40</v>
      </c>
      <c r="D240" s="15" t="s">
        <v>41</v>
      </c>
      <c r="E240" s="33" t="s">
        <v>42</v>
      </c>
      <c r="F240" s="17">
        <v>30</v>
      </c>
      <c r="G240" s="19">
        <v>3</v>
      </c>
      <c r="H240" s="19">
        <f t="shared" si="99"/>
        <v>90</v>
      </c>
      <c r="I240" s="38" t="s">
        <v>42</v>
      </c>
      <c r="J240" s="32"/>
      <c r="K240" s="32"/>
      <c r="L240" s="39">
        <f>1.44*3</f>
        <v>4.32</v>
      </c>
      <c r="M240" s="32" t="s">
        <v>114</v>
      </c>
      <c r="N240" s="15">
        <v>180</v>
      </c>
      <c r="O240" s="44">
        <v>140</v>
      </c>
      <c r="P240" s="32" t="s">
        <v>115</v>
      </c>
      <c r="Q240" s="28">
        <v>140</v>
      </c>
      <c r="R240" s="17">
        <v>180</v>
      </c>
      <c r="U240" s="21"/>
      <c r="V240" s="21">
        <v>4</v>
      </c>
      <c r="W240" s="21">
        <v>5</v>
      </c>
      <c r="X240" s="21">
        <f t="shared" si="101"/>
        <v>216.72</v>
      </c>
      <c r="Y240" s="21">
        <f t="shared" si="101"/>
        <v>232.72</v>
      </c>
      <c r="Z240" s="21">
        <f t="shared" si="101"/>
        <v>248.72</v>
      </c>
      <c r="AA240" s="21">
        <f t="shared" si="101"/>
        <v>292.72000000000003</v>
      </c>
      <c r="AB240" s="26">
        <f t="shared" si="90"/>
        <v>67.316000000000003</v>
      </c>
      <c r="AC240" s="27">
        <f t="shared" si="91"/>
        <v>145.404</v>
      </c>
      <c r="AD240" s="26">
        <f t="shared" si="92"/>
        <v>72.116</v>
      </c>
      <c r="AE240" s="27">
        <f t="shared" si="93"/>
        <v>156.60399999999998</v>
      </c>
      <c r="AF240" s="26">
        <f t="shared" si="94"/>
        <v>76.915999999999997</v>
      </c>
      <c r="AG240" s="27">
        <f t="shared" si="95"/>
        <v>167.804</v>
      </c>
      <c r="AH240" s="26">
        <f t="shared" si="96"/>
        <v>90.116</v>
      </c>
      <c r="AI240" s="27">
        <f t="shared" si="97"/>
        <v>198.60400000000001</v>
      </c>
      <c r="AJ240" s="28" t="s">
        <v>45</v>
      </c>
      <c r="AK240" s="15" t="s">
        <v>116</v>
      </c>
      <c r="AL240" s="15" t="s">
        <v>117</v>
      </c>
      <c r="AM240" s="15" t="s">
        <v>118</v>
      </c>
      <c r="AN240" s="15" t="s">
        <v>119</v>
      </c>
    </row>
    <row r="241" spans="1:40" ht="14.25" customHeight="1">
      <c r="A241" s="15" t="s">
        <v>120</v>
      </c>
      <c r="B241" s="35">
        <v>1</v>
      </c>
      <c r="C241" s="15" t="s">
        <v>121</v>
      </c>
      <c r="D241" s="15" t="s">
        <v>41</v>
      </c>
      <c r="E241" s="33" t="s">
        <v>122</v>
      </c>
      <c r="F241" s="15">
        <v>5</v>
      </c>
      <c r="G241" s="19">
        <v>3</v>
      </c>
      <c r="H241" s="19">
        <f t="shared" si="99"/>
        <v>15</v>
      </c>
      <c r="I241" s="38" t="s">
        <v>106</v>
      </c>
      <c r="J241" s="32"/>
      <c r="K241" s="32"/>
      <c r="L241" s="37">
        <f>3.41*3</f>
        <v>10.23</v>
      </c>
      <c r="M241" s="32" t="s">
        <v>114</v>
      </c>
      <c r="N241" s="17">
        <v>30</v>
      </c>
      <c r="O241" s="44">
        <v>140</v>
      </c>
      <c r="V241" s="17">
        <f t="shared" ref="V241:V251" si="102">L241</f>
        <v>10.23</v>
      </c>
      <c r="W241" s="21">
        <v>5</v>
      </c>
      <c r="X241" s="21">
        <f>(X239*(1+0.6+0.4))+(V241-4)</f>
        <v>193.91</v>
      </c>
      <c r="Y241" s="21">
        <f>(Y239*(1+0.6+0.4))+(V241-4)</f>
        <v>225.91</v>
      </c>
      <c r="Z241" s="21">
        <f>(Z239*(1+0.6+0.4))+(V241-4)</f>
        <v>257.91000000000003</v>
      </c>
      <c r="AA241" s="21">
        <f>(AA239*(1+0.6+0.4))+(V241-4)</f>
        <v>345.91</v>
      </c>
      <c r="AB241" s="26">
        <f t="shared" si="90"/>
        <v>58.603999999999999</v>
      </c>
      <c r="AC241" s="27">
        <f t="shared" si="91"/>
        <v>125.07599999999999</v>
      </c>
      <c r="AD241" s="26">
        <f t="shared" si="92"/>
        <v>68.204000000000008</v>
      </c>
      <c r="AE241" s="27">
        <f t="shared" si="93"/>
        <v>147.476</v>
      </c>
      <c r="AF241" s="26">
        <f t="shared" si="94"/>
        <v>77.804000000000002</v>
      </c>
      <c r="AG241" s="27">
        <f t="shared" si="95"/>
        <v>169.876</v>
      </c>
      <c r="AH241" s="26">
        <f t="shared" si="96"/>
        <v>104.20399999999999</v>
      </c>
      <c r="AI241" s="27">
        <f t="shared" si="97"/>
        <v>231.476</v>
      </c>
      <c r="AJ241" s="28" t="s">
        <v>45</v>
      </c>
      <c r="AK241" s="15" t="s">
        <v>123</v>
      </c>
      <c r="AL241" s="15" t="s">
        <v>116</v>
      </c>
      <c r="AM241" s="15" t="s">
        <v>117</v>
      </c>
      <c r="AN241" s="15" t="s">
        <v>118</v>
      </c>
    </row>
    <row r="242" spans="1:40" ht="14.25" customHeight="1">
      <c r="A242" s="45" t="s">
        <v>124</v>
      </c>
      <c r="B242" s="35">
        <v>27.5</v>
      </c>
      <c r="C242" s="17" t="s">
        <v>70</v>
      </c>
      <c r="D242" s="15" t="s">
        <v>41</v>
      </c>
      <c r="E242" s="33" t="s">
        <v>125</v>
      </c>
      <c r="F242" s="28">
        <v>1</v>
      </c>
      <c r="G242" s="19">
        <v>3</v>
      </c>
      <c r="H242" s="19">
        <f t="shared" si="99"/>
        <v>3</v>
      </c>
      <c r="I242" s="38" t="s">
        <v>126</v>
      </c>
      <c r="J242" s="32"/>
      <c r="K242" s="32"/>
      <c r="L242" s="37">
        <f>L241+6.44</f>
        <v>16.670000000000002</v>
      </c>
      <c r="M242" s="32" t="s">
        <v>114</v>
      </c>
      <c r="N242" s="15">
        <v>6</v>
      </c>
      <c r="O242" s="44">
        <v>140</v>
      </c>
      <c r="P242" s="32" t="s">
        <v>127</v>
      </c>
      <c r="Q242" s="28">
        <v>140</v>
      </c>
      <c r="R242" s="17">
        <v>6</v>
      </c>
      <c r="V242" s="17">
        <f t="shared" si="102"/>
        <v>16.670000000000002</v>
      </c>
      <c r="W242" s="21">
        <v>5</v>
      </c>
      <c r="X242" s="21">
        <f>(X240*(1+0.6+0.4))+(V242-4)</f>
        <v>446.11</v>
      </c>
      <c r="Y242" s="21">
        <f>(Y240*(1+0.6+0.4))+(V242-4)</f>
        <v>478.11</v>
      </c>
      <c r="Z242" s="21">
        <f>(Z240*(1+0.6+0.4))+(V242-4)</f>
        <v>510.11</v>
      </c>
      <c r="AA242" s="21">
        <f>(AA240*(1+0.6+0.4))+(V242-4)</f>
        <v>598.11</v>
      </c>
      <c r="AB242" s="26">
        <f t="shared" si="90"/>
        <v>132.33199999999999</v>
      </c>
      <c r="AC242" s="27">
        <f t="shared" si="91"/>
        <v>297.108</v>
      </c>
      <c r="AD242" s="26">
        <f t="shared" si="92"/>
        <v>141.93199999999999</v>
      </c>
      <c r="AE242" s="27">
        <f t="shared" si="93"/>
        <v>319.50799999999998</v>
      </c>
      <c r="AF242" s="26">
        <f t="shared" si="94"/>
        <v>151.53199999999998</v>
      </c>
      <c r="AG242" s="27">
        <f t="shared" si="95"/>
        <v>341.90799999999996</v>
      </c>
      <c r="AH242" s="26">
        <f t="shared" si="96"/>
        <v>177.93200000000002</v>
      </c>
      <c r="AI242" s="27">
        <f t="shared" si="97"/>
        <v>403.50800000000004</v>
      </c>
      <c r="AJ242" s="28" t="s">
        <v>45</v>
      </c>
      <c r="AK242" s="15" t="s">
        <v>117</v>
      </c>
      <c r="AL242" s="15" t="s">
        <v>118</v>
      </c>
      <c r="AM242" s="15" t="s">
        <v>123</v>
      </c>
      <c r="AN242" s="15" t="s">
        <v>119</v>
      </c>
    </row>
    <row r="243" spans="1:40" ht="14.25" customHeight="1">
      <c r="A243" s="15" t="s">
        <v>128</v>
      </c>
      <c r="B243" s="35">
        <v>0.1</v>
      </c>
      <c r="C243" s="17" t="s">
        <v>54</v>
      </c>
      <c r="D243" s="15" t="s">
        <v>41</v>
      </c>
      <c r="E243" s="33" t="s">
        <v>125</v>
      </c>
      <c r="F243" s="17">
        <v>1</v>
      </c>
      <c r="G243" s="19">
        <v>3</v>
      </c>
      <c r="H243" s="19">
        <f t="shared" si="99"/>
        <v>3</v>
      </c>
      <c r="I243" s="38" t="s">
        <v>126</v>
      </c>
      <c r="J243" s="32"/>
      <c r="K243" s="32"/>
      <c r="L243" s="37">
        <f>10.5+L242</f>
        <v>27.17</v>
      </c>
      <c r="M243" s="32" t="s">
        <v>114</v>
      </c>
      <c r="N243" s="15">
        <v>6</v>
      </c>
      <c r="O243" s="44">
        <v>140</v>
      </c>
      <c r="V243" s="17">
        <f t="shared" si="102"/>
        <v>27.17</v>
      </c>
      <c r="W243" s="21">
        <v>5</v>
      </c>
      <c r="X243" s="21">
        <f>(20*(1+0.6+0.4))+(V243-4)</f>
        <v>63.17</v>
      </c>
      <c r="Y243" s="21">
        <f>(24*(1+0.6+0.4))+(V243-4)</f>
        <v>71.17</v>
      </c>
      <c r="Z243" s="21">
        <f>(28*(1+0.6+0.4))+(V243-4)</f>
        <v>79.17</v>
      </c>
      <c r="AA243" s="21">
        <f>(39*(1+0.6+0.4))+(V243-4)</f>
        <v>101.17</v>
      </c>
      <c r="AB243" s="26">
        <f t="shared" si="90"/>
        <v>14.299999999999999</v>
      </c>
      <c r="AC243" s="27">
        <f t="shared" si="91"/>
        <v>21.7</v>
      </c>
      <c r="AD243" s="26">
        <f t="shared" si="92"/>
        <v>16.7</v>
      </c>
      <c r="AE243" s="27">
        <f t="shared" si="93"/>
        <v>27.299999999999997</v>
      </c>
      <c r="AF243" s="26">
        <f t="shared" si="94"/>
        <v>19.100000000000001</v>
      </c>
      <c r="AG243" s="27">
        <f t="shared" si="95"/>
        <v>32.9</v>
      </c>
      <c r="AH243" s="26">
        <f t="shared" si="96"/>
        <v>25.7</v>
      </c>
      <c r="AI243" s="27">
        <f t="shared" si="97"/>
        <v>48.3</v>
      </c>
      <c r="AJ243" s="28" t="s">
        <v>45</v>
      </c>
      <c r="AK243" s="15" t="s">
        <v>118</v>
      </c>
      <c r="AL243" s="15" t="s">
        <v>116</v>
      </c>
      <c r="AM243" s="15" t="s">
        <v>123</v>
      </c>
      <c r="AN243" s="15" t="s">
        <v>119</v>
      </c>
    </row>
    <row r="244" spans="1:40" ht="14.25" customHeight="1">
      <c r="A244" s="15" t="s">
        <v>129</v>
      </c>
      <c r="B244" s="35">
        <v>50</v>
      </c>
      <c r="C244" s="17" t="s">
        <v>130</v>
      </c>
      <c r="D244" s="15" t="s">
        <v>41</v>
      </c>
      <c r="E244" s="33" t="s">
        <v>125</v>
      </c>
      <c r="F244" s="17">
        <v>1</v>
      </c>
      <c r="G244" s="19">
        <v>3</v>
      </c>
      <c r="H244" s="19">
        <f t="shared" si="99"/>
        <v>3</v>
      </c>
      <c r="I244" s="38" t="s">
        <v>126</v>
      </c>
      <c r="J244" s="32"/>
      <c r="K244" s="32"/>
      <c r="L244" s="37">
        <f>5.26+L243</f>
        <v>32.43</v>
      </c>
      <c r="M244" s="32" t="s">
        <v>114</v>
      </c>
      <c r="N244" s="15">
        <v>6</v>
      </c>
      <c r="O244" s="44">
        <v>140</v>
      </c>
      <c r="P244" s="32" t="s">
        <v>127</v>
      </c>
      <c r="Q244" s="28">
        <v>140</v>
      </c>
      <c r="R244" s="15">
        <v>6</v>
      </c>
      <c r="S244" s="32"/>
      <c r="T244" s="32"/>
      <c r="V244" s="17">
        <f t="shared" si="102"/>
        <v>32.43</v>
      </c>
      <c r="W244" s="21">
        <v>5</v>
      </c>
      <c r="X244" s="21">
        <f>(X242*(1+0.6+0.4))+(V244-4)</f>
        <v>920.65</v>
      </c>
      <c r="Y244" s="21">
        <f>(Y242*(1+0.6+0.4))+(V244-4)</f>
        <v>984.65</v>
      </c>
      <c r="Z244" s="21">
        <f>(Z242*(1+0.6+0.4))+(V244-4)</f>
        <v>1048.6500000000001</v>
      </c>
      <c r="AA244" s="21">
        <f>(AA242*(1+0.6+0.4))+(V244-4)</f>
        <v>1224.6500000000001</v>
      </c>
      <c r="AB244" s="26">
        <f t="shared" si="90"/>
        <v>269.96600000000001</v>
      </c>
      <c r="AC244" s="27">
        <f t="shared" si="91"/>
        <v>618.25400000000002</v>
      </c>
      <c r="AD244" s="26">
        <f t="shared" si="92"/>
        <v>289.166</v>
      </c>
      <c r="AE244" s="27">
        <f t="shared" si="93"/>
        <v>663.05399999999997</v>
      </c>
      <c r="AF244" s="26">
        <f t="shared" si="94"/>
        <v>308.36600000000004</v>
      </c>
      <c r="AG244" s="27">
        <f t="shared" si="95"/>
        <v>707.85400000000004</v>
      </c>
      <c r="AH244" s="26">
        <f t="shared" si="96"/>
        <v>361.166</v>
      </c>
      <c r="AI244" s="27">
        <f t="shared" si="97"/>
        <v>831.05399999999997</v>
      </c>
      <c r="AJ244" s="28" t="s">
        <v>45</v>
      </c>
      <c r="AK244" s="15" t="s">
        <v>117</v>
      </c>
      <c r="AL244" s="15" t="s">
        <v>116</v>
      </c>
      <c r="AM244" s="15" t="s">
        <v>123</v>
      </c>
      <c r="AN244" s="15" t="s">
        <v>119</v>
      </c>
    </row>
    <row r="245" spans="1:40" ht="14.25" customHeight="1">
      <c r="A245" s="15" t="s">
        <v>131</v>
      </c>
      <c r="B245" s="35">
        <v>0.5</v>
      </c>
      <c r="C245" s="17" t="s">
        <v>121</v>
      </c>
      <c r="D245" s="15" t="s">
        <v>41</v>
      </c>
      <c r="E245" s="33" t="s">
        <v>122</v>
      </c>
      <c r="F245" s="15">
        <v>8</v>
      </c>
      <c r="G245" s="19">
        <v>3</v>
      </c>
      <c r="H245" s="19">
        <f t="shared" si="99"/>
        <v>24</v>
      </c>
      <c r="I245" s="38" t="s">
        <v>106</v>
      </c>
      <c r="J245" s="32"/>
      <c r="K245" s="32"/>
      <c r="L245" s="37">
        <f>L244+5.32</f>
        <v>37.75</v>
      </c>
      <c r="M245" s="32" t="s">
        <v>114</v>
      </c>
      <c r="N245" s="17">
        <v>48</v>
      </c>
      <c r="O245" s="44">
        <v>140</v>
      </c>
      <c r="V245" s="17">
        <f t="shared" si="102"/>
        <v>37.75</v>
      </c>
      <c r="W245" s="21">
        <v>5</v>
      </c>
      <c r="X245" s="21">
        <f>(X243*(1+0.6+0.4))+($V$221-4)</f>
        <v>130.34</v>
      </c>
      <c r="Y245" s="21">
        <f>(Y243*(1+0.6+0.4))+($V$221-4)</f>
        <v>146.34</v>
      </c>
      <c r="Z245" s="21">
        <f>(Z243*(1+0.6+0.4))+($V$221-4)</f>
        <v>162.34</v>
      </c>
      <c r="AA245" s="21">
        <f>(AA243*(1+0.6+0.4))+($V$221-4)</f>
        <v>206.34</v>
      </c>
      <c r="AB245" s="26">
        <f t="shared" si="90"/>
        <v>31.277000000000001</v>
      </c>
      <c r="AC245" s="27">
        <f t="shared" si="91"/>
        <v>61.312999999999995</v>
      </c>
      <c r="AD245" s="26">
        <f t="shared" si="92"/>
        <v>36.076999999999998</v>
      </c>
      <c r="AE245" s="27">
        <f t="shared" si="93"/>
        <v>72.512999999999991</v>
      </c>
      <c r="AF245" s="26">
        <f t="shared" si="94"/>
        <v>40.877000000000002</v>
      </c>
      <c r="AG245" s="27">
        <f t="shared" si="95"/>
        <v>83.712999999999994</v>
      </c>
      <c r="AH245" s="26">
        <f t="shared" si="96"/>
        <v>54.076999999999998</v>
      </c>
      <c r="AI245" s="27">
        <f t="shared" si="97"/>
        <v>114.51299999999999</v>
      </c>
      <c r="AJ245" s="28" t="s">
        <v>45</v>
      </c>
      <c r="AK245" s="15" t="s">
        <v>117</v>
      </c>
      <c r="AL245" s="15" t="s">
        <v>116</v>
      </c>
      <c r="AM245" s="15" t="s">
        <v>123</v>
      </c>
      <c r="AN245" s="15" t="s">
        <v>118</v>
      </c>
    </row>
    <row r="246" spans="1:40" ht="14.25" customHeight="1">
      <c r="A246" s="15" t="s">
        <v>132</v>
      </c>
      <c r="B246" s="35">
        <v>300</v>
      </c>
      <c r="C246" s="17" t="s">
        <v>70</v>
      </c>
      <c r="D246" s="15" t="s">
        <v>41</v>
      </c>
      <c r="E246" s="38" t="s">
        <v>133</v>
      </c>
      <c r="F246" s="15">
        <v>1</v>
      </c>
      <c r="G246" s="19">
        <v>3</v>
      </c>
      <c r="H246" s="19">
        <f t="shared" si="99"/>
        <v>3</v>
      </c>
      <c r="I246" s="38" t="s">
        <v>126</v>
      </c>
      <c r="J246" s="32"/>
      <c r="K246" s="32"/>
      <c r="L246" s="37">
        <f>L244*3</f>
        <v>97.289999999999992</v>
      </c>
      <c r="M246" s="32" t="s">
        <v>115</v>
      </c>
      <c r="N246" s="17">
        <v>4</v>
      </c>
      <c r="O246" s="25">
        <v>280</v>
      </c>
      <c r="V246" s="17">
        <f t="shared" si="102"/>
        <v>97.289999999999992</v>
      </c>
      <c r="W246" s="21">
        <v>5</v>
      </c>
      <c r="X246" s="21">
        <f>(20*(1+0.6+0.4))+($V$227-4)</f>
        <v>94.53</v>
      </c>
      <c r="Y246" s="21">
        <f>(24*(1+0.6+0.4))+($V$227-4)</f>
        <v>102.53</v>
      </c>
      <c r="Z246" s="21">
        <f>(28*(1+0.6+0.4))+($V$227-4)</f>
        <v>110.53</v>
      </c>
      <c r="AA246" s="21">
        <f>(39*(1+0.6+0.4))+($V$227-4)</f>
        <v>132.53</v>
      </c>
      <c r="AB246" s="26">
        <f t="shared" si="90"/>
        <v>2.6720000000000028</v>
      </c>
      <c r="AC246" s="27">
        <f t="shared" si="91"/>
        <v>-5.4319999999999933</v>
      </c>
      <c r="AD246" s="26">
        <f t="shared" si="92"/>
        <v>5.0720000000000027</v>
      </c>
      <c r="AE246" s="27">
        <f t="shared" si="93"/>
        <v>0.16800000000000637</v>
      </c>
      <c r="AF246" s="26">
        <f t="shared" si="94"/>
        <v>7.4720000000000031</v>
      </c>
      <c r="AG246" s="27">
        <f t="shared" si="95"/>
        <v>5.768000000000006</v>
      </c>
      <c r="AH246" s="26">
        <f t="shared" si="96"/>
        <v>14.072000000000003</v>
      </c>
      <c r="AI246" s="27">
        <f t="shared" si="97"/>
        <v>21.168000000000006</v>
      </c>
      <c r="AJ246" s="28" t="s">
        <v>45</v>
      </c>
      <c r="AK246" s="15" t="s">
        <v>113</v>
      </c>
    </row>
    <row r="247" spans="1:40" ht="14.25" customHeight="1">
      <c r="A247" s="15" t="s">
        <v>136</v>
      </c>
      <c r="B247" s="35">
        <v>5</v>
      </c>
      <c r="C247" s="17" t="s">
        <v>40</v>
      </c>
      <c r="D247" s="15" t="s">
        <v>41</v>
      </c>
      <c r="E247" s="33" t="s">
        <v>42</v>
      </c>
      <c r="F247" s="17">
        <v>28</v>
      </c>
      <c r="G247" s="19">
        <v>3</v>
      </c>
      <c r="H247" s="19">
        <f t="shared" si="99"/>
        <v>84</v>
      </c>
      <c r="I247" s="38" t="s">
        <v>42</v>
      </c>
      <c r="J247" s="32"/>
      <c r="K247" s="32"/>
      <c r="L247" s="37">
        <f>L246+5.38</f>
        <v>102.66999999999999</v>
      </c>
      <c r="M247" s="32" t="s">
        <v>137</v>
      </c>
      <c r="N247" s="17">
        <v>84</v>
      </c>
      <c r="O247" s="25">
        <v>84</v>
      </c>
      <c r="V247" s="17">
        <f t="shared" si="102"/>
        <v>102.66999999999999</v>
      </c>
      <c r="W247" s="21">
        <v>5</v>
      </c>
      <c r="X247" s="21">
        <f>(X245*(1+0.6+0.4))+($V$233-4)</f>
        <v>260.68</v>
      </c>
      <c r="Y247" s="21">
        <f>(Y245*(1+0.6+0.4))+($V$233-4)</f>
        <v>292.68</v>
      </c>
      <c r="Z247" s="21">
        <f>(Z245*(1+0.6+0.4))+($V$233-4)</f>
        <v>324.68</v>
      </c>
      <c r="AA247" s="21">
        <f>(AA245*(1+0.6+0.4))+($V$233-4)</f>
        <v>412.68</v>
      </c>
      <c r="AB247" s="26">
        <f t="shared" si="90"/>
        <v>50.903000000000006</v>
      </c>
      <c r="AC247" s="27">
        <f t="shared" si="91"/>
        <v>107.10700000000001</v>
      </c>
      <c r="AD247" s="26">
        <f t="shared" si="92"/>
        <v>60.503000000000007</v>
      </c>
      <c r="AE247" s="27">
        <f t="shared" si="93"/>
        <v>129.50700000000001</v>
      </c>
      <c r="AF247" s="26">
        <f t="shared" si="94"/>
        <v>70.103000000000009</v>
      </c>
      <c r="AG247" s="27">
        <f t="shared" si="95"/>
        <v>151.90700000000001</v>
      </c>
      <c r="AH247" s="26">
        <f t="shared" si="96"/>
        <v>96.503</v>
      </c>
      <c r="AI247" s="27">
        <f t="shared" si="97"/>
        <v>213.50699999999998</v>
      </c>
      <c r="AJ247" s="28" t="s">
        <v>45</v>
      </c>
    </row>
    <row r="248" spans="1:40" ht="14.25" customHeight="1">
      <c r="A248" s="15" t="s">
        <v>139</v>
      </c>
      <c r="B248" s="35">
        <v>2</v>
      </c>
      <c r="C248" s="17" t="s">
        <v>54</v>
      </c>
      <c r="D248" s="15" t="s">
        <v>41</v>
      </c>
      <c r="E248" s="38" t="s">
        <v>140</v>
      </c>
      <c r="F248" s="17">
        <v>120</v>
      </c>
      <c r="G248" s="19">
        <v>3</v>
      </c>
      <c r="H248" s="19">
        <f t="shared" si="99"/>
        <v>360</v>
      </c>
      <c r="I248" s="15" t="s">
        <v>106</v>
      </c>
      <c r="J248" s="32"/>
      <c r="K248" s="32"/>
      <c r="L248" s="37">
        <f>+L247+14.8</f>
        <v>117.46999999999998</v>
      </c>
      <c r="M248" s="32" t="s">
        <v>141</v>
      </c>
      <c r="N248" s="17">
        <v>360</v>
      </c>
      <c r="O248" s="25">
        <v>112</v>
      </c>
      <c r="V248" s="17">
        <f t="shared" si="102"/>
        <v>117.46999999999998</v>
      </c>
      <c r="W248" s="21">
        <v>5</v>
      </c>
      <c r="X248" s="21">
        <f>(20*(1+0.6+0.4))+($V$238-4)</f>
        <v>108.36</v>
      </c>
      <c r="Y248" s="21">
        <f>(24*(1+0.6+0.4))+($V$238-4)</f>
        <v>116.36</v>
      </c>
      <c r="Z248" s="21">
        <f>(28*(1+0.6+0.4))+($V$238-4)</f>
        <v>124.36</v>
      </c>
      <c r="AA248" s="21">
        <f>(39*(1+0.6+0.4))+($V$238-4)</f>
        <v>146.36000000000001</v>
      </c>
      <c r="AB248" s="26">
        <f t="shared" si="90"/>
        <v>0.76700000000000479</v>
      </c>
      <c r="AC248" s="27">
        <f t="shared" si="91"/>
        <v>-9.8769999999999882</v>
      </c>
      <c r="AD248" s="26">
        <f t="shared" si="92"/>
        <v>3.1670000000000043</v>
      </c>
      <c r="AE248" s="27">
        <f t="shared" si="93"/>
        <v>-4.2769999999999895</v>
      </c>
      <c r="AF248" s="26">
        <f t="shared" si="94"/>
        <v>5.5670000000000046</v>
      </c>
      <c r="AG248" s="27">
        <f t="shared" si="95"/>
        <v>1.3230000000000102</v>
      </c>
      <c r="AH248" s="26">
        <f t="shared" si="96"/>
        <v>12.167000000000009</v>
      </c>
      <c r="AI248" s="27">
        <f t="shared" si="97"/>
        <v>16.72300000000002</v>
      </c>
      <c r="AJ248" s="28" t="s">
        <v>45</v>
      </c>
    </row>
    <row r="249" spans="1:40" ht="14.25" customHeight="1">
      <c r="A249" s="46" t="s">
        <v>142</v>
      </c>
      <c r="B249" s="47" t="s">
        <v>143</v>
      </c>
      <c r="C249" s="17" t="s">
        <v>54</v>
      </c>
      <c r="D249" s="15" t="s">
        <v>41</v>
      </c>
      <c r="E249" s="38" t="s">
        <v>140</v>
      </c>
      <c r="F249" s="17">
        <v>250</v>
      </c>
      <c r="G249" s="19">
        <v>3</v>
      </c>
      <c r="H249" s="19">
        <f t="shared" si="99"/>
        <v>750</v>
      </c>
      <c r="I249" s="15" t="s">
        <v>106</v>
      </c>
      <c r="J249" s="32"/>
      <c r="K249" s="32"/>
      <c r="L249" s="37">
        <f>5.24+L248</f>
        <v>122.70999999999998</v>
      </c>
      <c r="M249" s="32" t="s">
        <v>141</v>
      </c>
      <c r="N249" s="17">
        <v>750</v>
      </c>
      <c r="O249" s="25">
        <v>112</v>
      </c>
      <c r="V249" s="17">
        <f t="shared" si="102"/>
        <v>122.70999999999998</v>
      </c>
      <c r="W249" s="21">
        <v>5</v>
      </c>
      <c r="X249" s="21">
        <f>(X247*(1+0.6+0.4))+($V$241-4)</f>
        <v>527.59</v>
      </c>
      <c r="Y249" s="21">
        <f>(Y247*(1+0.6+0.4))+($V$241-4)</f>
        <v>591.59</v>
      </c>
      <c r="Z249" s="21">
        <f>(Z247*(1+0.6+0.4))+($V$241-4)</f>
        <v>655.59</v>
      </c>
      <c r="AA249" s="21">
        <f>(AA247*(1+0.6+0.4))+($V$241-4)</f>
        <v>831.59</v>
      </c>
      <c r="AB249" s="26">
        <f t="shared" si="90"/>
        <v>124.96400000000001</v>
      </c>
      <c r="AC249" s="27">
        <f t="shared" si="91"/>
        <v>279.916</v>
      </c>
      <c r="AD249" s="26">
        <f t="shared" si="92"/>
        <v>144.16400000000002</v>
      </c>
      <c r="AE249" s="27">
        <f t="shared" si="93"/>
        <v>324.71600000000001</v>
      </c>
      <c r="AF249" s="26">
        <f t="shared" si="94"/>
        <v>163.36400000000003</v>
      </c>
      <c r="AG249" s="27">
        <f t="shared" si="95"/>
        <v>369.51600000000008</v>
      </c>
      <c r="AH249" s="26">
        <f t="shared" si="96"/>
        <v>216.16400000000002</v>
      </c>
      <c r="AI249" s="27">
        <f t="shared" si="97"/>
        <v>492.71600000000007</v>
      </c>
      <c r="AJ249" s="28" t="s">
        <v>45</v>
      </c>
    </row>
    <row r="250" spans="1:40" ht="14.25" customHeight="1">
      <c r="A250" s="15" t="s">
        <v>144</v>
      </c>
      <c r="B250" s="35">
        <v>0.1</v>
      </c>
      <c r="C250" s="17" t="s">
        <v>54</v>
      </c>
      <c r="D250" s="15" t="s">
        <v>41</v>
      </c>
      <c r="E250" s="15" t="s">
        <v>140</v>
      </c>
      <c r="F250" s="15">
        <v>100</v>
      </c>
      <c r="G250" s="36">
        <v>3</v>
      </c>
      <c r="H250" s="36">
        <f t="shared" si="99"/>
        <v>300</v>
      </c>
      <c r="I250" s="15" t="s">
        <v>106</v>
      </c>
      <c r="J250" s="32"/>
      <c r="K250" s="32"/>
      <c r="L250" s="37">
        <f>L249+3.9</f>
        <v>126.60999999999999</v>
      </c>
      <c r="M250" s="32" t="s">
        <v>141</v>
      </c>
      <c r="N250" s="15">
        <v>300</v>
      </c>
      <c r="O250" s="44">
        <v>112</v>
      </c>
      <c r="P250" s="32" t="s">
        <v>145</v>
      </c>
      <c r="Q250" s="44">
        <v>112</v>
      </c>
      <c r="R250" s="15">
        <v>300</v>
      </c>
      <c r="S250" s="32" t="s">
        <v>146</v>
      </c>
      <c r="T250" s="15">
        <v>300</v>
      </c>
      <c r="U250" s="44">
        <v>112</v>
      </c>
      <c r="V250" s="17">
        <f t="shared" si="102"/>
        <v>126.60999999999999</v>
      </c>
      <c r="W250" s="21">
        <v>5</v>
      </c>
      <c r="X250" s="21">
        <f>(20*(1+0.6+0.4))+($V$244-4)</f>
        <v>68.430000000000007</v>
      </c>
      <c r="Y250" s="21">
        <f>(24*(1+0.6+0.4))+($V$244-4)</f>
        <v>76.430000000000007</v>
      </c>
      <c r="Z250" s="21">
        <f>(28*(1+0.6+0.4))+($V$244-4)</f>
        <v>84.43</v>
      </c>
      <c r="AA250" s="21">
        <f>(39*(1+0.6+0.4))+($V$244-4)</f>
        <v>106.43</v>
      </c>
      <c r="AB250" s="48">
        <f t="shared" si="90"/>
        <v>-13.953999999999994</v>
      </c>
      <c r="AC250" s="48">
        <f t="shared" si="91"/>
        <v>-44.225999999999985</v>
      </c>
      <c r="AD250" s="48">
        <f t="shared" si="92"/>
        <v>-11.553999999999991</v>
      </c>
      <c r="AE250" s="48">
        <f t="shared" si="93"/>
        <v>-38.625999999999983</v>
      </c>
      <c r="AF250" s="48">
        <f t="shared" si="94"/>
        <v>-9.1539999999999928</v>
      </c>
      <c r="AG250" s="48">
        <f t="shared" si="95"/>
        <v>-33.025999999999982</v>
      </c>
      <c r="AH250" s="48">
        <f t="shared" si="96"/>
        <v>-2.5539999999999932</v>
      </c>
      <c r="AI250" s="48">
        <f t="shared" si="97"/>
        <v>-17.625999999999983</v>
      </c>
      <c r="AJ250" s="28" t="s">
        <v>45</v>
      </c>
    </row>
    <row r="251" spans="1:40" ht="14.25" customHeight="1">
      <c r="A251" s="15" t="s">
        <v>149</v>
      </c>
      <c r="B251" s="35">
        <v>0.1</v>
      </c>
      <c r="C251" s="17" t="s">
        <v>54</v>
      </c>
      <c r="D251" s="15" t="s">
        <v>41</v>
      </c>
      <c r="E251" s="38" t="s">
        <v>148</v>
      </c>
      <c r="F251" s="15">
        <v>30</v>
      </c>
      <c r="G251" s="19">
        <v>3</v>
      </c>
      <c r="H251" s="19">
        <f t="shared" si="99"/>
        <v>90</v>
      </c>
      <c r="I251" s="38" t="s">
        <v>106</v>
      </c>
      <c r="J251" s="32"/>
      <c r="K251" s="32"/>
      <c r="L251" s="37">
        <f>4.27+L250</f>
        <v>130.88</v>
      </c>
      <c r="M251" s="32" t="s">
        <v>141</v>
      </c>
      <c r="N251" s="17">
        <v>90</v>
      </c>
      <c r="O251" s="25">
        <v>112</v>
      </c>
      <c r="V251" s="17">
        <f t="shared" si="102"/>
        <v>130.88</v>
      </c>
      <c r="W251" s="21">
        <v>5</v>
      </c>
      <c r="X251" s="21">
        <f>(20*(1+0.6+0.4))+($V$247-4)</f>
        <v>138.66999999999999</v>
      </c>
      <c r="Y251" s="21">
        <f>(24*(1+0.6+0.4))+($V$247-4)</f>
        <v>146.66999999999999</v>
      </c>
      <c r="Z251" s="21">
        <f>(28*(1+0.6+0.4))+($V$247-4)</f>
        <v>154.66999999999999</v>
      </c>
      <c r="AA251" s="21">
        <f>(39*(1+0.6+0.4))+($V$247-4)</f>
        <v>176.67</v>
      </c>
      <c r="AB251" s="26">
        <f t="shared" si="90"/>
        <v>5.836999999999998</v>
      </c>
      <c r="AC251" s="27">
        <f t="shared" si="91"/>
        <v>1.9529999999999943</v>
      </c>
      <c r="AD251" s="26">
        <f t="shared" si="92"/>
        <v>8.2369999999999983</v>
      </c>
      <c r="AE251" s="27">
        <f t="shared" si="93"/>
        <v>7.5529999999999937</v>
      </c>
      <c r="AF251" s="26">
        <f t="shared" si="94"/>
        <v>10.636999999999997</v>
      </c>
      <c r="AG251" s="27">
        <f t="shared" si="95"/>
        <v>13.152999999999993</v>
      </c>
      <c r="AH251" s="26">
        <f t="shared" si="96"/>
        <v>17.236999999999995</v>
      </c>
      <c r="AI251" s="27">
        <f t="shared" si="97"/>
        <v>28.552999999999994</v>
      </c>
      <c r="AJ251" s="28" t="s">
        <v>45</v>
      </c>
    </row>
    <row r="252" spans="1:40" ht="14.25" customHeight="1">
      <c r="A252" s="15" t="s">
        <v>171</v>
      </c>
      <c r="B252" s="35">
        <v>0.1</v>
      </c>
      <c r="C252" s="17" t="s">
        <v>54</v>
      </c>
      <c r="D252" s="15" t="s">
        <v>41</v>
      </c>
      <c r="E252" s="38" t="s">
        <v>55</v>
      </c>
      <c r="F252" s="15">
        <v>30</v>
      </c>
      <c r="G252" s="19">
        <v>3</v>
      </c>
      <c r="H252" s="19">
        <f t="shared" si="99"/>
        <v>90</v>
      </c>
      <c r="I252" s="38" t="s">
        <v>56</v>
      </c>
      <c r="J252" s="32"/>
      <c r="K252" s="32"/>
      <c r="L252" s="39">
        <f>L251+1.49</f>
        <v>132.37</v>
      </c>
      <c r="M252" s="32" t="s">
        <v>145</v>
      </c>
      <c r="N252" s="15">
        <v>90</v>
      </c>
      <c r="O252" s="44">
        <v>84</v>
      </c>
      <c r="P252" s="32" t="s">
        <v>146</v>
      </c>
      <c r="Q252" s="44">
        <v>84</v>
      </c>
      <c r="R252" s="15">
        <v>90</v>
      </c>
      <c r="S252" s="32" t="s">
        <v>172</v>
      </c>
      <c r="T252" s="15">
        <v>90</v>
      </c>
      <c r="U252" s="44">
        <v>84</v>
      </c>
      <c r="V252" s="21">
        <v>4</v>
      </c>
      <c r="W252" s="21">
        <v>5</v>
      </c>
      <c r="X252" s="21">
        <f>X250*(1+0.6+0.4)</f>
        <v>136.86000000000001</v>
      </c>
      <c r="Y252" s="21">
        <f>Y250*(1+0.6+0.4)</f>
        <v>152.86000000000001</v>
      </c>
      <c r="Z252" s="21">
        <f>Z250*(1+0.6+0.4)</f>
        <v>168.86</v>
      </c>
      <c r="AA252" s="21">
        <f>AA250*(1+0.6+0.4)</f>
        <v>212.86</v>
      </c>
      <c r="AB252" s="26">
        <f t="shared" si="90"/>
        <v>43.358000000000004</v>
      </c>
      <c r="AC252" s="27">
        <f t="shared" si="91"/>
        <v>89.50200000000001</v>
      </c>
      <c r="AD252" s="26">
        <f t="shared" si="92"/>
        <v>48.158000000000001</v>
      </c>
      <c r="AE252" s="27">
        <f t="shared" si="93"/>
        <v>100.702</v>
      </c>
      <c r="AF252" s="26">
        <f t="shared" si="94"/>
        <v>52.958000000000006</v>
      </c>
      <c r="AG252" s="27">
        <f t="shared" si="95"/>
        <v>111.902</v>
      </c>
      <c r="AH252" s="26">
        <f t="shared" si="96"/>
        <v>66.158000000000001</v>
      </c>
      <c r="AI252" s="27">
        <f t="shared" si="97"/>
        <v>142.702</v>
      </c>
      <c r="AJ252" s="28" t="s">
        <v>45</v>
      </c>
    </row>
    <row r="253" spans="1:40" ht="14.25" customHeight="1">
      <c r="A253" s="15" t="s">
        <v>174</v>
      </c>
      <c r="B253" s="35">
        <v>0.1</v>
      </c>
      <c r="C253" s="17" t="s">
        <v>54</v>
      </c>
      <c r="D253" s="15" t="s">
        <v>41</v>
      </c>
      <c r="E253" s="38" t="s">
        <v>55</v>
      </c>
      <c r="F253" s="15">
        <v>30</v>
      </c>
      <c r="G253" s="19">
        <v>3</v>
      </c>
      <c r="H253" s="19">
        <f t="shared" si="99"/>
        <v>90</v>
      </c>
      <c r="I253" s="38" t="s">
        <v>56</v>
      </c>
      <c r="J253" s="32"/>
      <c r="K253" s="32"/>
      <c r="L253" s="37">
        <f>L252+4.18</f>
        <v>136.55000000000001</v>
      </c>
      <c r="M253" s="32" t="s">
        <v>145</v>
      </c>
      <c r="N253" s="15">
        <v>90</v>
      </c>
      <c r="O253" s="44">
        <v>84</v>
      </c>
      <c r="P253" s="32" t="s">
        <v>172</v>
      </c>
      <c r="Q253" s="44">
        <v>84</v>
      </c>
      <c r="R253" s="15">
        <v>90</v>
      </c>
      <c r="V253" s="17">
        <f>L253</f>
        <v>136.55000000000001</v>
      </c>
      <c r="W253" s="21">
        <v>5</v>
      </c>
      <c r="X253" s="21">
        <f>(X251*(1+0.6+0.4)+(12.54-4))</f>
        <v>285.88</v>
      </c>
      <c r="Y253" s="21">
        <f>(Y251*(1+0.6+0.4)+(12.54-4))</f>
        <v>301.88</v>
      </c>
      <c r="Z253" s="21">
        <f>(Z251*(1+0.6+0.4)+(12.54-4))</f>
        <v>317.88</v>
      </c>
      <c r="AA253" s="21">
        <f>(AA251*(1+0.6+0.4)+(12.54-4))</f>
        <v>361.88</v>
      </c>
      <c r="AB253" s="26">
        <f t="shared" si="90"/>
        <v>48.298999999999992</v>
      </c>
      <c r="AC253" s="27">
        <f t="shared" si="91"/>
        <v>101.03099999999998</v>
      </c>
      <c r="AD253" s="26">
        <f t="shared" si="92"/>
        <v>53.098999999999997</v>
      </c>
      <c r="AE253" s="27">
        <f t="shared" si="93"/>
        <v>112.23099999999998</v>
      </c>
      <c r="AF253" s="26">
        <f t="shared" si="94"/>
        <v>57.898999999999994</v>
      </c>
      <c r="AG253" s="27">
        <f t="shared" si="95"/>
        <v>123.43099999999998</v>
      </c>
      <c r="AH253" s="26">
        <f t="shared" si="96"/>
        <v>71.09899999999999</v>
      </c>
      <c r="AI253" s="27">
        <f t="shared" si="97"/>
        <v>154.23099999999997</v>
      </c>
      <c r="AJ253" s="28" t="s">
        <v>45</v>
      </c>
    </row>
    <row r="254" spans="1:40" ht="14.25" customHeight="1">
      <c r="A254" s="15" t="s">
        <v>176</v>
      </c>
      <c r="B254" s="35">
        <v>0.05</v>
      </c>
      <c r="C254" s="17" t="s">
        <v>54</v>
      </c>
      <c r="D254" s="15" t="s">
        <v>41</v>
      </c>
      <c r="E254" s="38" t="s">
        <v>55</v>
      </c>
      <c r="F254" s="15">
        <v>30</v>
      </c>
      <c r="G254" s="19">
        <v>3</v>
      </c>
      <c r="H254" s="19">
        <f t="shared" si="99"/>
        <v>90</v>
      </c>
      <c r="I254" s="38" t="s">
        <v>56</v>
      </c>
      <c r="J254" s="32"/>
      <c r="K254" s="32"/>
      <c r="L254" s="39">
        <f>L253+1.86</f>
        <v>138.41000000000003</v>
      </c>
      <c r="M254" s="32" t="s">
        <v>145</v>
      </c>
      <c r="N254" s="15">
        <v>90</v>
      </c>
      <c r="O254" s="44">
        <v>84</v>
      </c>
      <c r="P254" s="32" t="s">
        <v>146</v>
      </c>
      <c r="Q254" s="44">
        <v>84</v>
      </c>
      <c r="R254" s="15">
        <v>90</v>
      </c>
      <c r="S254" s="32" t="s">
        <v>172</v>
      </c>
      <c r="T254" s="15">
        <v>90</v>
      </c>
      <c r="U254" s="44">
        <v>84</v>
      </c>
      <c r="V254" s="21">
        <v>4</v>
      </c>
      <c r="W254" s="21">
        <v>5</v>
      </c>
      <c r="X254" s="21">
        <f t="shared" ref="X254:AA256" si="103">X252*(1+0.6+0.4)</f>
        <v>273.72000000000003</v>
      </c>
      <c r="Y254" s="21">
        <f t="shared" si="103"/>
        <v>305.72000000000003</v>
      </c>
      <c r="Z254" s="21">
        <f t="shared" si="103"/>
        <v>337.72</v>
      </c>
      <c r="AA254" s="21">
        <f t="shared" si="103"/>
        <v>425.72</v>
      </c>
      <c r="AB254" s="26">
        <f t="shared" si="90"/>
        <v>84.416000000000011</v>
      </c>
      <c r="AC254" s="27">
        <f t="shared" si="91"/>
        <v>185.304</v>
      </c>
      <c r="AD254" s="26">
        <f t="shared" si="92"/>
        <v>94.016000000000005</v>
      </c>
      <c r="AE254" s="27">
        <f t="shared" si="93"/>
        <v>207.70400000000001</v>
      </c>
      <c r="AF254" s="26">
        <f t="shared" si="94"/>
        <v>103.616</v>
      </c>
      <c r="AG254" s="27">
        <f t="shared" si="95"/>
        <v>230.10400000000001</v>
      </c>
      <c r="AH254" s="26">
        <f t="shared" si="96"/>
        <v>130.01600000000002</v>
      </c>
      <c r="AI254" s="27">
        <f t="shared" si="97"/>
        <v>291.70400000000001</v>
      </c>
      <c r="AJ254" s="28" t="s">
        <v>45</v>
      </c>
    </row>
    <row r="255" spans="1:40" ht="14.25" customHeight="1">
      <c r="A255" s="15" t="s">
        <v>178</v>
      </c>
      <c r="B255" s="35">
        <v>1</v>
      </c>
      <c r="C255" s="17" t="s">
        <v>54</v>
      </c>
      <c r="D255" s="15" t="s">
        <v>41</v>
      </c>
      <c r="E255" s="38" t="s">
        <v>55</v>
      </c>
      <c r="F255" s="15">
        <v>15</v>
      </c>
      <c r="G255" s="19">
        <v>3</v>
      </c>
      <c r="H255" s="19">
        <f t="shared" si="99"/>
        <v>45</v>
      </c>
      <c r="I255" s="38" t="s">
        <v>56</v>
      </c>
      <c r="J255" s="32"/>
      <c r="K255" s="32"/>
      <c r="L255" s="39">
        <f>L254+1.46</f>
        <v>139.87000000000003</v>
      </c>
      <c r="M255" s="32" t="s">
        <v>145</v>
      </c>
      <c r="N255" s="15">
        <v>45</v>
      </c>
      <c r="O255" s="44">
        <v>84</v>
      </c>
      <c r="P255" s="32" t="s">
        <v>172</v>
      </c>
      <c r="Q255" s="44">
        <v>84</v>
      </c>
      <c r="R255" s="15">
        <v>45</v>
      </c>
      <c r="U255" s="21"/>
      <c r="V255" s="21">
        <v>4</v>
      </c>
      <c r="W255" s="21">
        <v>5</v>
      </c>
      <c r="X255" s="21">
        <f t="shared" si="103"/>
        <v>571.76</v>
      </c>
      <c r="Y255" s="21">
        <f t="shared" si="103"/>
        <v>603.76</v>
      </c>
      <c r="Z255" s="21">
        <f t="shared" si="103"/>
        <v>635.76</v>
      </c>
      <c r="AA255" s="21">
        <f t="shared" si="103"/>
        <v>723.76</v>
      </c>
      <c r="AB255" s="26">
        <f t="shared" si="90"/>
        <v>173.828</v>
      </c>
      <c r="AC255" s="27">
        <f t="shared" si="91"/>
        <v>393.93199999999996</v>
      </c>
      <c r="AD255" s="26">
        <f t="shared" si="92"/>
        <v>183.428</v>
      </c>
      <c r="AE255" s="27">
        <f t="shared" si="93"/>
        <v>416.33199999999999</v>
      </c>
      <c r="AF255" s="26">
        <f t="shared" si="94"/>
        <v>193.02799999999999</v>
      </c>
      <c r="AG255" s="27">
        <f t="shared" si="95"/>
        <v>438.73199999999997</v>
      </c>
      <c r="AH255" s="26">
        <f t="shared" si="96"/>
        <v>219.428</v>
      </c>
      <c r="AI255" s="27">
        <f t="shared" si="97"/>
        <v>500.33199999999994</v>
      </c>
      <c r="AJ255" s="28" t="s">
        <v>45</v>
      </c>
    </row>
    <row r="256" spans="1:40" ht="14.25" customHeight="1">
      <c r="A256" s="15" t="s">
        <v>179</v>
      </c>
      <c r="B256" s="35">
        <v>1</v>
      </c>
      <c r="C256" s="17" t="s">
        <v>54</v>
      </c>
      <c r="D256" s="15" t="s">
        <v>41</v>
      </c>
      <c r="E256" s="38" t="s">
        <v>156</v>
      </c>
      <c r="F256" s="15">
        <v>30</v>
      </c>
      <c r="G256" s="19">
        <v>3</v>
      </c>
      <c r="H256" s="19">
        <f t="shared" si="99"/>
        <v>90</v>
      </c>
      <c r="I256" s="38" t="s">
        <v>56</v>
      </c>
      <c r="J256" s="32"/>
      <c r="K256" s="32"/>
      <c r="L256" s="39">
        <f>L255+1.46</f>
        <v>141.33000000000004</v>
      </c>
      <c r="M256" s="32" t="s">
        <v>145</v>
      </c>
      <c r="N256" s="15">
        <v>90</v>
      </c>
      <c r="O256" s="44">
        <v>84</v>
      </c>
      <c r="P256" s="32" t="s">
        <v>172</v>
      </c>
      <c r="Q256" s="17"/>
      <c r="R256" s="17">
        <v>90</v>
      </c>
      <c r="U256" s="21"/>
      <c r="V256" s="21">
        <v>4</v>
      </c>
      <c r="W256" s="21">
        <v>5</v>
      </c>
      <c r="X256" s="21">
        <f t="shared" si="103"/>
        <v>547.44000000000005</v>
      </c>
      <c r="Y256" s="21">
        <f t="shared" si="103"/>
        <v>611.44000000000005</v>
      </c>
      <c r="Z256" s="21">
        <f t="shared" si="103"/>
        <v>675.44</v>
      </c>
      <c r="AA256" s="21">
        <f t="shared" si="103"/>
        <v>851.44</v>
      </c>
      <c r="AB256" s="26">
        <f t="shared" si="90"/>
        <v>166.53200000000001</v>
      </c>
      <c r="AC256" s="27">
        <f t="shared" si="91"/>
        <v>376.90800000000002</v>
      </c>
      <c r="AD256" s="26">
        <f t="shared" si="92"/>
        <v>185.732</v>
      </c>
      <c r="AE256" s="27">
        <f t="shared" si="93"/>
        <v>421.70800000000003</v>
      </c>
      <c r="AF256" s="26">
        <f t="shared" si="94"/>
        <v>204.93200000000002</v>
      </c>
      <c r="AG256" s="27">
        <f t="shared" si="95"/>
        <v>466.50799999999998</v>
      </c>
      <c r="AH256" s="26">
        <f t="shared" si="96"/>
        <v>257.73199999999997</v>
      </c>
      <c r="AI256" s="27">
        <f t="shared" si="97"/>
        <v>589.70799999999997</v>
      </c>
      <c r="AJ256" s="28" t="s">
        <v>45</v>
      </c>
    </row>
    <row r="257" spans="1:39" ht="14.25" customHeight="1">
      <c r="A257" s="54" t="s">
        <v>180</v>
      </c>
      <c r="B257" s="35" t="s">
        <v>181</v>
      </c>
      <c r="C257" s="17" t="s">
        <v>54</v>
      </c>
      <c r="D257" s="15" t="s">
        <v>41</v>
      </c>
      <c r="E257" s="38" t="s">
        <v>55</v>
      </c>
      <c r="F257" s="15">
        <v>30</v>
      </c>
      <c r="G257" s="19">
        <v>3</v>
      </c>
      <c r="H257" s="19">
        <f t="shared" si="99"/>
        <v>90</v>
      </c>
      <c r="I257" s="38" t="s">
        <v>56</v>
      </c>
      <c r="J257" s="32"/>
      <c r="K257" s="32"/>
      <c r="L257" s="40"/>
      <c r="M257" s="15" t="s">
        <v>183</v>
      </c>
      <c r="N257" s="15">
        <v>120</v>
      </c>
      <c r="O257" s="44">
        <v>84</v>
      </c>
      <c r="P257" s="32"/>
      <c r="V257" s="17">
        <f>L257</f>
        <v>0</v>
      </c>
      <c r="W257" s="22">
        <v>5</v>
      </c>
      <c r="X257" s="21"/>
      <c r="Y257" s="21"/>
      <c r="Z257" s="21"/>
      <c r="AA257" s="21"/>
      <c r="AB257" s="26"/>
      <c r="AC257" s="27"/>
      <c r="AD257" s="26"/>
      <c r="AE257" s="27"/>
      <c r="AF257" s="26"/>
      <c r="AG257" s="27"/>
      <c r="AH257" s="26"/>
      <c r="AI257" s="27"/>
      <c r="AJ257" s="28" t="s">
        <v>169</v>
      </c>
    </row>
    <row r="258" spans="1:39" ht="14.25" customHeight="1">
      <c r="A258" s="15" t="s">
        <v>184</v>
      </c>
      <c r="B258" s="35">
        <v>15</v>
      </c>
      <c r="C258" s="17" t="s">
        <v>54</v>
      </c>
      <c r="D258" s="15" t="s">
        <v>41</v>
      </c>
      <c r="E258" s="38" t="s">
        <v>135</v>
      </c>
      <c r="F258" s="15">
        <v>30</v>
      </c>
      <c r="G258" s="19">
        <v>3</v>
      </c>
      <c r="H258" s="19">
        <f t="shared" si="99"/>
        <v>90</v>
      </c>
      <c r="I258" s="38" t="s">
        <v>56</v>
      </c>
      <c r="J258" s="32"/>
      <c r="K258" s="32"/>
      <c r="L258" s="37">
        <f>L257+7.48</f>
        <v>7.48</v>
      </c>
      <c r="M258" s="32" t="s">
        <v>185</v>
      </c>
      <c r="N258" s="15">
        <v>90</v>
      </c>
      <c r="O258" s="44">
        <v>84</v>
      </c>
      <c r="P258" s="32" t="s">
        <v>186</v>
      </c>
      <c r="Q258" s="44">
        <v>84</v>
      </c>
      <c r="R258" s="15">
        <v>90</v>
      </c>
      <c r="V258" s="17">
        <f>L258</f>
        <v>7.48</v>
      </c>
      <c r="W258" s="21">
        <v>5</v>
      </c>
      <c r="X258" s="21">
        <f>(20*(1+0.6+0.4))+($V$293-4)</f>
        <v>40</v>
      </c>
      <c r="Y258" s="21">
        <f>(24*(1+0.6+0.4))+($V$293-4)</f>
        <v>48</v>
      </c>
      <c r="Z258" s="21">
        <f>(28*(1+0.6+0.4))+($V$293-4)</f>
        <v>56</v>
      </c>
      <c r="AA258" s="21">
        <f>(39*(1+0.6+0.4))+($V$293-4)</f>
        <v>78</v>
      </c>
      <c r="AB258" s="26">
        <f t="shared" ref="AB258:AB276" si="104">W258+(X258-V258-W258)*0.3</f>
        <v>13.255999999999998</v>
      </c>
      <c r="AC258" s="27">
        <f t="shared" ref="AC258:AC276" si="105">(X258-V258-W258)*0.7</f>
        <v>19.263999999999996</v>
      </c>
      <c r="AD258" s="26">
        <f t="shared" ref="AD258:AD276" si="106">W258+(Y258-V258-W258)*0.3</f>
        <v>15.655999999999999</v>
      </c>
      <c r="AE258" s="27">
        <f t="shared" ref="AE258:AE276" si="107">(Y258-V258-W258)*0.7</f>
        <v>24.863999999999997</v>
      </c>
      <c r="AF258" s="26">
        <f t="shared" ref="AF258:AF276" si="108">W258+(Z258-V258-W258)*0.3</f>
        <v>18.055999999999997</v>
      </c>
      <c r="AG258" s="27">
        <f t="shared" ref="AG258:AG276" si="109">(Z258-V258-W258)*0.7</f>
        <v>30.463999999999995</v>
      </c>
      <c r="AH258" s="26">
        <f t="shared" ref="AH258:AH276" si="110">W258+(AA258-V258-W258)*0.3</f>
        <v>24.655999999999999</v>
      </c>
      <c r="AI258" s="27">
        <f t="shared" ref="AI258:AI276" si="111">(AA258-V258-W258)*0.7</f>
        <v>45.863999999999997</v>
      </c>
      <c r="AJ258" s="28" t="s">
        <v>45</v>
      </c>
    </row>
    <row r="259" spans="1:39" ht="14.25" customHeight="1">
      <c r="A259" s="15" t="s">
        <v>187</v>
      </c>
      <c r="B259" s="35">
        <v>0.75</v>
      </c>
      <c r="C259" s="17" t="s">
        <v>54</v>
      </c>
      <c r="D259" s="15" t="s">
        <v>41</v>
      </c>
      <c r="E259" s="38" t="s">
        <v>135</v>
      </c>
      <c r="F259" s="15">
        <v>40</v>
      </c>
      <c r="G259" s="19">
        <v>3</v>
      </c>
      <c r="H259" s="19">
        <f t="shared" si="99"/>
        <v>120</v>
      </c>
      <c r="I259" s="38" t="s">
        <v>56</v>
      </c>
      <c r="J259" s="32"/>
      <c r="K259" s="32"/>
      <c r="L259" s="40">
        <f>L258+3.2</f>
        <v>10.68</v>
      </c>
      <c r="M259" s="32" t="s">
        <v>185</v>
      </c>
      <c r="N259" s="17">
        <v>120</v>
      </c>
      <c r="O259" s="25">
        <v>84</v>
      </c>
      <c r="V259" s="17">
        <v>8</v>
      </c>
      <c r="W259" s="21">
        <v>5</v>
      </c>
      <c r="X259" s="21">
        <f>X257*(1+0.6+0.4)+4</f>
        <v>4</v>
      </c>
      <c r="Y259" s="21">
        <f>Y257*(1+0.6+0.4)+4</f>
        <v>4</v>
      </c>
      <c r="Z259" s="21">
        <f>Z257*(1+0.6+0.4)+4</f>
        <v>4</v>
      </c>
      <c r="AA259" s="21">
        <f>AA257*(1+0.6+0.4)+4</f>
        <v>4</v>
      </c>
      <c r="AB259" s="26">
        <f t="shared" si="104"/>
        <v>2.3000000000000003</v>
      </c>
      <c r="AC259" s="27">
        <f t="shared" si="105"/>
        <v>-6.3</v>
      </c>
      <c r="AD259" s="26">
        <f t="shared" si="106"/>
        <v>2.3000000000000003</v>
      </c>
      <c r="AE259" s="27">
        <f t="shared" si="107"/>
        <v>-6.3</v>
      </c>
      <c r="AF259" s="26">
        <f t="shared" si="108"/>
        <v>2.3000000000000003</v>
      </c>
      <c r="AG259" s="27">
        <f t="shared" si="109"/>
        <v>-6.3</v>
      </c>
      <c r="AH259" s="26">
        <f t="shared" si="110"/>
        <v>2.3000000000000003</v>
      </c>
      <c r="AI259" s="27">
        <f t="shared" si="111"/>
        <v>-6.3</v>
      </c>
      <c r="AJ259" s="28" t="s">
        <v>45</v>
      </c>
    </row>
    <row r="260" spans="1:39" ht="14.25" customHeight="1">
      <c r="A260" s="15" t="s">
        <v>188</v>
      </c>
      <c r="B260" s="35">
        <v>0.1</v>
      </c>
      <c r="C260" s="17" t="s">
        <v>54</v>
      </c>
      <c r="D260" s="15" t="s">
        <v>41</v>
      </c>
      <c r="E260" s="38" t="s">
        <v>135</v>
      </c>
      <c r="F260" s="15">
        <v>45</v>
      </c>
      <c r="G260" s="19">
        <v>3</v>
      </c>
      <c r="H260" s="19">
        <f t="shared" si="99"/>
        <v>135</v>
      </c>
      <c r="I260" s="38" t="s">
        <v>56</v>
      </c>
      <c r="J260" s="32"/>
      <c r="K260" s="32"/>
      <c r="L260" s="37">
        <v>13.4</v>
      </c>
      <c r="M260" s="32" t="s">
        <v>186</v>
      </c>
      <c r="N260" s="17">
        <v>135</v>
      </c>
      <c r="O260" s="25">
        <v>112</v>
      </c>
      <c r="V260" s="17">
        <f t="shared" ref="V260:V266" si="112">L260</f>
        <v>13.4</v>
      </c>
      <c r="W260" s="21">
        <v>5</v>
      </c>
      <c r="X260" s="21">
        <f>(20*(1+0.6+0.4))+($V$299-4)</f>
        <v>47.32</v>
      </c>
      <c r="Y260" s="21">
        <f>(24*(1+0.6+0.4))+($V$299-4)</f>
        <v>55.32</v>
      </c>
      <c r="Z260" s="21">
        <f>(28*(1+0.6+0.4))+($V$299-4)</f>
        <v>63.32</v>
      </c>
      <c r="AA260" s="21">
        <f>(39*(1+0.6+0.4))+($V$299-4)</f>
        <v>85.32</v>
      </c>
      <c r="AB260" s="26">
        <f t="shared" si="104"/>
        <v>13.676</v>
      </c>
      <c r="AC260" s="27">
        <f t="shared" si="105"/>
        <v>20.244</v>
      </c>
      <c r="AD260" s="26">
        <f t="shared" si="106"/>
        <v>16.076000000000001</v>
      </c>
      <c r="AE260" s="27">
        <f t="shared" si="107"/>
        <v>25.844000000000001</v>
      </c>
      <c r="AF260" s="26">
        <f t="shared" si="108"/>
        <v>18.475999999999999</v>
      </c>
      <c r="AG260" s="27">
        <f t="shared" si="109"/>
        <v>31.443999999999999</v>
      </c>
      <c r="AH260" s="26">
        <f t="shared" si="110"/>
        <v>25.075999999999997</v>
      </c>
      <c r="AI260" s="27">
        <f t="shared" si="111"/>
        <v>46.843999999999987</v>
      </c>
      <c r="AJ260" s="28" t="s">
        <v>45</v>
      </c>
      <c r="AK260" s="15" t="s">
        <v>189</v>
      </c>
      <c r="AL260" s="15" t="s">
        <v>190</v>
      </c>
    </row>
    <row r="261" spans="1:39" ht="14.25" customHeight="1">
      <c r="A261" s="15" t="s">
        <v>191</v>
      </c>
      <c r="B261" s="35">
        <v>0.1</v>
      </c>
      <c r="C261" s="17" t="s">
        <v>54</v>
      </c>
      <c r="D261" s="15" t="s">
        <v>41</v>
      </c>
      <c r="E261" s="38" t="s">
        <v>55</v>
      </c>
      <c r="F261" s="15">
        <v>45</v>
      </c>
      <c r="G261" s="19">
        <v>3</v>
      </c>
      <c r="H261" s="19">
        <f t="shared" si="99"/>
        <v>135</v>
      </c>
      <c r="I261" s="38" t="s">
        <v>56</v>
      </c>
      <c r="J261" s="32"/>
      <c r="K261" s="32"/>
      <c r="L261" s="37">
        <v>13.73</v>
      </c>
      <c r="M261" s="32" t="s">
        <v>186</v>
      </c>
      <c r="N261" s="17">
        <v>135</v>
      </c>
      <c r="O261" s="25">
        <v>112</v>
      </c>
      <c r="V261" s="17">
        <f t="shared" si="112"/>
        <v>13.73</v>
      </c>
      <c r="W261" s="21">
        <v>5</v>
      </c>
      <c r="X261" s="21">
        <f>(20*(1+0.6+0.4))+($V$302-4)</f>
        <v>47.2</v>
      </c>
      <c r="Y261" s="21">
        <f>(24*(1+0.6+0.4))+($V$302-4)</f>
        <v>55.2</v>
      </c>
      <c r="Z261" s="21">
        <f>(28*(1+0.6+0.4))+($V$302-4)</f>
        <v>63.2</v>
      </c>
      <c r="AA261" s="21">
        <f>(39*(1+0.6+0.4))+($V$302-4)</f>
        <v>85.2</v>
      </c>
      <c r="AB261" s="26">
        <f t="shared" si="104"/>
        <v>13.540999999999999</v>
      </c>
      <c r="AC261" s="27">
        <f t="shared" si="105"/>
        <v>19.928999999999998</v>
      </c>
      <c r="AD261" s="26">
        <f t="shared" si="106"/>
        <v>15.940999999999999</v>
      </c>
      <c r="AE261" s="27">
        <f t="shared" si="107"/>
        <v>25.528999999999996</v>
      </c>
      <c r="AF261" s="26">
        <f t="shared" si="108"/>
        <v>18.341000000000001</v>
      </c>
      <c r="AG261" s="27">
        <f t="shared" si="109"/>
        <v>31.128999999999998</v>
      </c>
      <c r="AH261" s="26">
        <f t="shared" si="110"/>
        <v>24.940999999999999</v>
      </c>
      <c r="AI261" s="27">
        <f t="shared" si="111"/>
        <v>46.528999999999996</v>
      </c>
      <c r="AJ261" s="28" t="s">
        <v>45</v>
      </c>
      <c r="AK261" s="15" t="s">
        <v>189</v>
      </c>
      <c r="AL261" s="15" t="s">
        <v>190</v>
      </c>
    </row>
    <row r="262" spans="1:39" ht="14.25" customHeight="1">
      <c r="A262" s="15" t="s">
        <v>192</v>
      </c>
      <c r="B262" s="35" t="s">
        <v>193</v>
      </c>
      <c r="C262" s="17" t="s">
        <v>54</v>
      </c>
      <c r="D262" s="15" t="s">
        <v>41</v>
      </c>
      <c r="E262" s="38" t="s">
        <v>135</v>
      </c>
      <c r="F262" s="15">
        <v>45</v>
      </c>
      <c r="G262" s="19">
        <v>3</v>
      </c>
      <c r="H262" s="19">
        <f t="shared" si="99"/>
        <v>135</v>
      </c>
      <c r="I262" s="38" t="s">
        <v>56</v>
      </c>
      <c r="J262" s="32"/>
      <c r="K262" s="32"/>
      <c r="L262" s="37">
        <f>L261+19.53</f>
        <v>33.260000000000005</v>
      </c>
      <c r="M262" s="32" t="s">
        <v>186</v>
      </c>
      <c r="N262" s="17">
        <v>135</v>
      </c>
      <c r="O262" s="25">
        <v>112</v>
      </c>
      <c r="V262" s="17">
        <f t="shared" si="112"/>
        <v>33.260000000000005</v>
      </c>
      <c r="W262" s="21">
        <v>5</v>
      </c>
      <c r="X262" s="21">
        <f>(20*(1+0.6+0.4))+($V$305-4)</f>
        <v>114.04</v>
      </c>
      <c r="Y262" s="21">
        <f>(24*(1+0.6+0.4))+($V$305-4)</f>
        <v>122.04</v>
      </c>
      <c r="Z262" s="21">
        <f>(28*(1+0.6+0.4))+($V$305-4)</f>
        <v>130.04000000000002</v>
      </c>
      <c r="AA262" s="21">
        <f>(39*(1+0.6+0.4))+($V$305-4)</f>
        <v>152.04000000000002</v>
      </c>
      <c r="AB262" s="26">
        <f t="shared" si="104"/>
        <v>27.733999999999998</v>
      </c>
      <c r="AC262" s="27">
        <f t="shared" si="105"/>
        <v>53.045999999999999</v>
      </c>
      <c r="AD262" s="26">
        <f t="shared" si="106"/>
        <v>30.134</v>
      </c>
      <c r="AE262" s="27">
        <f t="shared" si="107"/>
        <v>58.645999999999994</v>
      </c>
      <c r="AF262" s="26">
        <f t="shared" si="108"/>
        <v>32.534000000000006</v>
      </c>
      <c r="AG262" s="27">
        <f t="shared" si="109"/>
        <v>64.246000000000009</v>
      </c>
      <c r="AH262" s="26">
        <f t="shared" si="110"/>
        <v>39.134</v>
      </c>
      <c r="AI262" s="27">
        <f t="shared" si="111"/>
        <v>79.646000000000001</v>
      </c>
      <c r="AJ262" s="28" t="s">
        <v>45</v>
      </c>
      <c r="AK262" s="15" t="s">
        <v>189</v>
      </c>
      <c r="AL262" s="15" t="s">
        <v>190</v>
      </c>
    </row>
    <row r="263" spans="1:39" ht="14.25" customHeight="1">
      <c r="A263" s="15" t="s">
        <v>192</v>
      </c>
      <c r="B263" s="35" t="s">
        <v>194</v>
      </c>
      <c r="C263" s="17" t="s">
        <v>54</v>
      </c>
      <c r="D263" s="15" t="s">
        <v>41</v>
      </c>
      <c r="E263" s="38" t="s">
        <v>135</v>
      </c>
      <c r="F263" s="15">
        <v>45</v>
      </c>
      <c r="G263" s="19">
        <v>3</v>
      </c>
      <c r="H263" s="19">
        <f t="shared" si="99"/>
        <v>135</v>
      </c>
      <c r="I263" s="38" t="s">
        <v>56</v>
      </c>
      <c r="J263" s="32"/>
      <c r="K263" s="32"/>
      <c r="L263" s="37">
        <f>L262+19.53</f>
        <v>52.790000000000006</v>
      </c>
      <c r="M263" s="32" t="s">
        <v>186</v>
      </c>
      <c r="N263" s="17">
        <v>135</v>
      </c>
      <c r="O263" s="25">
        <v>112</v>
      </c>
      <c r="V263" s="17">
        <f t="shared" si="112"/>
        <v>52.790000000000006</v>
      </c>
      <c r="W263" s="21">
        <v>5</v>
      </c>
      <c r="X263" s="21">
        <f>(20*(1+0.6+0.4))+($V$308-4)</f>
        <v>62.28</v>
      </c>
      <c r="Y263" s="21">
        <f>(24*(1+0.6+0.4))+($V$308-4)</f>
        <v>70.28</v>
      </c>
      <c r="Z263" s="21">
        <f>(28*(1+0.6+0.4))+($V$308-4)</f>
        <v>78.28</v>
      </c>
      <c r="AA263" s="21">
        <f>(39*(1+0.6+0.4))+($V$308-4)</f>
        <v>100.28</v>
      </c>
      <c r="AB263" s="26">
        <f t="shared" si="104"/>
        <v>6.3469999999999986</v>
      </c>
      <c r="AC263" s="27">
        <f t="shared" si="105"/>
        <v>3.1429999999999962</v>
      </c>
      <c r="AD263" s="26">
        <f t="shared" si="106"/>
        <v>8.7469999999999981</v>
      </c>
      <c r="AE263" s="27">
        <f t="shared" si="107"/>
        <v>8.742999999999995</v>
      </c>
      <c r="AF263" s="26">
        <f t="shared" si="108"/>
        <v>11.146999999999998</v>
      </c>
      <c r="AG263" s="27">
        <f t="shared" si="109"/>
        <v>14.342999999999995</v>
      </c>
      <c r="AH263" s="26">
        <f t="shared" si="110"/>
        <v>17.747</v>
      </c>
      <c r="AI263" s="27">
        <f t="shared" si="111"/>
        <v>29.742999999999995</v>
      </c>
      <c r="AJ263" s="28" t="s">
        <v>45</v>
      </c>
      <c r="AK263" s="15" t="s">
        <v>189</v>
      </c>
      <c r="AL263" s="15" t="s">
        <v>190</v>
      </c>
    </row>
    <row r="264" spans="1:39" ht="14.25" customHeight="1">
      <c r="A264" s="15" t="s">
        <v>195</v>
      </c>
      <c r="B264" s="41">
        <v>45294</v>
      </c>
      <c r="C264" s="17" t="s">
        <v>54</v>
      </c>
      <c r="D264" s="15" t="s">
        <v>41</v>
      </c>
      <c r="E264" s="38" t="s">
        <v>135</v>
      </c>
      <c r="F264" s="15">
        <v>30</v>
      </c>
      <c r="G264" s="19">
        <v>3</v>
      </c>
      <c r="H264" s="19">
        <f t="shared" si="99"/>
        <v>90</v>
      </c>
      <c r="I264" s="38" t="s">
        <v>56</v>
      </c>
      <c r="J264" s="32"/>
      <c r="K264" s="32"/>
      <c r="L264" s="37">
        <f>L263+13.14</f>
        <v>65.930000000000007</v>
      </c>
      <c r="M264" s="32" t="s">
        <v>186</v>
      </c>
      <c r="N264" s="17">
        <v>90</v>
      </c>
      <c r="O264" s="25">
        <v>84</v>
      </c>
      <c r="V264" s="17">
        <f t="shared" si="112"/>
        <v>65.930000000000007</v>
      </c>
      <c r="W264" s="21">
        <v>5</v>
      </c>
      <c r="X264" s="21">
        <f>(20*(1+0.6+0.4))+($V$311-4)</f>
        <v>40</v>
      </c>
      <c r="Y264" s="21">
        <f>(24*(1+0.6+0.4))+($V$311-4)</f>
        <v>48</v>
      </c>
      <c r="Z264" s="21">
        <f>(28*(1+0.6+0.4))+($V$311-4)</f>
        <v>56</v>
      </c>
      <c r="AA264" s="21">
        <f>(39*(1+0.6+0.4))+($V$311-4)</f>
        <v>78</v>
      </c>
      <c r="AB264" s="26">
        <f t="shared" si="104"/>
        <v>-4.2790000000000017</v>
      </c>
      <c r="AC264" s="27">
        <f t="shared" si="105"/>
        <v>-21.651000000000003</v>
      </c>
      <c r="AD264" s="26">
        <f t="shared" si="106"/>
        <v>-1.8790000000000022</v>
      </c>
      <c r="AE264" s="27">
        <f t="shared" si="107"/>
        <v>-16.051000000000005</v>
      </c>
      <c r="AF264" s="26">
        <f t="shared" si="108"/>
        <v>0.52099999999999813</v>
      </c>
      <c r="AG264" s="27">
        <f t="shared" si="109"/>
        <v>-10.451000000000004</v>
      </c>
      <c r="AH264" s="26">
        <f t="shared" si="110"/>
        <v>7.1209999999999978</v>
      </c>
      <c r="AI264" s="27">
        <f t="shared" si="111"/>
        <v>4.9489999999999945</v>
      </c>
      <c r="AJ264" s="28" t="s">
        <v>45</v>
      </c>
    </row>
    <row r="265" spans="1:39" ht="14.25" customHeight="1">
      <c r="A265" s="15" t="s">
        <v>195</v>
      </c>
      <c r="B265" s="41">
        <v>45296</v>
      </c>
      <c r="C265" s="17" t="s">
        <v>54</v>
      </c>
      <c r="D265" s="15" t="s">
        <v>41</v>
      </c>
      <c r="E265" s="38" t="s">
        <v>135</v>
      </c>
      <c r="F265" s="15">
        <v>30</v>
      </c>
      <c r="G265" s="19">
        <v>3</v>
      </c>
      <c r="H265" s="19">
        <f t="shared" si="99"/>
        <v>90</v>
      </c>
      <c r="I265" s="38" t="s">
        <v>56</v>
      </c>
      <c r="J265" s="32"/>
      <c r="K265" s="32"/>
      <c r="L265" s="37">
        <f>L264+8.92</f>
        <v>74.850000000000009</v>
      </c>
      <c r="M265" s="32" t="s">
        <v>186</v>
      </c>
      <c r="N265" s="17">
        <v>90</v>
      </c>
      <c r="O265" s="25">
        <v>84</v>
      </c>
      <c r="V265" s="17">
        <f t="shared" si="112"/>
        <v>74.850000000000009</v>
      </c>
      <c r="W265" s="21">
        <v>5</v>
      </c>
      <c r="X265" s="21">
        <f>(20*(1+0.6+0.4))+($V$314-4)</f>
        <v>40</v>
      </c>
      <c r="Y265" s="21">
        <f>(24*(1+0.6+0.4))+($V$314-4)</f>
        <v>48</v>
      </c>
      <c r="Z265" s="21">
        <f>(28*(1+0.6+0.4))+($V$314-4)</f>
        <v>56</v>
      </c>
      <c r="AA265" s="21">
        <f>(39*(1+0.6+0.4))+($V$314-4)</f>
        <v>78</v>
      </c>
      <c r="AB265" s="26">
        <f t="shared" si="104"/>
        <v>-6.9550000000000018</v>
      </c>
      <c r="AC265" s="27">
        <f t="shared" si="105"/>
        <v>-27.895000000000003</v>
      </c>
      <c r="AD265" s="26">
        <f t="shared" si="106"/>
        <v>-4.5550000000000015</v>
      </c>
      <c r="AE265" s="27">
        <f t="shared" si="107"/>
        <v>-22.295000000000005</v>
      </c>
      <c r="AF265" s="26">
        <f t="shared" si="108"/>
        <v>-2.155000000000002</v>
      </c>
      <c r="AG265" s="27">
        <f t="shared" si="109"/>
        <v>-16.695000000000004</v>
      </c>
      <c r="AH265" s="26">
        <f t="shared" si="110"/>
        <v>4.4449999999999976</v>
      </c>
      <c r="AI265" s="27">
        <f t="shared" si="111"/>
        <v>-1.2950000000000059</v>
      </c>
      <c r="AJ265" s="28" t="s">
        <v>45</v>
      </c>
    </row>
    <row r="266" spans="1:39" ht="14.25" customHeight="1">
      <c r="A266" s="15" t="s">
        <v>196</v>
      </c>
      <c r="B266" s="35" t="s">
        <v>197</v>
      </c>
      <c r="C266" s="17" t="s">
        <v>121</v>
      </c>
      <c r="D266" s="15" t="s">
        <v>41</v>
      </c>
      <c r="E266" s="38" t="s">
        <v>148</v>
      </c>
      <c r="F266" s="15">
        <v>30</v>
      </c>
      <c r="G266" s="19">
        <v>3</v>
      </c>
      <c r="H266" s="19">
        <f t="shared" si="99"/>
        <v>90</v>
      </c>
      <c r="I266" s="38" t="s">
        <v>56</v>
      </c>
      <c r="J266" s="32"/>
      <c r="K266" s="32"/>
      <c r="L266" s="37">
        <f>L265+7.96</f>
        <v>82.81</v>
      </c>
      <c r="M266" s="32" t="s">
        <v>186</v>
      </c>
      <c r="N266" s="17">
        <v>90</v>
      </c>
      <c r="O266" s="25">
        <v>84</v>
      </c>
      <c r="V266" s="17">
        <f t="shared" si="112"/>
        <v>82.81</v>
      </c>
      <c r="W266" s="21">
        <v>5</v>
      </c>
      <c r="X266" s="21">
        <f>(20*(1+0.6+0.4))+($V$317-4)</f>
        <v>40</v>
      </c>
      <c r="Y266" s="21">
        <f>(24*(1+0.6+0.4))+($V$317-4)</f>
        <v>48</v>
      </c>
      <c r="Z266" s="21">
        <f>(28*(1+0.6+0.4))+($V$317-4)</f>
        <v>56</v>
      </c>
      <c r="AA266" s="21">
        <f>(39*(1+0.6+0.4))+($V$317-4)</f>
        <v>78</v>
      </c>
      <c r="AB266" s="26">
        <f t="shared" si="104"/>
        <v>-9.343</v>
      </c>
      <c r="AC266" s="27">
        <f t="shared" si="105"/>
        <v>-33.466999999999999</v>
      </c>
      <c r="AD266" s="26">
        <f t="shared" si="106"/>
        <v>-6.9429999999999996</v>
      </c>
      <c r="AE266" s="27">
        <f t="shared" si="107"/>
        <v>-27.867000000000001</v>
      </c>
      <c r="AF266" s="26">
        <f t="shared" si="108"/>
        <v>-4.543000000000001</v>
      </c>
      <c r="AG266" s="27">
        <f t="shared" si="109"/>
        <v>-22.266999999999999</v>
      </c>
      <c r="AH266" s="26">
        <f t="shared" si="110"/>
        <v>2.0569999999999995</v>
      </c>
      <c r="AI266" s="27">
        <f t="shared" si="111"/>
        <v>-6.8670000000000009</v>
      </c>
      <c r="AJ266" s="28" t="s">
        <v>45</v>
      </c>
    </row>
    <row r="267" spans="1:39" ht="14.25" customHeight="1">
      <c r="A267" s="15" t="s">
        <v>189</v>
      </c>
      <c r="B267" s="35">
        <v>100</v>
      </c>
      <c r="C267" s="17" t="s">
        <v>40</v>
      </c>
      <c r="D267" s="15" t="s">
        <v>41</v>
      </c>
      <c r="E267" s="38" t="s">
        <v>94</v>
      </c>
      <c r="F267" s="17">
        <v>28</v>
      </c>
      <c r="G267" s="19">
        <v>3</v>
      </c>
      <c r="H267" s="19">
        <f t="shared" si="99"/>
        <v>84</v>
      </c>
      <c r="I267" s="38" t="s">
        <v>94</v>
      </c>
      <c r="J267" s="32"/>
      <c r="K267" s="32"/>
      <c r="L267" s="40">
        <f>L266+3.27</f>
        <v>86.08</v>
      </c>
      <c r="M267" s="32" t="s">
        <v>186</v>
      </c>
      <c r="N267" s="17">
        <v>84</v>
      </c>
      <c r="O267" s="25">
        <v>168</v>
      </c>
      <c r="V267" s="17">
        <v>8</v>
      </c>
      <c r="W267" s="21">
        <v>5</v>
      </c>
      <c r="X267" s="21">
        <f>(X265*(1+0.6+0.4))+4</f>
        <v>84</v>
      </c>
      <c r="Y267" s="21">
        <f>(Y265*(1+0.6+0.4))+4</f>
        <v>100</v>
      </c>
      <c r="Z267" s="21">
        <f>(Z265*(1+0.6+0.4))+4</f>
        <v>116</v>
      </c>
      <c r="AA267" s="21">
        <f>(AA265*(1+0.6+0.4))+4</f>
        <v>160</v>
      </c>
      <c r="AB267" s="26">
        <f t="shared" si="104"/>
        <v>26.3</v>
      </c>
      <c r="AC267" s="27">
        <f t="shared" si="105"/>
        <v>49.699999999999996</v>
      </c>
      <c r="AD267" s="26">
        <f t="shared" si="106"/>
        <v>31.099999999999998</v>
      </c>
      <c r="AE267" s="27">
        <f t="shared" si="107"/>
        <v>60.9</v>
      </c>
      <c r="AF267" s="26">
        <f t="shared" si="108"/>
        <v>35.9</v>
      </c>
      <c r="AG267" s="27">
        <f t="shared" si="109"/>
        <v>72.099999999999994</v>
      </c>
      <c r="AH267" s="26">
        <f t="shared" si="110"/>
        <v>49.1</v>
      </c>
      <c r="AI267" s="27">
        <f t="shared" si="111"/>
        <v>102.89999999999999</v>
      </c>
      <c r="AJ267" s="28" t="s">
        <v>45</v>
      </c>
      <c r="AK267" s="15" t="s">
        <v>198</v>
      </c>
      <c r="AL267" s="15" t="s">
        <v>199</v>
      </c>
      <c r="AM267" s="15" t="s">
        <v>200</v>
      </c>
    </row>
    <row r="268" spans="1:39" ht="14.25" customHeight="1">
      <c r="A268" s="15" t="s">
        <v>190</v>
      </c>
      <c r="B268" s="35">
        <v>408</v>
      </c>
      <c r="C268" s="17" t="s">
        <v>40</v>
      </c>
      <c r="D268" s="15" t="s">
        <v>41</v>
      </c>
      <c r="E268" s="38" t="s">
        <v>94</v>
      </c>
      <c r="F268" s="17">
        <v>28</v>
      </c>
      <c r="G268" s="19">
        <v>3</v>
      </c>
      <c r="H268" s="19">
        <f t="shared" si="99"/>
        <v>84</v>
      </c>
      <c r="I268" s="38" t="s">
        <v>94</v>
      </c>
      <c r="J268" s="32"/>
      <c r="K268" s="32"/>
      <c r="L268" s="37">
        <f>L267+3.7</f>
        <v>89.78</v>
      </c>
      <c r="M268" s="32" t="s">
        <v>186</v>
      </c>
      <c r="N268" s="17">
        <v>84</v>
      </c>
      <c r="O268" s="25">
        <v>168</v>
      </c>
      <c r="V268" s="17">
        <f>L268</f>
        <v>89.78</v>
      </c>
      <c r="W268" s="21">
        <v>5</v>
      </c>
      <c r="X268" s="21">
        <f>(X266*(1+0.6+0.4))+(V268-4)</f>
        <v>165.78</v>
      </c>
      <c r="Y268" s="21">
        <f>(Y266*(1+0.6+0.4))+(V268-4)</f>
        <v>181.78</v>
      </c>
      <c r="Z268" s="21">
        <f>(Z266*(1+0.6+0.4))+(V268-4)</f>
        <v>197.78</v>
      </c>
      <c r="AA268" s="21">
        <f>(AA266*(1+0.6+0.4))+(V268-4)</f>
        <v>241.78</v>
      </c>
      <c r="AB268" s="26">
        <f t="shared" si="104"/>
        <v>26.3</v>
      </c>
      <c r="AC268" s="27">
        <f t="shared" si="105"/>
        <v>49.699999999999996</v>
      </c>
      <c r="AD268" s="26">
        <f t="shared" si="106"/>
        <v>31.099999999999998</v>
      </c>
      <c r="AE268" s="27">
        <f t="shared" si="107"/>
        <v>60.9</v>
      </c>
      <c r="AF268" s="26">
        <f t="shared" si="108"/>
        <v>35.9</v>
      </c>
      <c r="AG268" s="27">
        <f t="shared" si="109"/>
        <v>72.099999999999994</v>
      </c>
      <c r="AH268" s="26">
        <f t="shared" si="110"/>
        <v>49.1</v>
      </c>
      <c r="AI268" s="27">
        <f t="shared" si="111"/>
        <v>102.89999999999999</v>
      </c>
      <c r="AJ268" s="28" t="s">
        <v>45</v>
      </c>
      <c r="AK268" s="15" t="s">
        <v>198</v>
      </c>
      <c r="AL268" s="15" t="s">
        <v>199</v>
      </c>
      <c r="AM268" s="15" t="s">
        <v>200</v>
      </c>
    </row>
    <row r="269" spans="1:39" ht="14.25" customHeight="1">
      <c r="A269" s="15" t="s">
        <v>201</v>
      </c>
      <c r="B269" s="35" t="s">
        <v>202</v>
      </c>
      <c r="C269" s="17" t="s">
        <v>40</v>
      </c>
      <c r="D269" s="15" t="s">
        <v>41</v>
      </c>
      <c r="E269" s="38" t="s">
        <v>156</v>
      </c>
      <c r="F269" s="15">
        <v>30</v>
      </c>
      <c r="G269" s="19">
        <v>3</v>
      </c>
      <c r="H269" s="19">
        <f t="shared" si="99"/>
        <v>90</v>
      </c>
      <c r="I269" s="38" t="s">
        <v>56</v>
      </c>
      <c r="J269" s="32"/>
      <c r="K269" s="32"/>
      <c r="L269" s="40">
        <f>L268+2.54</f>
        <v>92.320000000000007</v>
      </c>
      <c r="M269" s="32" t="s">
        <v>146</v>
      </c>
      <c r="N269" s="17">
        <v>90</v>
      </c>
      <c r="O269" s="25">
        <v>84</v>
      </c>
      <c r="V269" s="17">
        <v>8</v>
      </c>
      <c r="W269" s="21">
        <v>5</v>
      </c>
      <c r="X269" s="21">
        <f>(X267*(1+0.6+0.4))+4</f>
        <v>172</v>
      </c>
      <c r="Y269" s="21">
        <f>(Y267*(1+0.6+0.4))+4</f>
        <v>204</v>
      </c>
      <c r="Z269" s="21">
        <f>(Z267*(1+0.6+0.4))+4</f>
        <v>236</v>
      </c>
      <c r="AA269" s="21">
        <f>(AA267*(1+0.6+0.4))+4</f>
        <v>324</v>
      </c>
      <c r="AB269" s="26">
        <f t="shared" si="104"/>
        <v>52.699999999999996</v>
      </c>
      <c r="AC269" s="27">
        <f t="shared" si="105"/>
        <v>111.3</v>
      </c>
      <c r="AD269" s="26">
        <f t="shared" si="106"/>
        <v>62.3</v>
      </c>
      <c r="AE269" s="27">
        <f t="shared" si="107"/>
        <v>133.69999999999999</v>
      </c>
      <c r="AF269" s="26">
        <f t="shared" si="108"/>
        <v>71.899999999999991</v>
      </c>
      <c r="AG269" s="27">
        <f t="shared" si="109"/>
        <v>156.1</v>
      </c>
      <c r="AH269" s="26">
        <f t="shared" si="110"/>
        <v>98.3</v>
      </c>
      <c r="AI269" s="27">
        <f t="shared" si="111"/>
        <v>217.7</v>
      </c>
      <c r="AJ269" s="28" t="s">
        <v>45</v>
      </c>
    </row>
    <row r="270" spans="1:39" ht="14.25" customHeight="1">
      <c r="A270" s="15" t="s">
        <v>203</v>
      </c>
      <c r="B270" s="35" t="s">
        <v>204</v>
      </c>
      <c r="C270" s="17" t="s">
        <v>40</v>
      </c>
      <c r="D270" s="15" t="s">
        <v>41</v>
      </c>
      <c r="E270" s="38" t="s">
        <v>156</v>
      </c>
      <c r="F270" s="15">
        <v>30</v>
      </c>
      <c r="G270" s="19">
        <v>3</v>
      </c>
      <c r="H270" s="19">
        <f t="shared" si="99"/>
        <v>90</v>
      </c>
      <c r="I270" s="38" t="s">
        <v>56</v>
      </c>
      <c r="J270" s="32"/>
      <c r="K270" s="32"/>
      <c r="L270" s="37">
        <f>L269+9.08</f>
        <v>101.4</v>
      </c>
      <c r="M270" s="32" t="s">
        <v>146</v>
      </c>
      <c r="N270" s="17">
        <v>90</v>
      </c>
      <c r="O270" s="25">
        <v>84</v>
      </c>
      <c r="V270" s="17">
        <f>L270</f>
        <v>101.4</v>
      </c>
      <c r="W270" s="21">
        <v>5</v>
      </c>
      <c r="X270" s="21">
        <f>(20*(1+0.6+0.4))+(V270-4)</f>
        <v>137.4</v>
      </c>
      <c r="Y270" s="21">
        <f>(24*(1+0.6+0.4))+(V270-4)</f>
        <v>145.4</v>
      </c>
      <c r="Z270" s="21">
        <f>(28*(1+0.6+0.4))+(V270-4)</f>
        <v>153.4</v>
      </c>
      <c r="AA270" s="21">
        <f>(39*(1+0.6+0.4))+(V270-4)</f>
        <v>175.4</v>
      </c>
      <c r="AB270" s="26">
        <f t="shared" si="104"/>
        <v>14.299999999999999</v>
      </c>
      <c r="AC270" s="27">
        <f t="shared" si="105"/>
        <v>21.7</v>
      </c>
      <c r="AD270" s="26">
        <f t="shared" si="106"/>
        <v>16.7</v>
      </c>
      <c r="AE270" s="27">
        <f t="shared" si="107"/>
        <v>27.299999999999997</v>
      </c>
      <c r="AF270" s="26">
        <f t="shared" si="108"/>
        <v>19.100000000000001</v>
      </c>
      <c r="AG270" s="27">
        <f t="shared" si="109"/>
        <v>32.9</v>
      </c>
      <c r="AH270" s="26">
        <f t="shared" si="110"/>
        <v>25.7</v>
      </c>
      <c r="AI270" s="27">
        <f t="shared" si="111"/>
        <v>48.3</v>
      </c>
      <c r="AJ270" s="28" t="s">
        <v>45</v>
      </c>
    </row>
    <row r="271" spans="1:39" ht="14.25" customHeight="1">
      <c r="A271" s="55" t="s">
        <v>205</v>
      </c>
      <c r="B271" s="56">
        <v>45293</v>
      </c>
      <c r="C271" s="57" t="s">
        <v>54</v>
      </c>
      <c r="D271" s="55" t="s">
        <v>41</v>
      </c>
      <c r="E271" s="55" t="s">
        <v>55</v>
      </c>
      <c r="F271" s="55">
        <v>30</v>
      </c>
      <c r="G271" s="58">
        <v>3</v>
      </c>
      <c r="H271" s="58">
        <f t="shared" si="99"/>
        <v>90</v>
      </c>
      <c r="I271" s="55" t="s">
        <v>56</v>
      </c>
      <c r="J271" s="59"/>
      <c r="K271" s="59"/>
      <c r="L271" s="37">
        <f>L270+2.49</f>
        <v>103.89</v>
      </c>
      <c r="M271" s="55" t="s">
        <v>206</v>
      </c>
      <c r="N271" s="57">
        <v>90</v>
      </c>
      <c r="O271" s="60">
        <v>84</v>
      </c>
      <c r="V271" s="17">
        <v>8</v>
      </c>
      <c r="W271" s="21">
        <v>5</v>
      </c>
      <c r="X271" s="21">
        <f t="shared" ref="X271:AA273" si="113">(X269*(1+0.6+0.4))+4</f>
        <v>348</v>
      </c>
      <c r="Y271" s="21">
        <f t="shared" si="113"/>
        <v>412</v>
      </c>
      <c r="Z271" s="21">
        <f t="shared" si="113"/>
        <v>476</v>
      </c>
      <c r="AA271" s="21">
        <f t="shared" si="113"/>
        <v>652</v>
      </c>
      <c r="AB271" s="26">
        <f t="shared" si="104"/>
        <v>105.5</v>
      </c>
      <c r="AC271" s="27">
        <f t="shared" si="105"/>
        <v>234.49999999999997</v>
      </c>
      <c r="AD271" s="26">
        <f t="shared" si="106"/>
        <v>124.69999999999999</v>
      </c>
      <c r="AE271" s="27">
        <f t="shared" si="107"/>
        <v>279.29999999999995</v>
      </c>
      <c r="AF271" s="26">
        <f t="shared" si="108"/>
        <v>143.9</v>
      </c>
      <c r="AG271" s="27">
        <f t="shared" si="109"/>
        <v>324.09999999999997</v>
      </c>
      <c r="AH271" s="26">
        <f t="shared" si="110"/>
        <v>196.7</v>
      </c>
      <c r="AI271" s="27">
        <f t="shared" si="111"/>
        <v>447.29999999999995</v>
      </c>
      <c r="AJ271" s="28" t="s">
        <v>45</v>
      </c>
    </row>
    <row r="272" spans="1:39" ht="14.25" customHeight="1">
      <c r="A272" s="55" t="s">
        <v>207</v>
      </c>
      <c r="B272" s="56">
        <v>45293</v>
      </c>
      <c r="C272" s="57" t="s">
        <v>54</v>
      </c>
      <c r="D272" s="55" t="s">
        <v>41</v>
      </c>
      <c r="E272" s="55" t="s">
        <v>156</v>
      </c>
      <c r="F272" s="55">
        <v>30</v>
      </c>
      <c r="G272" s="58">
        <v>3</v>
      </c>
      <c r="H272" s="58">
        <f t="shared" si="99"/>
        <v>90</v>
      </c>
      <c r="I272" s="55" t="s">
        <v>56</v>
      </c>
      <c r="J272" s="59"/>
      <c r="K272" s="59"/>
      <c r="L272" s="37">
        <f>L271+2.5</f>
        <v>106.39</v>
      </c>
      <c r="M272" s="55" t="s">
        <v>206</v>
      </c>
      <c r="N272" s="57">
        <v>90</v>
      </c>
      <c r="O272" s="60">
        <v>84</v>
      </c>
      <c r="V272" s="17">
        <v>8</v>
      </c>
      <c r="W272" s="21">
        <v>5</v>
      </c>
      <c r="X272" s="21">
        <f t="shared" si="113"/>
        <v>278.8</v>
      </c>
      <c r="Y272" s="21">
        <f t="shared" si="113"/>
        <v>294.8</v>
      </c>
      <c r="Z272" s="21">
        <f t="shared" si="113"/>
        <v>310.8</v>
      </c>
      <c r="AA272" s="21">
        <f t="shared" si="113"/>
        <v>354.8</v>
      </c>
      <c r="AB272" s="26">
        <f t="shared" si="104"/>
        <v>84.74</v>
      </c>
      <c r="AC272" s="27">
        <f t="shared" si="105"/>
        <v>186.06</v>
      </c>
      <c r="AD272" s="26">
        <f t="shared" si="106"/>
        <v>89.54</v>
      </c>
      <c r="AE272" s="27">
        <f t="shared" si="107"/>
        <v>197.26</v>
      </c>
      <c r="AF272" s="26">
        <f t="shared" si="108"/>
        <v>94.34</v>
      </c>
      <c r="AG272" s="27">
        <f t="shared" si="109"/>
        <v>208.46</v>
      </c>
      <c r="AH272" s="26">
        <f t="shared" si="110"/>
        <v>107.54</v>
      </c>
      <c r="AI272" s="27">
        <f t="shared" si="111"/>
        <v>239.26</v>
      </c>
      <c r="AJ272" s="28" t="s">
        <v>45</v>
      </c>
    </row>
    <row r="273" spans="1:37" ht="14.25" customHeight="1">
      <c r="A273" s="15" t="s">
        <v>208</v>
      </c>
      <c r="B273" s="35">
        <v>1</v>
      </c>
      <c r="C273" s="17" t="s">
        <v>54</v>
      </c>
      <c r="D273" s="15" t="s">
        <v>41</v>
      </c>
      <c r="E273" s="38" t="s">
        <v>55</v>
      </c>
      <c r="F273" s="15">
        <v>30</v>
      </c>
      <c r="G273" s="19">
        <v>3</v>
      </c>
      <c r="H273" s="19">
        <f t="shared" si="99"/>
        <v>90</v>
      </c>
      <c r="I273" s="38" t="s">
        <v>56</v>
      </c>
      <c r="J273" s="32"/>
      <c r="K273" s="32"/>
      <c r="L273" s="40">
        <f>L272+2.42</f>
        <v>108.81</v>
      </c>
      <c r="M273" s="15" t="s">
        <v>206</v>
      </c>
      <c r="N273" s="17">
        <v>90</v>
      </c>
      <c r="O273" s="25">
        <v>84</v>
      </c>
      <c r="V273" s="17">
        <v>8</v>
      </c>
      <c r="W273" s="21">
        <v>5</v>
      </c>
      <c r="X273" s="21">
        <f t="shared" si="113"/>
        <v>700</v>
      </c>
      <c r="Y273" s="21">
        <f t="shared" si="113"/>
        <v>828</v>
      </c>
      <c r="Z273" s="21">
        <f t="shared" si="113"/>
        <v>956</v>
      </c>
      <c r="AA273" s="21">
        <f t="shared" si="113"/>
        <v>1308</v>
      </c>
      <c r="AB273" s="26">
        <f t="shared" si="104"/>
        <v>211.1</v>
      </c>
      <c r="AC273" s="27">
        <f t="shared" si="105"/>
        <v>480.9</v>
      </c>
      <c r="AD273" s="26">
        <f t="shared" si="106"/>
        <v>249.5</v>
      </c>
      <c r="AE273" s="27">
        <f t="shared" si="107"/>
        <v>570.5</v>
      </c>
      <c r="AF273" s="26">
        <f t="shared" si="108"/>
        <v>287.89999999999998</v>
      </c>
      <c r="AG273" s="27">
        <f t="shared" si="109"/>
        <v>660.09999999999991</v>
      </c>
      <c r="AH273" s="26">
        <f t="shared" si="110"/>
        <v>393.5</v>
      </c>
      <c r="AI273" s="27">
        <f t="shared" si="111"/>
        <v>906.49999999999989</v>
      </c>
      <c r="AJ273" s="28" t="s">
        <v>45</v>
      </c>
    </row>
    <row r="274" spans="1:37" ht="14.25" customHeight="1">
      <c r="A274" s="15" t="s">
        <v>209</v>
      </c>
      <c r="B274" s="35">
        <v>2</v>
      </c>
      <c r="C274" s="17" t="s">
        <v>54</v>
      </c>
      <c r="D274" s="15" t="s">
        <v>41</v>
      </c>
      <c r="E274" s="38" t="s">
        <v>55</v>
      </c>
      <c r="F274" s="15">
        <v>30</v>
      </c>
      <c r="G274" s="19">
        <v>3</v>
      </c>
      <c r="H274" s="19">
        <f t="shared" si="99"/>
        <v>90</v>
      </c>
      <c r="I274" s="38" t="s">
        <v>56</v>
      </c>
      <c r="J274" s="32"/>
      <c r="K274" s="32"/>
      <c r="L274" s="37">
        <f>L273+3.37</f>
        <v>112.18</v>
      </c>
      <c r="M274" s="15" t="s">
        <v>206</v>
      </c>
      <c r="N274" s="17">
        <v>90</v>
      </c>
      <c r="O274" s="25">
        <v>84</v>
      </c>
      <c r="V274" s="17">
        <f>L274</f>
        <v>112.18</v>
      </c>
      <c r="W274" s="21">
        <v>5</v>
      </c>
      <c r="X274" s="21">
        <f>(X272*(1.6+0.4)+(10.11-4))</f>
        <v>563.71</v>
      </c>
      <c r="Y274" s="21">
        <f>(Y272*(1.6+0.4)+(10.11-4))</f>
        <v>595.71</v>
      </c>
      <c r="Z274" s="21">
        <f>(Z272*(1.6+0.4)+(10.11-4))</f>
        <v>627.71</v>
      </c>
      <c r="AA274" s="21">
        <f>(AA272*(1.6+0.4)+(10.11-4))</f>
        <v>715.71</v>
      </c>
      <c r="AB274" s="26">
        <f t="shared" si="104"/>
        <v>138.959</v>
      </c>
      <c r="AC274" s="27">
        <f t="shared" si="105"/>
        <v>312.57100000000003</v>
      </c>
      <c r="AD274" s="26">
        <f t="shared" si="106"/>
        <v>148.559</v>
      </c>
      <c r="AE274" s="27">
        <f t="shared" si="107"/>
        <v>334.971</v>
      </c>
      <c r="AF274" s="26">
        <f t="shared" si="108"/>
        <v>158.15899999999999</v>
      </c>
      <c r="AG274" s="27">
        <f t="shared" si="109"/>
        <v>357.37099999999998</v>
      </c>
      <c r="AH274" s="26">
        <f t="shared" si="110"/>
        <v>184.559</v>
      </c>
      <c r="AI274" s="27">
        <f t="shared" si="111"/>
        <v>418.97099999999995</v>
      </c>
      <c r="AJ274" s="28" t="s">
        <v>45</v>
      </c>
    </row>
    <row r="275" spans="1:37" ht="14.25" customHeight="1">
      <c r="A275" s="15" t="s">
        <v>210</v>
      </c>
      <c r="B275" s="35">
        <v>2</v>
      </c>
      <c r="C275" s="17" t="s">
        <v>54</v>
      </c>
      <c r="D275" s="15" t="s">
        <v>41</v>
      </c>
      <c r="E275" s="38" t="s">
        <v>156</v>
      </c>
      <c r="F275" s="15">
        <v>30</v>
      </c>
      <c r="G275" s="19">
        <v>3</v>
      </c>
      <c r="H275" s="19">
        <f t="shared" si="99"/>
        <v>90</v>
      </c>
      <c r="I275" s="38" t="s">
        <v>56</v>
      </c>
      <c r="J275" s="32"/>
      <c r="K275" s="32"/>
      <c r="L275" s="37">
        <f>L274+4.55</f>
        <v>116.73</v>
      </c>
      <c r="M275" s="15" t="s">
        <v>206</v>
      </c>
      <c r="N275" s="17">
        <v>90</v>
      </c>
      <c r="O275" s="25">
        <v>84</v>
      </c>
      <c r="V275" s="17">
        <f>L275</f>
        <v>116.73</v>
      </c>
      <c r="W275" s="21">
        <v>5</v>
      </c>
      <c r="X275" s="21">
        <f>(X273*(1.6+0.4)+(13.65-4))</f>
        <v>1409.65</v>
      </c>
      <c r="Y275" s="21">
        <f>(Y273*(1.6+0.4)+(13.65-4))</f>
        <v>1665.65</v>
      </c>
      <c r="Z275" s="21">
        <f>(Z273*(1.6+0.4)+(13.65-4))</f>
        <v>1921.65</v>
      </c>
      <c r="AA275" s="21">
        <f>(AA273*(1.6+0.4)+(13.65-4))</f>
        <v>2625.65</v>
      </c>
      <c r="AB275" s="26">
        <f t="shared" si="104"/>
        <v>391.37600000000003</v>
      </c>
      <c r="AC275" s="27">
        <f t="shared" si="105"/>
        <v>901.54399999999998</v>
      </c>
      <c r="AD275" s="26">
        <f t="shared" si="106"/>
        <v>468.17599999999999</v>
      </c>
      <c r="AE275" s="27">
        <f t="shared" si="107"/>
        <v>1080.7439999999999</v>
      </c>
      <c r="AF275" s="26">
        <f t="shared" si="108"/>
        <v>544.976</v>
      </c>
      <c r="AG275" s="27">
        <f t="shared" si="109"/>
        <v>1259.944</v>
      </c>
      <c r="AH275" s="26">
        <f t="shared" si="110"/>
        <v>756.17600000000004</v>
      </c>
      <c r="AI275" s="27">
        <f t="shared" si="111"/>
        <v>1752.7439999999999</v>
      </c>
      <c r="AJ275" s="28" t="s">
        <v>45</v>
      </c>
    </row>
    <row r="276" spans="1:37" ht="14.25" customHeight="1">
      <c r="A276" s="15" t="s">
        <v>211</v>
      </c>
      <c r="B276" s="41">
        <v>45293</v>
      </c>
      <c r="C276" s="17" t="s">
        <v>54</v>
      </c>
      <c r="D276" s="15" t="s">
        <v>41</v>
      </c>
      <c r="E276" s="38" t="s">
        <v>55</v>
      </c>
      <c r="F276" s="15">
        <v>30</v>
      </c>
      <c r="G276" s="19">
        <v>3</v>
      </c>
      <c r="H276" s="19">
        <f t="shared" si="99"/>
        <v>90</v>
      </c>
      <c r="I276" s="38" t="s">
        <v>56</v>
      </c>
      <c r="J276" s="32"/>
      <c r="K276" s="32"/>
      <c r="L276" s="37">
        <f>L275+6.02</f>
        <v>122.75</v>
      </c>
      <c r="M276" s="15" t="s">
        <v>206</v>
      </c>
      <c r="N276" s="17">
        <v>90</v>
      </c>
      <c r="O276" s="25">
        <v>84</v>
      </c>
      <c r="V276" s="17">
        <f>L276</f>
        <v>122.75</v>
      </c>
      <c r="W276" s="21">
        <v>5</v>
      </c>
      <c r="X276" s="21">
        <f>(X274*(1.6+0.4)+(18.06-4))</f>
        <v>1141.48</v>
      </c>
      <c r="Y276" s="21">
        <f>(Y274*(1.6+0.4)+(18.06-4))</f>
        <v>1205.48</v>
      </c>
      <c r="Z276" s="21">
        <f>(Z274*(1.6+0.4)+(18.06-4))</f>
        <v>1269.48</v>
      </c>
      <c r="AA276" s="21">
        <f>(AA274*(1.6+0.4)+(18.06-4))</f>
        <v>1445.48</v>
      </c>
      <c r="AB276" s="26">
        <f t="shared" si="104"/>
        <v>309.11899999999997</v>
      </c>
      <c r="AC276" s="27">
        <f t="shared" si="105"/>
        <v>709.61099999999999</v>
      </c>
      <c r="AD276" s="26">
        <f t="shared" si="106"/>
        <v>328.31900000000002</v>
      </c>
      <c r="AE276" s="27">
        <f t="shared" si="107"/>
        <v>754.41099999999994</v>
      </c>
      <c r="AF276" s="26">
        <f t="shared" si="108"/>
        <v>347.51900000000001</v>
      </c>
      <c r="AG276" s="27">
        <f t="shared" si="109"/>
        <v>799.21100000000001</v>
      </c>
      <c r="AH276" s="26">
        <f t="shared" si="110"/>
        <v>400.31900000000002</v>
      </c>
      <c r="AI276" s="27">
        <f t="shared" si="111"/>
        <v>922.41099999999994</v>
      </c>
      <c r="AJ276" s="28" t="s">
        <v>45</v>
      </c>
    </row>
    <row r="277" spans="1:37" ht="14.25" customHeight="1">
      <c r="A277" s="51" t="s">
        <v>216</v>
      </c>
      <c r="B277" s="35">
        <v>200</v>
      </c>
      <c r="C277" s="28" t="s">
        <v>40</v>
      </c>
      <c r="D277" s="15" t="s">
        <v>41</v>
      </c>
      <c r="E277" s="38" t="s">
        <v>42</v>
      </c>
      <c r="F277" s="28">
        <v>15</v>
      </c>
      <c r="G277" s="19">
        <v>3</v>
      </c>
      <c r="H277" s="19">
        <f t="shared" si="99"/>
        <v>45</v>
      </c>
      <c r="I277" s="38" t="s">
        <v>42</v>
      </c>
      <c r="J277" s="61"/>
      <c r="K277" s="61"/>
      <c r="L277" s="62"/>
      <c r="M277" s="15" t="s">
        <v>217</v>
      </c>
      <c r="N277" s="28">
        <v>45</v>
      </c>
      <c r="O277" s="25">
        <v>168</v>
      </c>
      <c r="V277" s="28">
        <v>4</v>
      </c>
      <c r="W277" s="21">
        <v>5</v>
      </c>
      <c r="X277" s="28"/>
      <c r="Y277" s="28"/>
      <c r="Z277" s="28"/>
      <c r="AA277" s="28"/>
      <c r="AB277" s="26"/>
      <c r="AC277" s="27"/>
      <c r="AD277" s="26"/>
      <c r="AE277" s="27"/>
      <c r="AF277" s="26"/>
      <c r="AG277" s="27"/>
      <c r="AH277" s="26"/>
      <c r="AI277" s="27"/>
      <c r="AJ277" s="28" t="s">
        <v>169</v>
      </c>
    </row>
    <row r="278" spans="1:37" ht="14.25" customHeight="1">
      <c r="A278" s="51" t="s">
        <v>216</v>
      </c>
      <c r="B278" s="35">
        <v>200</v>
      </c>
      <c r="C278" s="28" t="s">
        <v>40</v>
      </c>
      <c r="D278" s="15" t="s">
        <v>41</v>
      </c>
      <c r="E278" s="38" t="s">
        <v>42</v>
      </c>
      <c r="F278" s="28">
        <v>56</v>
      </c>
      <c r="G278" s="19">
        <v>3</v>
      </c>
      <c r="H278" s="19">
        <f t="shared" si="99"/>
        <v>168</v>
      </c>
      <c r="I278" s="38" t="s">
        <v>42</v>
      </c>
      <c r="J278" s="61"/>
      <c r="K278" s="61"/>
      <c r="L278" s="62"/>
      <c r="M278" s="15" t="s">
        <v>217</v>
      </c>
      <c r="N278" s="28">
        <v>45</v>
      </c>
      <c r="O278" s="25">
        <v>168</v>
      </c>
      <c r="V278" s="28"/>
      <c r="W278" s="21"/>
      <c r="X278" s="28"/>
      <c r="Y278" s="28"/>
      <c r="Z278" s="28"/>
      <c r="AA278" s="28"/>
      <c r="AB278" s="26"/>
      <c r="AC278" s="27"/>
      <c r="AD278" s="26"/>
      <c r="AE278" s="27"/>
      <c r="AF278" s="26"/>
      <c r="AG278" s="27"/>
      <c r="AH278" s="26"/>
      <c r="AI278" s="27"/>
      <c r="AJ278" s="28" t="s">
        <v>169</v>
      </c>
    </row>
    <row r="279" spans="1:37" ht="14.25" customHeight="1">
      <c r="A279" s="38" t="s">
        <v>216</v>
      </c>
      <c r="B279" s="35">
        <v>400</v>
      </c>
      <c r="C279" s="17" t="s">
        <v>40</v>
      </c>
      <c r="D279" s="15" t="s">
        <v>41</v>
      </c>
      <c r="E279" s="38" t="s">
        <v>42</v>
      </c>
      <c r="F279" s="28">
        <v>15</v>
      </c>
      <c r="G279" s="19">
        <v>3</v>
      </c>
      <c r="H279" s="19">
        <f t="shared" si="99"/>
        <v>45</v>
      </c>
      <c r="I279" s="38" t="s">
        <v>42</v>
      </c>
      <c r="J279" s="61"/>
      <c r="K279" s="61"/>
      <c r="L279" s="62">
        <f>2.13/56*45</f>
        <v>1.7116071428571429</v>
      </c>
      <c r="M279" s="15" t="s">
        <v>217</v>
      </c>
      <c r="N279" s="28">
        <v>45</v>
      </c>
      <c r="O279" s="25">
        <v>168</v>
      </c>
      <c r="V279" s="28">
        <v>4</v>
      </c>
      <c r="W279" s="22">
        <v>5</v>
      </c>
      <c r="X279" s="21">
        <f>X277*(1+0.6+0.4)</f>
        <v>0</v>
      </c>
      <c r="Y279" s="21">
        <f>Y277*(1+0.6+0.4)</f>
        <v>0</v>
      </c>
      <c r="Z279" s="21">
        <f>Z277*(1+0.6+0.4)</f>
        <v>0</v>
      </c>
      <c r="AA279" s="21">
        <f>AA277*(1+0.6+0.4)</f>
        <v>0</v>
      </c>
      <c r="AB279" s="26">
        <f t="shared" ref="AB279:AB310" si="114">W279+(X279-V279-W279)*0.3</f>
        <v>2.3000000000000003</v>
      </c>
      <c r="AC279" s="27">
        <f t="shared" ref="AC279:AC310" si="115">(X279-V279-W279)*0.7</f>
        <v>-6.3</v>
      </c>
      <c r="AD279" s="26">
        <f t="shared" ref="AD279:AD310" si="116">W279+(Y279-V279-W279)*0.3</f>
        <v>2.3000000000000003</v>
      </c>
      <c r="AE279" s="27">
        <f t="shared" ref="AE279:AE310" si="117">(Y279-V279-W279)*0.7</f>
        <v>-6.3</v>
      </c>
      <c r="AF279" s="26">
        <f t="shared" ref="AF279:AF310" si="118">W279+(Z279-V279-W279)*0.3</f>
        <v>2.3000000000000003</v>
      </c>
      <c r="AG279" s="27">
        <f t="shared" ref="AG279:AG310" si="119">(Z279-V279-W279)*0.7</f>
        <v>-6.3</v>
      </c>
      <c r="AH279" s="26">
        <f t="shared" ref="AH279:AH310" si="120">W279+(AA279-V279-W279)*0.3</f>
        <v>2.3000000000000003</v>
      </c>
      <c r="AI279" s="27">
        <f t="shared" ref="AI279:AI310" si="121">(AA279-V279-W279)*0.7</f>
        <v>-6.3</v>
      </c>
      <c r="AJ279" s="28" t="s">
        <v>45</v>
      </c>
    </row>
    <row r="280" spans="1:37" ht="14.25" customHeight="1">
      <c r="A280" s="15" t="s">
        <v>218</v>
      </c>
      <c r="B280" s="35">
        <v>0.05</v>
      </c>
      <c r="C280" s="17" t="s">
        <v>54</v>
      </c>
      <c r="D280" s="15" t="s">
        <v>41</v>
      </c>
      <c r="E280" s="38" t="s">
        <v>55</v>
      </c>
      <c r="F280" s="15">
        <v>30</v>
      </c>
      <c r="G280" s="19">
        <v>3</v>
      </c>
      <c r="H280" s="19">
        <f t="shared" si="99"/>
        <v>90</v>
      </c>
      <c r="I280" s="38" t="s">
        <v>56</v>
      </c>
      <c r="J280" s="32"/>
      <c r="K280" s="32"/>
      <c r="L280" s="40">
        <f>L279+2.69</f>
        <v>4.4016071428571433</v>
      </c>
      <c r="M280" s="32" t="s">
        <v>172</v>
      </c>
      <c r="N280" s="17">
        <v>90</v>
      </c>
      <c r="O280" s="25">
        <v>84</v>
      </c>
      <c r="V280" s="17">
        <v>8</v>
      </c>
      <c r="W280" s="21">
        <v>5</v>
      </c>
      <c r="X280" s="21">
        <f>(X278*(1+0.6+0.4))+4</f>
        <v>4</v>
      </c>
      <c r="Y280" s="21">
        <f>(Y278*(1+0.6+0.4))+4</f>
        <v>4</v>
      </c>
      <c r="Z280" s="21">
        <f>(Z278*(1+0.6+0.4))+4</f>
        <v>4</v>
      </c>
      <c r="AA280" s="21">
        <f>(AA278*(1+0.6+0.4))+4</f>
        <v>4</v>
      </c>
      <c r="AB280" s="26">
        <f t="shared" si="114"/>
        <v>2.3000000000000003</v>
      </c>
      <c r="AC280" s="27">
        <f t="shared" si="115"/>
        <v>-6.3</v>
      </c>
      <c r="AD280" s="26">
        <f t="shared" si="116"/>
        <v>2.3000000000000003</v>
      </c>
      <c r="AE280" s="27">
        <f t="shared" si="117"/>
        <v>-6.3</v>
      </c>
      <c r="AF280" s="26">
        <f t="shared" si="118"/>
        <v>2.3000000000000003</v>
      </c>
      <c r="AG280" s="27">
        <f t="shared" si="119"/>
        <v>-6.3</v>
      </c>
      <c r="AH280" s="26">
        <f t="shared" si="120"/>
        <v>2.3000000000000003</v>
      </c>
      <c r="AI280" s="27">
        <f t="shared" si="121"/>
        <v>-6.3</v>
      </c>
      <c r="AJ280" s="28" t="s">
        <v>45</v>
      </c>
    </row>
    <row r="281" spans="1:37" ht="14.25" customHeight="1">
      <c r="A281" s="15" t="s">
        <v>220</v>
      </c>
      <c r="B281" s="35">
        <v>50</v>
      </c>
      <c r="C281" s="17" t="s">
        <v>40</v>
      </c>
      <c r="D281" s="15" t="s">
        <v>41</v>
      </c>
      <c r="E281" s="38" t="s">
        <v>42</v>
      </c>
      <c r="F281" s="17">
        <v>6</v>
      </c>
      <c r="G281" s="19">
        <v>3</v>
      </c>
      <c r="H281" s="19">
        <f t="shared" si="99"/>
        <v>18</v>
      </c>
      <c r="I281" s="38" t="s">
        <v>42</v>
      </c>
      <c r="J281" s="32"/>
      <c r="K281" s="32"/>
      <c r="L281" s="39">
        <f>L280+1.14</f>
        <v>5.541607142857143</v>
      </c>
      <c r="M281" s="32" t="s">
        <v>221</v>
      </c>
      <c r="N281" s="17">
        <v>24</v>
      </c>
      <c r="O281" s="25">
        <v>84</v>
      </c>
      <c r="U281" s="21"/>
      <c r="V281" s="21">
        <v>4</v>
      </c>
      <c r="W281" s="21">
        <v>5</v>
      </c>
      <c r="X281" s="21">
        <f t="shared" ref="X281:AA282" si="122">X279*(1+0.6+0.4)</f>
        <v>0</v>
      </c>
      <c r="Y281" s="21">
        <f t="shared" si="122"/>
        <v>0</v>
      </c>
      <c r="Z281" s="21">
        <f t="shared" si="122"/>
        <v>0</v>
      </c>
      <c r="AA281" s="21">
        <f t="shared" si="122"/>
        <v>0</v>
      </c>
      <c r="AB281" s="26">
        <f t="shared" si="114"/>
        <v>2.3000000000000003</v>
      </c>
      <c r="AC281" s="27">
        <f t="shared" si="115"/>
        <v>-6.3</v>
      </c>
      <c r="AD281" s="26">
        <f t="shared" si="116"/>
        <v>2.3000000000000003</v>
      </c>
      <c r="AE281" s="27">
        <f t="shared" si="117"/>
        <v>-6.3</v>
      </c>
      <c r="AF281" s="26">
        <f t="shared" si="118"/>
        <v>2.3000000000000003</v>
      </c>
      <c r="AG281" s="27">
        <f t="shared" si="119"/>
        <v>-6.3</v>
      </c>
      <c r="AH281" s="26">
        <f t="shared" si="120"/>
        <v>2.3000000000000003</v>
      </c>
      <c r="AI281" s="27">
        <f t="shared" si="121"/>
        <v>-6.3</v>
      </c>
      <c r="AJ281" s="28" t="s">
        <v>45</v>
      </c>
    </row>
    <row r="282" spans="1:37" ht="14.25" customHeight="1">
      <c r="A282" s="15" t="s">
        <v>220</v>
      </c>
      <c r="B282" s="35">
        <v>100</v>
      </c>
      <c r="C282" s="17" t="s">
        <v>40</v>
      </c>
      <c r="D282" s="15" t="s">
        <v>41</v>
      </c>
      <c r="E282" s="38" t="s">
        <v>42</v>
      </c>
      <c r="F282" s="17">
        <v>6</v>
      </c>
      <c r="G282" s="19">
        <v>3</v>
      </c>
      <c r="H282" s="19">
        <f t="shared" si="99"/>
        <v>18</v>
      </c>
      <c r="I282" s="38" t="s">
        <v>42</v>
      </c>
      <c r="J282" s="32"/>
      <c r="K282" s="32"/>
      <c r="L282" s="39">
        <f>L281+1.37</f>
        <v>6.9116071428571431</v>
      </c>
      <c r="M282" s="32" t="s">
        <v>221</v>
      </c>
      <c r="N282" s="17">
        <v>24</v>
      </c>
      <c r="O282" s="25">
        <v>84</v>
      </c>
      <c r="U282" s="21"/>
      <c r="V282" s="21">
        <v>4</v>
      </c>
      <c r="W282" s="21">
        <v>5</v>
      </c>
      <c r="X282" s="21">
        <f t="shared" si="122"/>
        <v>8</v>
      </c>
      <c r="Y282" s="21">
        <f t="shared" si="122"/>
        <v>8</v>
      </c>
      <c r="Z282" s="21">
        <f t="shared" si="122"/>
        <v>8</v>
      </c>
      <c r="AA282" s="21">
        <f t="shared" si="122"/>
        <v>8</v>
      </c>
      <c r="AB282" s="26">
        <f t="shared" si="114"/>
        <v>4.7</v>
      </c>
      <c r="AC282" s="27">
        <f t="shared" si="115"/>
        <v>-0.7</v>
      </c>
      <c r="AD282" s="26">
        <f t="shared" si="116"/>
        <v>4.7</v>
      </c>
      <c r="AE282" s="27">
        <f t="shared" si="117"/>
        <v>-0.7</v>
      </c>
      <c r="AF282" s="26">
        <f t="shared" si="118"/>
        <v>4.7</v>
      </c>
      <c r="AG282" s="27">
        <f t="shared" si="119"/>
        <v>-0.7</v>
      </c>
      <c r="AH282" s="26">
        <f t="shared" si="120"/>
        <v>4.7</v>
      </c>
      <c r="AI282" s="27">
        <f t="shared" si="121"/>
        <v>-0.7</v>
      </c>
      <c r="AJ282" s="28" t="s">
        <v>45</v>
      </c>
    </row>
    <row r="283" spans="1:37" ht="14.25" customHeight="1">
      <c r="A283" s="15" t="s">
        <v>222</v>
      </c>
      <c r="B283" s="35">
        <v>5</v>
      </c>
      <c r="C283" s="17" t="s">
        <v>40</v>
      </c>
      <c r="D283" s="15" t="s">
        <v>41</v>
      </c>
      <c r="E283" s="38" t="s">
        <v>42</v>
      </c>
      <c r="F283" s="17">
        <v>3</v>
      </c>
      <c r="G283" s="19">
        <v>3</v>
      </c>
      <c r="H283" s="19">
        <f t="shared" si="99"/>
        <v>9</v>
      </c>
      <c r="I283" s="38" t="s">
        <v>42</v>
      </c>
      <c r="J283" s="32"/>
      <c r="K283" s="32"/>
      <c r="L283" s="37">
        <f>L282+13.37</f>
        <v>20.281607142857141</v>
      </c>
      <c r="M283" s="32" t="s">
        <v>221</v>
      </c>
      <c r="N283" s="17">
        <v>12</v>
      </c>
      <c r="O283" s="25">
        <v>84</v>
      </c>
      <c r="V283" s="17">
        <f>L283</f>
        <v>20.281607142857141</v>
      </c>
      <c r="W283" s="21">
        <v>5</v>
      </c>
      <c r="X283" s="21">
        <f>(20*(1+0.6+0.4))+($V$376-4)</f>
        <v>44</v>
      </c>
      <c r="Y283" s="21">
        <f>(24*(1+0.6+0.4))+($V$376-4)</f>
        <v>52</v>
      </c>
      <c r="Z283" s="21">
        <f>(28*(1+0.6+0.4))+($V$376-4)</f>
        <v>60</v>
      </c>
      <c r="AA283" s="21">
        <f>(37*(1+0.6+0.4))+($V$376-4)</f>
        <v>78</v>
      </c>
      <c r="AB283" s="26">
        <f t="shared" si="114"/>
        <v>10.615517857142859</v>
      </c>
      <c r="AC283" s="27">
        <f t="shared" si="115"/>
        <v>13.102875000000001</v>
      </c>
      <c r="AD283" s="26">
        <f t="shared" si="116"/>
        <v>13.015517857142857</v>
      </c>
      <c r="AE283" s="27">
        <f t="shared" si="117"/>
        <v>18.702874999999999</v>
      </c>
      <c r="AF283" s="26">
        <f t="shared" si="118"/>
        <v>15.415517857142857</v>
      </c>
      <c r="AG283" s="27">
        <f t="shared" si="119"/>
        <v>24.302875</v>
      </c>
      <c r="AH283" s="26">
        <f t="shared" si="120"/>
        <v>20.815517857142858</v>
      </c>
      <c r="AI283" s="27">
        <f t="shared" si="121"/>
        <v>36.902875000000002</v>
      </c>
      <c r="AJ283" s="28" t="s">
        <v>45</v>
      </c>
    </row>
    <row r="284" spans="1:37" ht="14.25" customHeight="1">
      <c r="A284" s="15" t="s">
        <v>222</v>
      </c>
      <c r="B284" s="35">
        <v>10</v>
      </c>
      <c r="C284" s="17" t="s">
        <v>40</v>
      </c>
      <c r="D284" s="15" t="s">
        <v>41</v>
      </c>
      <c r="E284" s="38" t="s">
        <v>42</v>
      </c>
      <c r="F284" s="17">
        <v>3</v>
      </c>
      <c r="G284" s="19">
        <v>3</v>
      </c>
      <c r="H284" s="19">
        <f t="shared" si="99"/>
        <v>9</v>
      </c>
      <c r="I284" s="38" t="s">
        <v>42</v>
      </c>
      <c r="J284" s="32"/>
      <c r="K284" s="32"/>
      <c r="L284" s="40">
        <f>L283+3.3</f>
        <v>23.581607142857141</v>
      </c>
      <c r="M284" s="32" t="s">
        <v>221</v>
      </c>
      <c r="N284" s="17">
        <v>12</v>
      </c>
      <c r="O284" s="25">
        <v>84</v>
      </c>
      <c r="V284" s="17">
        <v>8</v>
      </c>
      <c r="W284" s="21">
        <v>5</v>
      </c>
      <c r="X284" s="17">
        <f t="shared" ref="X284:AA285" si="123">(X282*2)+4</f>
        <v>20</v>
      </c>
      <c r="Y284" s="17">
        <f t="shared" si="123"/>
        <v>20</v>
      </c>
      <c r="Z284" s="17">
        <f t="shared" si="123"/>
        <v>20</v>
      </c>
      <c r="AA284" s="17">
        <f t="shared" si="123"/>
        <v>20</v>
      </c>
      <c r="AB284" s="26">
        <f t="shared" si="114"/>
        <v>7.1</v>
      </c>
      <c r="AC284" s="27">
        <f t="shared" si="115"/>
        <v>4.8999999999999995</v>
      </c>
      <c r="AD284" s="26">
        <f t="shared" si="116"/>
        <v>7.1</v>
      </c>
      <c r="AE284" s="27">
        <f t="shared" si="117"/>
        <v>4.8999999999999995</v>
      </c>
      <c r="AF284" s="26">
        <f t="shared" si="118"/>
        <v>7.1</v>
      </c>
      <c r="AG284" s="27">
        <f t="shared" si="119"/>
        <v>4.8999999999999995</v>
      </c>
      <c r="AH284" s="26">
        <f t="shared" si="120"/>
        <v>7.1</v>
      </c>
      <c r="AI284" s="27">
        <f t="shared" si="121"/>
        <v>4.8999999999999995</v>
      </c>
      <c r="AJ284" s="28" t="s">
        <v>45</v>
      </c>
    </row>
    <row r="285" spans="1:37" ht="14.25" customHeight="1">
      <c r="A285" s="15" t="s">
        <v>223</v>
      </c>
      <c r="B285" s="35">
        <v>2.5</v>
      </c>
      <c r="C285" s="17" t="s">
        <v>40</v>
      </c>
      <c r="D285" s="15" t="s">
        <v>41</v>
      </c>
      <c r="E285" s="38" t="s">
        <v>42</v>
      </c>
      <c r="F285" s="17">
        <v>6</v>
      </c>
      <c r="G285" s="19">
        <v>3</v>
      </c>
      <c r="H285" s="19">
        <f t="shared" si="99"/>
        <v>18</v>
      </c>
      <c r="I285" s="38" t="s">
        <v>42</v>
      </c>
      <c r="J285" s="32"/>
      <c r="K285" s="32"/>
      <c r="L285" s="40">
        <f>L284+2.21</f>
        <v>25.791607142857142</v>
      </c>
      <c r="M285" s="32" t="s">
        <v>221</v>
      </c>
      <c r="N285" s="17">
        <v>24</v>
      </c>
      <c r="O285" s="25">
        <v>84</v>
      </c>
      <c r="V285" s="17">
        <v>8</v>
      </c>
      <c r="W285" s="21">
        <v>5</v>
      </c>
      <c r="X285" s="17">
        <f t="shared" si="123"/>
        <v>92</v>
      </c>
      <c r="Y285" s="17">
        <f t="shared" si="123"/>
        <v>108</v>
      </c>
      <c r="Z285" s="17">
        <f t="shared" si="123"/>
        <v>124</v>
      </c>
      <c r="AA285" s="17">
        <f t="shared" si="123"/>
        <v>160</v>
      </c>
      <c r="AB285" s="26">
        <f t="shared" si="114"/>
        <v>28.7</v>
      </c>
      <c r="AC285" s="27">
        <f t="shared" si="115"/>
        <v>55.3</v>
      </c>
      <c r="AD285" s="26">
        <f t="shared" si="116"/>
        <v>33.5</v>
      </c>
      <c r="AE285" s="27">
        <f t="shared" si="117"/>
        <v>66.5</v>
      </c>
      <c r="AF285" s="26">
        <f t="shared" si="118"/>
        <v>38.299999999999997</v>
      </c>
      <c r="AG285" s="27">
        <f t="shared" si="119"/>
        <v>77.699999999999989</v>
      </c>
      <c r="AH285" s="26">
        <f t="shared" si="120"/>
        <v>49.1</v>
      </c>
      <c r="AI285" s="27">
        <f t="shared" si="121"/>
        <v>102.89999999999999</v>
      </c>
      <c r="AJ285" s="28" t="s">
        <v>45</v>
      </c>
    </row>
    <row r="286" spans="1:37" ht="14.25" customHeight="1">
      <c r="A286" s="15" t="s">
        <v>223</v>
      </c>
      <c r="B286" s="35">
        <v>5</v>
      </c>
      <c r="C286" s="17" t="s">
        <v>40</v>
      </c>
      <c r="D286" s="15" t="s">
        <v>41</v>
      </c>
      <c r="E286" s="38" t="s">
        <v>42</v>
      </c>
      <c r="F286" s="17">
        <v>6</v>
      </c>
      <c r="G286" s="19">
        <v>3</v>
      </c>
      <c r="H286" s="19">
        <f t="shared" si="99"/>
        <v>18</v>
      </c>
      <c r="I286" s="38" t="s">
        <v>42</v>
      </c>
      <c r="J286" s="32"/>
      <c r="K286" s="32"/>
      <c r="L286" s="37">
        <f>L285+36</f>
        <v>61.791607142857146</v>
      </c>
      <c r="M286" s="32" t="s">
        <v>221</v>
      </c>
      <c r="N286" s="17">
        <v>24</v>
      </c>
      <c r="O286" s="25">
        <v>84</v>
      </c>
      <c r="V286" s="17">
        <f>L286</f>
        <v>61.791607142857146</v>
      </c>
      <c r="W286" s="21">
        <v>5</v>
      </c>
      <c r="X286" s="21">
        <f>(20*(1+0.6+0.4))+(108-4)</f>
        <v>144</v>
      </c>
      <c r="Y286" s="21">
        <f>(24*(1+0.6+0.4))+(108-4)</f>
        <v>152</v>
      </c>
      <c r="Z286" s="21">
        <f>(28*(1+0.6+0.4))+(108-4)</f>
        <v>160</v>
      </c>
      <c r="AA286" s="21">
        <f>(37*(1+0.6+0.4))+(108-4)</f>
        <v>178</v>
      </c>
      <c r="AB286" s="26">
        <f t="shared" si="114"/>
        <v>28.162517857142856</v>
      </c>
      <c r="AC286" s="27">
        <f t="shared" si="115"/>
        <v>54.045874999999995</v>
      </c>
      <c r="AD286" s="26">
        <f t="shared" si="116"/>
        <v>30.562517857142854</v>
      </c>
      <c r="AE286" s="27">
        <f t="shared" si="117"/>
        <v>59.645874999999997</v>
      </c>
      <c r="AF286" s="26">
        <f t="shared" si="118"/>
        <v>32.962517857142856</v>
      </c>
      <c r="AG286" s="27">
        <f t="shared" si="119"/>
        <v>65.245874999999998</v>
      </c>
      <c r="AH286" s="26">
        <f t="shared" si="120"/>
        <v>38.362517857142855</v>
      </c>
      <c r="AI286" s="27">
        <f t="shared" si="121"/>
        <v>77.845874999999992</v>
      </c>
      <c r="AJ286" s="28" t="s">
        <v>45</v>
      </c>
    </row>
    <row r="287" spans="1:37" ht="14.25" customHeight="1">
      <c r="A287" s="15" t="s">
        <v>39</v>
      </c>
      <c r="B287" s="16">
        <v>25</v>
      </c>
      <c r="C287" s="17" t="s">
        <v>40</v>
      </c>
      <c r="D287" s="15" t="s">
        <v>41</v>
      </c>
      <c r="E287" s="18" t="s">
        <v>42</v>
      </c>
      <c r="F287" s="28">
        <v>4</v>
      </c>
      <c r="G287" s="19">
        <v>4</v>
      </c>
      <c r="H287" s="19">
        <f t="shared" si="99"/>
        <v>16</v>
      </c>
      <c r="I287" s="20" t="s">
        <v>42</v>
      </c>
      <c r="J287" s="21" t="s">
        <v>43</v>
      </c>
      <c r="K287" s="21"/>
      <c r="L287" s="26">
        <f>0.24*4</f>
        <v>0.96</v>
      </c>
      <c r="M287" t="s">
        <v>44</v>
      </c>
      <c r="N287" s="24">
        <v>38</v>
      </c>
      <c r="O287" s="25">
        <v>84</v>
      </c>
      <c r="U287" s="21"/>
      <c r="V287" s="21">
        <v>4</v>
      </c>
      <c r="W287" s="21">
        <v>5</v>
      </c>
      <c r="X287" s="21">
        <f>X280*(1+0.6+0.4+0.3)</f>
        <v>9.1999999999999993</v>
      </c>
      <c r="Y287" s="21">
        <f>Y280*(1+0.6+0.4+0.3)</f>
        <v>9.1999999999999993</v>
      </c>
      <c r="Z287" s="21">
        <f>Z280*(1+0.6+0.4+0.3)</f>
        <v>9.1999999999999993</v>
      </c>
      <c r="AA287" s="21">
        <f>AA280*(1+0.6+0.4+0.3)</f>
        <v>9.1999999999999993</v>
      </c>
      <c r="AB287" s="26">
        <f t="shared" si="114"/>
        <v>5.0599999999999996</v>
      </c>
      <c r="AC287" s="27">
        <f t="shared" si="115"/>
        <v>0.13999999999999949</v>
      </c>
      <c r="AD287" s="26">
        <f t="shared" si="116"/>
        <v>5.0599999999999996</v>
      </c>
      <c r="AE287" s="27">
        <f t="shared" si="117"/>
        <v>0.13999999999999949</v>
      </c>
      <c r="AF287" s="26">
        <f t="shared" si="118"/>
        <v>5.0599999999999996</v>
      </c>
      <c r="AG287" s="27">
        <f t="shared" si="119"/>
        <v>0.13999999999999949</v>
      </c>
      <c r="AH287" s="26">
        <f t="shared" si="120"/>
        <v>5.0599999999999996</v>
      </c>
      <c r="AI287" s="27">
        <f t="shared" si="121"/>
        <v>0.13999999999999949</v>
      </c>
      <c r="AJ287" s="28" t="s">
        <v>45</v>
      </c>
      <c r="AK287" s="15" t="s">
        <v>46</v>
      </c>
    </row>
    <row r="288" spans="1:37" ht="14.25" customHeight="1">
      <c r="A288" s="15" t="s">
        <v>39</v>
      </c>
      <c r="B288" s="16">
        <v>50</v>
      </c>
      <c r="C288" s="17" t="s">
        <v>40</v>
      </c>
      <c r="D288" s="15" t="s">
        <v>41</v>
      </c>
      <c r="E288" s="18" t="s">
        <v>42</v>
      </c>
      <c r="F288" s="28">
        <v>4</v>
      </c>
      <c r="G288" s="19">
        <v>4</v>
      </c>
      <c r="H288" s="19">
        <f t="shared" si="99"/>
        <v>16</v>
      </c>
      <c r="I288" s="20" t="s">
        <v>42</v>
      </c>
      <c r="J288" s="21" t="s">
        <v>43</v>
      </c>
      <c r="K288" s="21"/>
      <c r="L288" s="26">
        <f>0.28*4</f>
        <v>1.1200000000000001</v>
      </c>
      <c r="M288" t="s">
        <v>44</v>
      </c>
      <c r="N288" s="24">
        <v>38</v>
      </c>
      <c r="O288" s="25">
        <v>84</v>
      </c>
      <c r="U288" s="21"/>
      <c r="V288" s="21">
        <v>4</v>
      </c>
      <c r="W288" s="21">
        <v>5</v>
      </c>
      <c r="X288" s="21">
        <f>X280*(1+0.6+0.4+0.3)</f>
        <v>9.1999999999999993</v>
      </c>
      <c r="Y288" s="21">
        <f>Y280*(1+0.6+0.4+0.3)</f>
        <v>9.1999999999999993</v>
      </c>
      <c r="Z288" s="21">
        <f>Z280*(1+0.6+0.4+0.3)</f>
        <v>9.1999999999999993</v>
      </c>
      <c r="AA288" s="21">
        <f>AA280*(1+0.6+0.4+0.3)</f>
        <v>9.1999999999999993</v>
      </c>
      <c r="AB288" s="26">
        <f t="shared" si="114"/>
        <v>5.0599999999999996</v>
      </c>
      <c r="AC288" s="27">
        <f t="shared" si="115"/>
        <v>0.13999999999999949</v>
      </c>
      <c r="AD288" s="26">
        <f t="shared" si="116"/>
        <v>5.0599999999999996</v>
      </c>
      <c r="AE288" s="27">
        <f t="shared" si="117"/>
        <v>0.13999999999999949</v>
      </c>
      <c r="AF288" s="26">
        <f t="shared" si="118"/>
        <v>5.0599999999999996</v>
      </c>
      <c r="AG288" s="27">
        <f t="shared" si="119"/>
        <v>0.13999999999999949</v>
      </c>
      <c r="AH288" s="26">
        <f t="shared" si="120"/>
        <v>5.0599999999999996</v>
      </c>
      <c r="AI288" s="27">
        <f t="shared" si="121"/>
        <v>0.13999999999999949</v>
      </c>
      <c r="AJ288" s="28" t="s">
        <v>45</v>
      </c>
      <c r="AK288" s="15" t="s">
        <v>46</v>
      </c>
    </row>
    <row r="289" spans="1:37" ht="14.25" customHeight="1">
      <c r="A289" s="15" t="s">
        <v>39</v>
      </c>
      <c r="B289" s="16">
        <v>100</v>
      </c>
      <c r="C289" s="17" t="s">
        <v>40</v>
      </c>
      <c r="D289" s="15" t="s">
        <v>41</v>
      </c>
      <c r="E289" s="18" t="s">
        <v>42</v>
      </c>
      <c r="F289" s="28">
        <v>4</v>
      </c>
      <c r="G289" s="19">
        <v>4</v>
      </c>
      <c r="H289" s="19">
        <f t="shared" si="99"/>
        <v>16</v>
      </c>
      <c r="I289" s="20" t="s">
        <v>42</v>
      </c>
      <c r="J289" s="21" t="s">
        <v>43</v>
      </c>
      <c r="K289" s="21"/>
      <c r="L289" s="26">
        <f>0.26*4</f>
        <v>1.04</v>
      </c>
      <c r="M289" t="s">
        <v>44</v>
      </c>
      <c r="N289" s="24">
        <v>38</v>
      </c>
      <c r="O289" s="25">
        <v>84</v>
      </c>
      <c r="U289" s="21"/>
      <c r="V289" s="21">
        <v>4</v>
      </c>
      <c r="W289" s="21">
        <v>5</v>
      </c>
      <c r="X289" s="21">
        <f>X280*(1+0.6+0.4+0.3)</f>
        <v>9.1999999999999993</v>
      </c>
      <c r="Y289" s="21">
        <f>Y280*(1+0.6+0.4+0.3)</f>
        <v>9.1999999999999993</v>
      </c>
      <c r="Z289" s="21">
        <f>Z280*(1+0.6+0.4+0.3)</f>
        <v>9.1999999999999993</v>
      </c>
      <c r="AA289" s="21">
        <f>AA280*(1+0.6+0.4+0.3)</f>
        <v>9.1999999999999993</v>
      </c>
      <c r="AB289" s="26">
        <f t="shared" si="114"/>
        <v>5.0599999999999996</v>
      </c>
      <c r="AC289" s="27">
        <f t="shared" si="115"/>
        <v>0.13999999999999949</v>
      </c>
      <c r="AD289" s="26">
        <f t="shared" si="116"/>
        <v>5.0599999999999996</v>
      </c>
      <c r="AE289" s="27">
        <f t="shared" si="117"/>
        <v>0.13999999999999949</v>
      </c>
      <c r="AF289" s="26">
        <f t="shared" si="118"/>
        <v>5.0599999999999996</v>
      </c>
      <c r="AG289" s="27">
        <f t="shared" si="119"/>
        <v>0.13999999999999949</v>
      </c>
      <c r="AH289" s="26">
        <f t="shared" si="120"/>
        <v>5.0599999999999996</v>
      </c>
      <c r="AI289" s="27">
        <f t="shared" si="121"/>
        <v>0.13999999999999949</v>
      </c>
      <c r="AJ289" s="28" t="s">
        <v>45</v>
      </c>
      <c r="AK289" s="15" t="s">
        <v>46</v>
      </c>
    </row>
    <row r="290" spans="1:37" ht="14.25" customHeight="1">
      <c r="A290" s="69" t="s">
        <v>47</v>
      </c>
      <c r="B290" s="16">
        <v>2.5</v>
      </c>
      <c r="C290" s="17" t="s">
        <v>40</v>
      </c>
      <c r="D290" s="15" t="s">
        <v>41</v>
      </c>
      <c r="E290" s="18" t="s">
        <v>42</v>
      </c>
      <c r="F290" s="17">
        <v>28</v>
      </c>
      <c r="G290" s="19">
        <v>4</v>
      </c>
      <c r="H290" s="19">
        <f t="shared" si="99"/>
        <v>112</v>
      </c>
      <c r="I290" s="20" t="s">
        <v>42</v>
      </c>
      <c r="J290" s="21" t="s">
        <v>48</v>
      </c>
      <c r="K290" s="21"/>
      <c r="L290" s="26">
        <f>0.27*4</f>
        <v>1.08</v>
      </c>
      <c r="M290" t="s">
        <v>44</v>
      </c>
      <c r="N290" s="30">
        <v>112</v>
      </c>
      <c r="O290" s="25">
        <v>84</v>
      </c>
      <c r="U290" s="21"/>
      <c r="V290" s="21">
        <v>4</v>
      </c>
      <c r="W290" s="21">
        <v>5</v>
      </c>
      <c r="X290" s="21">
        <f t="shared" ref="X290:AA295" si="124">X284*(1+0.6+0.4+0.3)</f>
        <v>46</v>
      </c>
      <c r="Y290" s="21">
        <f t="shared" si="124"/>
        <v>46</v>
      </c>
      <c r="Z290" s="21">
        <f t="shared" si="124"/>
        <v>46</v>
      </c>
      <c r="AA290" s="21">
        <f t="shared" si="124"/>
        <v>46</v>
      </c>
      <c r="AB290" s="26">
        <f t="shared" si="114"/>
        <v>16.100000000000001</v>
      </c>
      <c r="AC290" s="27">
        <f t="shared" si="115"/>
        <v>25.9</v>
      </c>
      <c r="AD290" s="26">
        <f t="shared" si="116"/>
        <v>16.100000000000001</v>
      </c>
      <c r="AE290" s="27">
        <f t="shared" si="117"/>
        <v>25.9</v>
      </c>
      <c r="AF290" s="26">
        <f t="shared" si="118"/>
        <v>16.100000000000001</v>
      </c>
      <c r="AG290" s="27">
        <f t="shared" si="119"/>
        <v>25.9</v>
      </c>
      <c r="AH290" s="26">
        <f t="shared" si="120"/>
        <v>16.100000000000001</v>
      </c>
      <c r="AI290" s="27">
        <f t="shared" si="121"/>
        <v>25.9</v>
      </c>
      <c r="AJ290" s="28" t="s">
        <v>45</v>
      </c>
      <c r="AK290" s="15" t="s">
        <v>46</v>
      </c>
    </row>
    <row r="291" spans="1:37" ht="14.25" customHeight="1">
      <c r="A291" s="69" t="s">
        <v>47</v>
      </c>
      <c r="B291" s="16">
        <v>5</v>
      </c>
      <c r="C291" s="17" t="s">
        <v>40</v>
      </c>
      <c r="D291" s="15" t="s">
        <v>41</v>
      </c>
      <c r="E291" s="18" t="s">
        <v>42</v>
      </c>
      <c r="F291" s="17">
        <v>28</v>
      </c>
      <c r="G291" s="19">
        <v>4</v>
      </c>
      <c r="H291" s="19">
        <f t="shared" si="99"/>
        <v>112</v>
      </c>
      <c r="I291" s="20" t="s">
        <v>42</v>
      </c>
      <c r="J291" s="21" t="s">
        <v>48</v>
      </c>
      <c r="K291" s="21"/>
      <c r="L291" s="26">
        <f>0.27*4</f>
        <v>1.08</v>
      </c>
      <c r="M291" t="s">
        <v>44</v>
      </c>
      <c r="N291" s="30">
        <v>112</v>
      </c>
      <c r="O291" s="25">
        <v>84</v>
      </c>
      <c r="U291" s="21"/>
      <c r="V291" s="21">
        <v>4</v>
      </c>
      <c r="W291" s="21">
        <v>5</v>
      </c>
      <c r="X291" s="21">
        <f t="shared" si="124"/>
        <v>211.6</v>
      </c>
      <c r="Y291" s="21">
        <f t="shared" si="124"/>
        <v>248.39999999999998</v>
      </c>
      <c r="Z291" s="21">
        <f t="shared" si="124"/>
        <v>285.2</v>
      </c>
      <c r="AA291" s="21">
        <f t="shared" si="124"/>
        <v>368</v>
      </c>
      <c r="AB291" s="26">
        <f t="shared" si="114"/>
        <v>65.78</v>
      </c>
      <c r="AC291" s="27">
        <f t="shared" si="115"/>
        <v>141.82</v>
      </c>
      <c r="AD291" s="26">
        <f t="shared" si="116"/>
        <v>76.819999999999993</v>
      </c>
      <c r="AE291" s="27">
        <f t="shared" si="117"/>
        <v>167.57999999999998</v>
      </c>
      <c r="AF291" s="26">
        <f t="shared" si="118"/>
        <v>87.86</v>
      </c>
      <c r="AG291" s="27">
        <f t="shared" si="119"/>
        <v>193.33999999999997</v>
      </c>
      <c r="AH291" s="26">
        <f t="shared" si="120"/>
        <v>112.7</v>
      </c>
      <c r="AI291" s="27">
        <f t="shared" si="121"/>
        <v>251.29999999999998</v>
      </c>
      <c r="AJ291" s="28" t="s">
        <v>45</v>
      </c>
      <c r="AK291" s="15" t="s">
        <v>46</v>
      </c>
    </row>
    <row r="292" spans="1:37" ht="14.25" customHeight="1">
      <c r="A292" s="69" t="s">
        <v>47</v>
      </c>
      <c r="B292" s="16">
        <v>10</v>
      </c>
      <c r="C292" s="17" t="s">
        <v>40</v>
      </c>
      <c r="D292" s="15" t="s">
        <v>41</v>
      </c>
      <c r="E292" s="18" t="s">
        <v>42</v>
      </c>
      <c r="F292" s="17">
        <v>4</v>
      </c>
      <c r="G292" s="19">
        <v>4</v>
      </c>
      <c r="H292" s="19">
        <f t="shared" si="99"/>
        <v>16</v>
      </c>
      <c r="I292" s="20" t="s">
        <v>42</v>
      </c>
      <c r="J292" s="22" t="s">
        <v>49</v>
      </c>
      <c r="K292" s="21"/>
      <c r="L292" s="26">
        <f>0.27*4</f>
        <v>1.08</v>
      </c>
      <c r="M292" t="s">
        <v>44</v>
      </c>
      <c r="N292" s="28">
        <v>38</v>
      </c>
      <c r="O292" s="25">
        <v>84</v>
      </c>
      <c r="U292" s="21"/>
      <c r="V292" s="21">
        <v>4</v>
      </c>
      <c r="W292" s="21">
        <v>5</v>
      </c>
      <c r="X292" s="21">
        <f t="shared" si="124"/>
        <v>331.2</v>
      </c>
      <c r="Y292" s="21">
        <f t="shared" si="124"/>
        <v>349.59999999999997</v>
      </c>
      <c r="Z292" s="21">
        <f t="shared" si="124"/>
        <v>368</v>
      </c>
      <c r="AA292" s="21">
        <f t="shared" si="124"/>
        <v>409.4</v>
      </c>
      <c r="AB292" s="26">
        <f t="shared" si="114"/>
        <v>101.66</v>
      </c>
      <c r="AC292" s="27">
        <f t="shared" si="115"/>
        <v>225.53999999999996</v>
      </c>
      <c r="AD292" s="26">
        <f t="shared" si="116"/>
        <v>107.17999999999999</v>
      </c>
      <c r="AE292" s="27">
        <f t="shared" si="117"/>
        <v>238.41999999999996</v>
      </c>
      <c r="AF292" s="26">
        <f t="shared" si="118"/>
        <v>112.7</v>
      </c>
      <c r="AG292" s="27">
        <f t="shared" si="119"/>
        <v>251.29999999999998</v>
      </c>
      <c r="AH292" s="26">
        <f t="shared" si="120"/>
        <v>125.11999999999999</v>
      </c>
      <c r="AI292" s="27">
        <f t="shared" si="121"/>
        <v>280.27999999999997</v>
      </c>
      <c r="AJ292" s="28" t="s">
        <v>45</v>
      </c>
      <c r="AK292" s="15" t="s">
        <v>46</v>
      </c>
    </row>
    <row r="293" spans="1:37" ht="14.25" customHeight="1">
      <c r="A293" s="69" t="s">
        <v>47</v>
      </c>
      <c r="B293" s="16">
        <v>20</v>
      </c>
      <c r="C293" s="17" t="s">
        <v>40</v>
      </c>
      <c r="D293" s="15" t="s">
        <v>41</v>
      </c>
      <c r="E293" s="18" t="s">
        <v>42</v>
      </c>
      <c r="F293" s="17">
        <v>4</v>
      </c>
      <c r="G293" s="19">
        <v>4</v>
      </c>
      <c r="H293" s="19">
        <f t="shared" si="99"/>
        <v>16</v>
      </c>
      <c r="I293" s="20" t="s">
        <v>42</v>
      </c>
      <c r="J293" s="22" t="s">
        <v>49</v>
      </c>
      <c r="K293" s="21"/>
      <c r="L293" s="26">
        <f>0.27*4</f>
        <v>1.08</v>
      </c>
      <c r="M293" t="s">
        <v>44</v>
      </c>
      <c r="N293" s="28">
        <v>38</v>
      </c>
      <c r="O293" s="25">
        <v>84</v>
      </c>
      <c r="U293" s="21"/>
      <c r="V293" s="21">
        <v>4</v>
      </c>
      <c r="W293" s="21">
        <v>5</v>
      </c>
      <c r="X293" s="21">
        <f t="shared" si="124"/>
        <v>21.159999999999997</v>
      </c>
      <c r="Y293" s="21">
        <f t="shared" si="124"/>
        <v>21.159999999999997</v>
      </c>
      <c r="Z293" s="21">
        <f t="shared" si="124"/>
        <v>21.159999999999997</v>
      </c>
      <c r="AA293" s="21">
        <f t="shared" si="124"/>
        <v>21.159999999999997</v>
      </c>
      <c r="AB293" s="26">
        <f t="shared" si="114"/>
        <v>8.6479999999999997</v>
      </c>
      <c r="AC293" s="27">
        <f t="shared" si="115"/>
        <v>8.5119999999999969</v>
      </c>
      <c r="AD293" s="26">
        <f t="shared" si="116"/>
        <v>8.6479999999999997</v>
      </c>
      <c r="AE293" s="27">
        <f t="shared" si="117"/>
        <v>8.5119999999999969</v>
      </c>
      <c r="AF293" s="26">
        <f t="shared" si="118"/>
        <v>8.6479999999999997</v>
      </c>
      <c r="AG293" s="27">
        <f t="shared" si="119"/>
        <v>8.5119999999999969</v>
      </c>
      <c r="AH293" s="26">
        <f t="shared" si="120"/>
        <v>8.6479999999999997</v>
      </c>
      <c r="AI293" s="27">
        <f t="shared" si="121"/>
        <v>8.5119999999999969</v>
      </c>
      <c r="AJ293" s="28" t="s">
        <v>45</v>
      </c>
      <c r="AK293" s="15" t="s">
        <v>46</v>
      </c>
    </row>
    <row r="294" spans="1:37" ht="14.25" customHeight="1">
      <c r="A294" s="15" t="s">
        <v>50</v>
      </c>
      <c r="B294" s="16">
        <v>10</v>
      </c>
      <c r="C294" s="17" t="s">
        <v>40</v>
      </c>
      <c r="D294" s="15" t="s">
        <v>41</v>
      </c>
      <c r="E294" s="18" t="s">
        <v>42</v>
      </c>
      <c r="F294" s="17">
        <v>4</v>
      </c>
      <c r="G294" s="19">
        <v>4</v>
      </c>
      <c r="H294" s="19">
        <f t="shared" si="99"/>
        <v>16</v>
      </c>
      <c r="I294" s="20" t="s">
        <v>42</v>
      </c>
      <c r="J294" s="21" t="s">
        <v>43</v>
      </c>
      <c r="K294" s="21"/>
      <c r="L294" s="26">
        <f>L288*4</f>
        <v>4.4800000000000004</v>
      </c>
      <c r="M294" t="s">
        <v>44</v>
      </c>
      <c r="N294" s="28">
        <v>38</v>
      </c>
      <c r="O294" s="25">
        <v>84</v>
      </c>
      <c r="U294" s="21"/>
      <c r="V294" s="21">
        <v>4</v>
      </c>
      <c r="W294" s="21">
        <v>5</v>
      </c>
      <c r="X294" s="21">
        <f t="shared" si="124"/>
        <v>21.159999999999997</v>
      </c>
      <c r="Y294" s="21">
        <f t="shared" si="124"/>
        <v>21.159999999999997</v>
      </c>
      <c r="Z294" s="21">
        <f t="shared" si="124"/>
        <v>21.159999999999997</v>
      </c>
      <c r="AA294" s="21">
        <f t="shared" si="124"/>
        <v>21.159999999999997</v>
      </c>
      <c r="AB294" s="26">
        <f t="shared" si="114"/>
        <v>8.6479999999999997</v>
      </c>
      <c r="AC294" s="27">
        <f t="shared" si="115"/>
        <v>8.5119999999999969</v>
      </c>
      <c r="AD294" s="26">
        <f t="shared" si="116"/>
        <v>8.6479999999999997</v>
      </c>
      <c r="AE294" s="27">
        <f t="shared" si="117"/>
        <v>8.5119999999999969</v>
      </c>
      <c r="AF294" s="26">
        <f t="shared" si="118"/>
        <v>8.6479999999999997</v>
      </c>
      <c r="AG294" s="27">
        <f t="shared" si="119"/>
        <v>8.5119999999999969</v>
      </c>
      <c r="AH294" s="26">
        <f t="shared" si="120"/>
        <v>8.6479999999999997</v>
      </c>
      <c r="AI294" s="27">
        <f t="shared" si="121"/>
        <v>8.5119999999999969</v>
      </c>
      <c r="AJ294" s="28" t="s">
        <v>45</v>
      </c>
      <c r="AK294" s="15" t="s">
        <v>46</v>
      </c>
    </row>
    <row r="295" spans="1:37" ht="14.25" customHeight="1">
      <c r="A295" s="15" t="s">
        <v>50</v>
      </c>
      <c r="B295" s="16">
        <v>20</v>
      </c>
      <c r="C295" s="17" t="s">
        <v>40</v>
      </c>
      <c r="D295" s="15" t="s">
        <v>41</v>
      </c>
      <c r="E295" s="18" t="s">
        <v>42</v>
      </c>
      <c r="F295" s="17">
        <v>4</v>
      </c>
      <c r="G295" s="19">
        <v>4</v>
      </c>
      <c r="H295" s="19">
        <f t="shared" si="99"/>
        <v>16</v>
      </c>
      <c r="I295" s="20" t="s">
        <v>42</v>
      </c>
      <c r="J295" s="21" t="s">
        <v>43</v>
      </c>
      <c r="K295" s="21"/>
      <c r="L295" s="26">
        <f>L289*4</f>
        <v>4.16</v>
      </c>
      <c r="M295" t="s">
        <v>44</v>
      </c>
      <c r="N295" s="28">
        <v>38</v>
      </c>
      <c r="O295" s="25">
        <v>84</v>
      </c>
      <c r="U295" s="21"/>
      <c r="V295" s="21">
        <v>4</v>
      </c>
      <c r="W295" s="21">
        <v>5</v>
      </c>
      <c r="X295" s="21">
        <f t="shared" si="124"/>
        <v>21.159999999999997</v>
      </c>
      <c r="Y295" s="21">
        <f t="shared" si="124"/>
        <v>21.159999999999997</v>
      </c>
      <c r="Z295" s="21">
        <f t="shared" si="124"/>
        <v>21.159999999999997</v>
      </c>
      <c r="AA295" s="21">
        <f t="shared" si="124"/>
        <v>21.159999999999997</v>
      </c>
      <c r="AB295" s="26">
        <f t="shared" si="114"/>
        <v>8.6479999999999997</v>
      </c>
      <c r="AC295" s="27">
        <f t="shared" si="115"/>
        <v>8.5119999999999969</v>
      </c>
      <c r="AD295" s="26">
        <f t="shared" si="116"/>
        <v>8.6479999999999997</v>
      </c>
      <c r="AE295" s="27">
        <f t="shared" si="117"/>
        <v>8.5119999999999969</v>
      </c>
      <c r="AF295" s="26">
        <f t="shared" si="118"/>
        <v>8.6479999999999997</v>
      </c>
      <c r="AG295" s="27">
        <f t="shared" si="119"/>
        <v>8.5119999999999969</v>
      </c>
      <c r="AH295" s="26">
        <f t="shared" si="120"/>
        <v>8.6479999999999997</v>
      </c>
      <c r="AI295" s="27">
        <f t="shared" si="121"/>
        <v>8.5119999999999969</v>
      </c>
      <c r="AJ295" s="28" t="s">
        <v>45</v>
      </c>
      <c r="AK295" s="15" t="s">
        <v>46</v>
      </c>
    </row>
    <row r="296" spans="1:37" ht="14.25" customHeight="1">
      <c r="A296" s="15" t="s">
        <v>51</v>
      </c>
      <c r="B296" s="16">
        <v>30</v>
      </c>
      <c r="C296" s="32" t="s">
        <v>40</v>
      </c>
      <c r="D296" s="15" t="s">
        <v>41</v>
      </c>
      <c r="E296" s="33" t="s">
        <v>42</v>
      </c>
      <c r="F296" s="17">
        <v>3</v>
      </c>
      <c r="G296" s="19">
        <v>4</v>
      </c>
      <c r="H296" s="19">
        <f t="shared" si="99"/>
        <v>12</v>
      </c>
      <c r="I296" s="20" t="s">
        <v>42</v>
      </c>
      <c r="J296" s="22" t="s">
        <v>52</v>
      </c>
      <c r="K296" s="21"/>
      <c r="L296" s="34">
        <f>14.71*4</f>
        <v>58.84</v>
      </c>
      <c r="M296" s="32" t="s">
        <v>53</v>
      </c>
      <c r="N296" s="17">
        <v>18</v>
      </c>
      <c r="O296" s="25">
        <v>84</v>
      </c>
      <c r="U296" s="21"/>
      <c r="V296" s="21">
        <f>L296</f>
        <v>58.84</v>
      </c>
      <c r="W296" s="21">
        <v>5</v>
      </c>
      <c r="X296" s="21">
        <f>(20*(1+0.6+0.4+0.3))+(L296-4)</f>
        <v>100.84</v>
      </c>
      <c r="Y296" s="21">
        <f>(24*(1+0.6+0.4+0.3))+(L296-4)</f>
        <v>110.03999999999999</v>
      </c>
      <c r="Z296" s="21">
        <f>(28*(1+0.6+0.4+0.3))+(L296-4)</f>
        <v>119.24</v>
      </c>
      <c r="AA296" s="21">
        <f>(39*(1+0.6+0.4+0.3))+(L296-4)</f>
        <v>144.54</v>
      </c>
      <c r="AB296" s="26">
        <f t="shared" si="114"/>
        <v>16.100000000000001</v>
      </c>
      <c r="AC296" s="27">
        <f t="shared" si="115"/>
        <v>25.9</v>
      </c>
      <c r="AD296" s="26">
        <f t="shared" si="116"/>
        <v>18.859999999999996</v>
      </c>
      <c r="AE296" s="27">
        <f t="shared" si="117"/>
        <v>32.339999999999989</v>
      </c>
      <c r="AF296" s="26">
        <f t="shared" si="118"/>
        <v>21.619999999999997</v>
      </c>
      <c r="AG296" s="27">
        <f t="shared" si="119"/>
        <v>38.779999999999994</v>
      </c>
      <c r="AH296" s="26">
        <f t="shared" si="120"/>
        <v>29.209999999999997</v>
      </c>
      <c r="AI296" s="27">
        <f t="shared" si="121"/>
        <v>56.489999999999988</v>
      </c>
      <c r="AJ296" s="28" t="s">
        <v>45</v>
      </c>
      <c r="AK296" s="15" t="s">
        <v>46</v>
      </c>
    </row>
    <row r="297" spans="1:37" ht="14.25" customHeight="1">
      <c r="A297" s="15" t="s">
        <v>51</v>
      </c>
      <c r="B297" s="16">
        <v>60</v>
      </c>
      <c r="C297" s="32" t="s">
        <v>40</v>
      </c>
      <c r="D297" s="15" t="s">
        <v>41</v>
      </c>
      <c r="E297" s="33" t="s">
        <v>42</v>
      </c>
      <c r="F297" s="17">
        <v>3</v>
      </c>
      <c r="G297" s="19">
        <v>4</v>
      </c>
      <c r="H297" s="19">
        <f t="shared" ref="H297:H360" si="125">F297*G297</f>
        <v>12</v>
      </c>
      <c r="I297" s="20" t="s">
        <v>42</v>
      </c>
      <c r="J297" s="22" t="s">
        <v>52</v>
      </c>
      <c r="K297" s="21"/>
      <c r="L297" s="34">
        <f>L294*4</f>
        <v>17.920000000000002</v>
      </c>
      <c r="M297" s="32" t="s">
        <v>53</v>
      </c>
      <c r="N297" s="17">
        <v>18</v>
      </c>
      <c r="O297" s="25">
        <v>84</v>
      </c>
      <c r="U297" s="21"/>
      <c r="V297" s="21">
        <f>L297</f>
        <v>17.920000000000002</v>
      </c>
      <c r="W297" s="21">
        <v>5</v>
      </c>
      <c r="X297" s="21">
        <f>(20*(1+0.6+0.4+0.3))+(L297-4)</f>
        <v>59.92</v>
      </c>
      <c r="Y297" s="21">
        <f>(24*(1+0.6+0.4+0.3))+(L297-4)</f>
        <v>69.12</v>
      </c>
      <c r="Z297" s="21">
        <f>(28*(1+0.6+0.4+0.3))+(L297-4)</f>
        <v>78.319999999999993</v>
      </c>
      <c r="AA297" s="21">
        <f>(39*(1+0.6+0.4+0.3))+(L297-4)</f>
        <v>103.61999999999999</v>
      </c>
      <c r="AB297" s="26">
        <f t="shared" si="114"/>
        <v>16.100000000000001</v>
      </c>
      <c r="AC297" s="27">
        <f t="shared" si="115"/>
        <v>25.9</v>
      </c>
      <c r="AD297" s="26">
        <f t="shared" si="116"/>
        <v>18.86</v>
      </c>
      <c r="AE297" s="27">
        <f t="shared" si="117"/>
        <v>32.340000000000003</v>
      </c>
      <c r="AF297" s="26">
        <f t="shared" si="118"/>
        <v>21.619999999999997</v>
      </c>
      <c r="AG297" s="27">
        <f t="shared" si="119"/>
        <v>38.779999999999994</v>
      </c>
      <c r="AH297" s="26">
        <f t="shared" si="120"/>
        <v>29.209999999999997</v>
      </c>
      <c r="AI297" s="27">
        <f t="shared" si="121"/>
        <v>56.489999999999988</v>
      </c>
      <c r="AJ297" s="28" t="s">
        <v>45</v>
      </c>
      <c r="AK297" s="15" t="s">
        <v>46</v>
      </c>
    </row>
    <row r="298" spans="1:37" ht="14.25" customHeight="1">
      <c r="A298" s="15" t="s">
        <v>58</v>
      </c>
      <c r="B298" s="16">
        <v>1</v>
      </c>
      <c r="C298" s="32" t="s">
        <v>40</v>
      </c>
      <c r="D298" s="15" t="s">
        <v>41</v>
      </c>
      <c r="E298" s="33" t="s">
        <v>42</v>
      </c>
      <c r="F298" s="17">
        <v>28</v>
      </c>
      <c r="G298" s="19">
        <v>4</v>
      </c>
      <c r="H298" s="19">
        <f t="shared" si="125"/>
        <v>112</v>
      </c>
      <c r="I298" s="20" t="s">
        <v>42</v>
      </c>
      <c r="J298" s="21" t="s">
        <v>48</v>
      </c>
      <c r="K298" s="21"/>
      <c r="L298" s="31">
        <f>1.77*4</f>
        <v>7.08</v>
      </c>
      <c r="M298" s="32" t="s">
        <v>59</v>
      </c>
      <c r="N298" s="28">
        <v>112</v>
      </c>
      <c r="O298" s="25">
        <v>84</v>
      </c>
      <c r="U298" s="22"/>
      <c r="V298" s="22">
        <v>8</v>
      </c>
      <c r="W298" s="21">
        <v>5</v>
      </c>
      <c r="X298" s="21">
        <f>X295*(1+0.6+0.4+0.3)+4</f>
        <v>52.667999999999985</v>
      </c>
      <c r="Y298" s="21">
        <f>Y295*(1+0.6+0.4+0.3)+4</f>
        <v>52.667999999999985</v>
      </c>
      <c r="Z298" s="21">
        <f>Z295*(1+0.6+0.4+0.3)+4</f>
        <v>52.667999999999985</v>
      </c>
      <c r="AA298" s="21">
        <f>AA295*(1+0.6+0.4+0.3)+4</f>
        <v>52.667999999999985</v>
      </c>
      <c r="AB298" s="26">
        <f t="shared" si="114"/>
        <v>16.900399999999998</v>
      </c>
      <c r="AC298" s="27">
        <f t="shared" si="115"/>
        <v>27.767599999999987</v>
      </c>
      <c r="AD298" s="26">
        <f t="shared" si="116"/>
        <v>16.900399999999998</v>
      </c>
      <c r="AE298" s="27">
        <f t="shared" si="117"/>
        <v>27.767599999999987</v>
      </c>
      <c r="AF298" s="26">
        <f t="shared" si="118"/>
        <v>16.900399999999998</v>
      </c>
      <c r="AG298" s="27">
        <f t="shared" si="119"/>
        <v>27.767599999999987</v>
      </c>
      <c r="AH298" s="26">
        <f t="shared" si="120"/>
        <v>16.900399999999998</v>
      </c>
      <c r="AI298" s="27">
        <f t="shared" si="121"/>
        <v>27.767599999999987</v>
      </c>
      <c r="AJ298" s="28" t="s">
        <v>45</v>
      </c>
      <c r="AK298" s="15" t="s">
        <v>60</v>
      </c>
    </row>
    <row r="299" spans="1:37" ht="14.25" customHeight="1">
      <c r="A299" s="15" t="s">
        <v>68</v>
      </c>
      <c r="B299" s="35" t="s">
        <v>69</v>
      </c>
      <c r="C299" s="17" t="s">
        <v>70</v>
      </c>
      <c r="D299" s="15" t="s">
        <v>41</v>
      </c>
      <c r="E299" s="33" t="s">
        <v>42</v>
      </c>
      <c r="F299" s="32">
        <v>63</v>
      </c>
      <c r="G299" s="19">
        <v>4</v>
      </c>
      <c r="H299" s="19">
        <f t="shared" si="125"/>
        <v>252</v>
      </c>
      <c r="I299" s="38" t="s">
        <v>42</v>
      </c>
      <c r="J299" s="15" t="s">
        <v>71</v>
      </c>
      <c r="K299" s="32"/>
      <c r="L299" s="37">
        <f>2.83*4</f>
        <v>11.32</v>
      </c>
      <c r="M299" s="32" t="s">
        <v>72</v>
      </c>
      <c r="N299" s="17">
        <v>252</v>
      </c>
      <c r="O299" s="28">
        <v>308</v>
      </c>
      <c r="U299" s="21"/>
      <c r="V299" s="21">
        <f>L299</f>
        <v>11.32</v>
      </c>
      <c r="W299" s="21">
        <v>5</v>
      </c>
      <c r="X299" s="21">
        <f>(20*(1+0.6+0.4+0.3))+(V299-4)</f>
        <v>53.32</v>
      </c>
      <c r="Y299" s="21">
        <f>(24*(1+0.6+0.4+0.3))+(V299-4)</f>
        <v>62.519999999999996</v>
      </c>
      <c r="Z299" s="21">
        <f>(28*(1+0.6+0.4+0.3))+(V299-4)</f>
        <v>71.72</v>
      </c>
      <c r="AA299" s="21">
        <f>(39*(1+0.6+0.4+0.3))+(V299-4)</f>
        <v>97.019999999999982</v>
      </c>
      <c r="AB299" s="26">
        <f t="shared" si="114"/>
        <v>16.100000000000001</v>
      </c>
      <c r="AC299" s="27">
        <f t="shared" si="115"/>
        <v>25.9</v>
      </c>
      <c r="AD299" s="26">
        <f t="shared" si="116"/>
        <v>18.86</v>
      </c>
      <c r="AE299" s="27">
        <f t="shared" si="117"/>
        <v>32.339999999999996</v>
      </c>
      <c r="AF299" s="26">
        <f t="shared" si="118"/>
        <v>21.619999999999997</v>
      </c>
      <c r="AG299" s="27">
        <f t="shared" si="119"/>
        <v>38.779999999999994</v>
      </c>
      <c r="AH299" s="26">
        <f t="shared" si="120"/>
        <v>29.209999999999997</v>
      </c>
      <c r="AI299" s="27">
        <f t="shared" si="121"/>
        <v>56.489999999999988</v>
      </c>
      <c r="AJ299" s="28" t="s">
        <v>45</v>
      </c>
    </row>
    <row r="300" spans="1:37" ht="14.25" customHeight="1">
      <c r="A300" s="15" t="s">
        <v>73</v>
      </c>
      <c r="B300" s="35">
        <v>75</v>
      </c>
      <c r="C300" s="17" t="s">
        <v>70</v>
      </c>
      <c r="D300" s="15" t="s">
        <v>41</v>
      </c>
      <c r="E300" s="33" t="s">
        <v>42</v>
      </c>
      <c r="F300" s="17">
        <v>84</v>
      </c>
      <c r="G300" s="19">
        <v>4</v>
      </c>
      <c r="H300" s="19">
        <f t="shared" si="125"/>
        <v>336</v>
      </c>
      <c r="I300" s="38" t="s">
        <v>42</v>
      </c>
      <c r="J300" s="32"/>
      <c r="K300" s="32"/>
      <c r="L300" s="37">
        <f>2.57*4</f>
        <v>10.28</v>
      </c>
      <c r="M300" s="32" t="s">
        <v>72</v>
      </c>
      <c r="N300" s="17">
        <v>336</v>
      </c>
      <c r="O300" s="28">
        <v>308</v>
      </c>
      <c r="U300" s="21"/>
      <c r="V300" s="21">
        <f>L300</f>
        <v>10.28</v>
      </c>
      <c r="W300" s="21">
        <v>5</v>
      </c>
      <c r="X300" s="21">
        <f>(20*(1+0.6+0.4+0.3))+(V300-4)</f>
        <v>52.28</v>
      </c>
      <c r="Y300" s="21">
        <f>(24*(1+0.6+0.4+0.3))+(V300-4)</f>
        <v>61.48</v>
      </c>
      <c r="Z300" s="21">
        <f>(28*(1+0.6+0.4+0.3))+(V300-4)</f>
        <v>70.679999999999993</v>
      </c>
      <c r="AA300" s="21">
        <f>(39*(1+0.6+0.4+0.3))+(V300-4)</f>
        <v>95.97999999999999</v>
      </c>
      <c r="AB300" s="26">
        <f t="shared" si="114"/>
        <v>16.100000000000001</v>
      </c>
      <c r="AC300" s="27">
        <f t="shared" si="115"/>
        <v>25.9</v>
      </c>
      <c r="AD300" s="26">
        <f t="shared" si="116"/>
        <v>18.86</v>
      </c>
      <c r="AE300" s="27">
        <f t="shared" si="117"/>
        <v>32.339999999999996</v>
      </c>
      <c r="AF300" s="26">
        <f t="shared" si="118"/>
        <v>21.619999999999997</v>
      </c>
      <c r="AG300" s="27">
        <f t="shared" si="119"/>
        <v>38.779999999999994</v>
      </c>
      <c r="AH300" s="26">
        <f t="shared" si="120"/>
        <v>29.209999999999997</v>
      </c>
      <c r="AI300" s="27">
        <f t="shared" si="121"/>
        <v>56.489999999999988</v>
      </c>
      <c r="AJ300" s="28" t="s">
        <v>45</v>
      </c>
    </row>
    <row r="301" spans="1:37" ht="14.25" customHeight="1">
      <c r="A301" s="15" t="s">
        <v>74</v>
      </c>
      <c r="B301" s="35" t="s">
        <v>69</v>
      </c>
      <c r="C301" s="17" t="s">
        <v>70</v>
      </c>
      <c r="D301" s="15" t="s">
        <v>41</v>
      </c>
      <c r="E301" s="33" t="s">
        <v>42</v>
      </c>
      <c r="F301" s="17">
        <v>63</v>
      </c>
      <c r="G301" s="19">
        <v>4</v>
      </c>
      <c r="H301" s="19">
        <f t="shared" si="125"/>
        <v>252</v>
      </c>
      <c r="I301" s="38" t="s">
        <v>42</v>
      </c>
      <c r="J301" s="15" t="s">
        <v>71</v>
      </c>
      <c r="K301" s="32"/>
      <c r="L301" s="40">
        <f>1.88*4</f>
        <v>7.52</v>
      </c>
      <c r="M301" s="32" t="s">
        <v>72</v>
      </c>
      <c r="N301" s="17">
        <v>252</v>
      </c>
      <c r="O301" s="28">
        <v>308</v>
      </c>
      <c r="U301" s="21"/>
      <c r="V301" s="21">
        <v>8</v>
      </c>
      <c r="W301" s="21">
        <v>5</v>
      </c>
      <c r="X301" s="21">
        <f>X298*(1+0.6+0.4+0.3)+4</f>
        <v>125.13639999999995</v>
      </c>
      <c r="Y301" s="21">
        <f>Y298*(1+0.6+0.4+0.3)+4</f>
        <v>125.13639999999995</v>
      </c>
      <c r="Z301" s="21">
        <f>Z298*(1+0.6+0.4+0.3)+4</f>
        <v>125.13639999999995</v>
      </c>
      <c r="AA301" s="21">
        <f>AA298*(1+0.6+0.4+0.3)+4</f>
        <v>125.13639999999995</v>
      </c>
      <c r="AB301" s="26">
        <f t="shared" si="114"/>
        <v>38.640919999999987</v>
      </c>
      <c r="AC301" s="27">
        <f t="shared" si="115"/>
        <v>78.495479999999958</v>
      </c>
      <c r="AD301" s="26">
        <f t="shared" si="116"/>
        <v>38.640919999999987</v>
      </c>
      <c r="AE301" s="27">
        <f t="shared" si="117"/>
        <v>78.495479999999958</v>
      </c>
      <c r="AF301" s="26">
        <f t="shared" si="118"/>
        <v>38.640919999999987</v>
      </c>
      <c r="AG301" s="27">
        <f t="shared" si="119"/>
        <v>78.495479999999958</v>
      </c>
      <c r="AH301" s="26">
        <f t="shared" si="120"/>
        <v>38.640919999999987</v>
      </c>
      <c r="AI301" s="27">
        <f t="shared" si="121"/>
        <v>78.495479999999958</v>
      </c>
      <c r="AJ301" s="28" t="s">
        <v>45</v>
      </c>
    </row>
    <row r="302" spans="1:37" ht="14.25" customHeight="1">
      <c r="A302" s="15" t="s">
        <v>75</v>
      </c>
      <c r="B302" s="35" t="s">
        <v>69</v>
      </c>
      <c r="C302" s="17" t="s">
        <v>70</v>
      </c>
      <c r="D302" s="15" t="s">
        <v>41</v>
      </c>
      <c r="E302" s="33" t="s">
        <v>42</v>
      </c>
      <c r="F302" s="32">
        <v>63</v>
      </c>
      <c r="G302" s="19">
        <v>4</v>
      </c>
      <c r="H302" s="19">
        <f t="shared" si="125"/>
        <v>252</v>
      </c>
      <c r="I302" s="38" t="s">
        <v>42</v>
      </c>
      <c r="J302" s="15" t="s">
        <v>71</v>
      </c>
      <c r="K302" s="32"/>
      <c r="L302" s="37">
        <f>2.8*4</f>
        <v>11.2</v>
      </c>
      <c r="M302" s="32" t="s">
        <v>72</v>
      </c>
      <c r="N302" s="17">
        <v>252</v>
      </c>
      <c r="O302" s="28">
        <v>308</v>
      </c>
      <c r="U302" s="21"/>
      <c r="V302" s="21">
        <f t="shared" ref="V302:V308" si="126">L302</f>
        <v>11.2</v>
      </c>
      <c r="W302" s="21">
        <v>5</v>
      </c>
      <c r="X302" s="21">
        <f>(20*(1+0.6+0.4+0.3))+(V302-4)</f>
        <v>53.2</v>
      </c>
      <c r="Y302" s="21">
        <f>(24*(1+0.6+0.4+0.3))+(V302-4)</f>
        <v>62.399999999999991</v>
      </c>
      <c r="Z302" s="21">
        <f>(28*(1+0.6+0.4+0.3))+(V302-4)</f>
        <v>71.599999999999994</v>
      </c>
      <c r="AA302" s="21">
        <f>(39*(1+0.6+0.4+0.3))+(V302-4)</f>
        <v>96.899999999999991</v>
      </c>
      <c r="AB302" s="26">
        <f t="shared" si="114"/>
        <v>16.100000000000001</v>
      </c>
      <c r="AC302" s="27">
        <f t="shared" si="115"/>
        <v>25.9</v>
      </c>
      <c r="AD302" s="26">
        <f t="shared" si="116"/>
        <v>18.859999999999996</v>
      </c>
      <c r="AE302" s="27">
        <f t="shared" si="117"/>
        <v>32.339999999999989</v>
      </c>
      <c r="AF302" s="26">
        <f t="shared" si="118"/>
        <v>21.619999999999997</v>
      </c>
      <c r="AG302" s="27">
        <f t="shared" si="119"/>
        <v>38.779999999999994</v>
      </c>
      <c r="AH302" s="26">
        <f t="shared" si="120"/>
        <v>29.209999999999997</v>
      </c>
      <c r="AI302" s="27">
        <f t="shared" si="121"/>
        <v>56.489999999999988</v>
      </c>
      <c r="AJ302" s="28" t="s">
        <v>45</v>
      </c>
    </row>
    <row r="303" spans="1:37" ht="14.25" customHeight="1">
      <c r="A303" s="15" t="s">
        <v>76</v>
      </c>
      <c r="B303" s="35" t="s">
        <v>69</v>
      </c>
      <c r="C303" s="17" t="s">
        <v>70</v>
      </c>
      <c r="D303" s="15" t="s">
        <v>41</v>
      </c>
      <c r="E303" s="33" t="s">
        <v>42</v>
      </c>
      <c r="F303" s="32">
        <v>63</v>
      </c>
      <c r="G303" s="19">
        <v>4</v>
      </c>
      <c r="H303" s="19">
        <f t="shared" si="125"/>
        <v>252</v>
      </c>
      <c r="I303" s="38" t="s">
        <v>42</v>
      </c>
      <c r="J303" s="15" t="s">
        <v>71</v>
      </c>
      <c r="K303" s="32"/>
      <c r="L303" s="37">
        <f>5.85*4</f>
        <v>23.4</v>
      </c>
      <c r="M303" s="32" t="s">
        <v>72</v>
      </c>
      <c r="N303" s="17">
        <v>252</v>
      </c>
      <c r="O303" s="28">
        <v>308</v>
      </c>
      <c r="U303" s="21"/>
      <c r="V303" s="21">
        <f t="shared" si="126"/>
        <v>23.4</v>
      </c>
      <c r="W303" s="21">
        <v>5</v>
      </c>
      <c r="X303" s="21">
        <f>(20*(1+0.6+0.4+0.3))+(V303-4)</f>
        <v>65.400000000000006</v>
      </c>
      <c r="Y303" s="21">
        <f>(24*(1+0.6+0.4+0.3))+(V303-4)</f>
        <v>74.599999999999994</v>
      </c>
      <c r="Z303" s="21">
        <f>(28*(1+0.6+0.4+0.3))+(V303-4)</f>
        <v>83.799999999999983</v>
      </c>
      <c r="AA303" s="21">
        <f>(39*(1+0.6+0.4+0.3))+(V303-4)</f>
        <v>109.1</v>
      </c>
      <c r="AB303" s="26">
        <f t="shared" si="114"/>
        <v>16.100000000000001</v>
      </c>
      <c r="AC303" s="27">
        <f t="shared" si="115"/>
        <v>25.900000000000002</v>
      </c>
      <c r="AD303" s="26">
        <f t="shared" si="116"/>
        <v>18.86</v>
      </c>
      <c r="AE303" s="27">
        <f t="shared" si="117"/>
        <v>32.339999999999996</v>
      </c>
      <c r="AF303" s="26">
        <f t="shared" si="118"/>
        <v>21.619999999999994</v>
      </c>
      <c r="AG303" s="27">
        <f t="shared" si="119"/>
        <v>38.779999999999987</v>
      </c>
      <c r="AH303" s="26">
        <f t="shared" si="120"/>
        <v>29.209999999999997</v>
      </c>
      <c r="AI303" s="27">
        <f t="shared" si="121"/>
        <v>56.489999999999988</v>
      </c>
      <c r="AJ303" s="28" t="s">
        <v>45</v>
      </c>
    </row>
    <row r="304" spans="1:37" ht="14.25" customHeight="1">
      <c r="A304" s="15" t="s">
        <v>77</v>
      </c>
      <c r="B304" s="41">
        <v>45381</v>
      </c>
      <c r="C304" s="17" t="s">
        <v>78</v>
      </c>
      <c r="D304" s="15" t="s">
        <v>41</v>
      </c>
      <c r="E304" s="33" t="s">
        <v>42</v>
      </c>
      <c r="F304" s="32">
        <v>63</v>
      </c>
      <c r="G304" s="19">
        <v>4</v>
      </c>
      <c r="H304" s="19">
        <f t="shared" si="125"/>
        <v>252</v>
      </c>
      <c r="I304" s="38" t="s">
        <v>42</v>
      </c>
      <c r="J304" s="15" t="s">
        <v>71</v>
      </c>
      <c r="K304" s="32"/>
      <c r="L304" s="37">
        <f>14.7*4</f>
        <v>58.8</v>
      </c>
      <c r="M304" s="32" t="s">
        <v>72</v>
      </c>
      <c r="N304" s="17">
        <v>252</v>
      </c>
      <c r="O304" s="28">
        <v>308</v>
      </c>
      <c r="U304" s="21"/>
      <c r="V304" s="21">
        <f t="shared" si="126"/>
        <v>58.8</v>
      </c>
      <c r="W304" s="21">
        <v>5</v>
      </c>
      <c r="X304" s="21">
        <f>(20*(1+0.6+0.4+0.3))+(V304-4)</f>
        <v>100.8</v>
      </c>
      <c r="Y304" s="21">
        <f>(24*(1+0.6+0.4+0.3))+(V304-4)</f>
        <v>110</v>
      </c>
      <c r="Z304" s="21">
        <f>(28*(1+0.6+0.4+0.3))+(V304-4)</f>
        <v>119.19999999999999</v>
      </c>
      <c r="AA304" s="21">
        <f>(39*(1+0.6+0.4+0.3))+(V304-4)</f>
        <v>144.5</v>
      </c>
      <c r="AB304" s="26">
        <f t="shared" si="114"/>
        <v>16.100000000000001</v>
      </c>
      <c r="AC304" s="27">
        <f t="shared" si="115"/>
        <v>25.9</v>
      </c>
      <c r="AD304" s="26">
        <f t="shared" si="116"/>
        <v>18.86</v>
      </c>
      <c r="AE304" s="27">
        <f t="shared" si="117"/>
        <v>32.340000000000003</v>
      </c>
      <c r="AF304" s="26">
        <f t="shared" si="118"/>
        <v>21.619999999999997</v>
      </c>
      <c r="AG304" s="27">
        <f t="shared" si="119"/>
        <v>38.779999999999994</v>
      </c>
      <c r="AH304" s="26">
        <f t="shared" si="120"/>
        <v>29.21</v>
      </c>
      <c r="AI304" s="27">
        <f t="shared" si="121"/>
        <v>56.489999999999995</v>
      </c>
      <c r="AJ304" s="28" t="s">
        <v>45</v>
      </c>
    </row>
    <row r="305" spans="1:40" ht="14.25" customHeight="1">
      <c r="A305" s="15" t="s">
        <v>79</v>
      </c>
      <c r="B305" s="35" t="s">
        <v>80</v>
      </c>
      <c r="C305" s="17" t="s">
        <v>70</v>
      </c>
      <c r="D305" s="15" t="s">
        <v>41</v>
      </c>
      <c r="E305" s="33" t="s">
        <v>81</v>
      </c>
      <c r="F305" s="17">
        <v>9</v>
      </c>
      <c r="G305" s="19">
        <v>4</v>
      </c>
      <c r="H305" s="19">
        <f t="shared" si="125"/>
        <v>36</v>
      </c>
      <c r="I305" s="38" t="s">
        <v>82</v>
      </c>
      <c r="J305" s="32"/>
      <c r="K305" s="32"/>
      <c r="L305" s="37">
        <f>19.51*4</f>
        <v>78.040000000000006</v>
      </c>
      <c r="M305" s="32" t="s">
        <v>72</v>
      </c>
      <c r="N305" s="17">
        <v>36</v>
      </c>
      <c r="O305" s="28">
        <v>308</v>
      </c>
      <c r="U305" s="21"/>
      <c r="V305" s="21">
        <f t="shared" si="126"/>
        <v>78.040000000000006</v>
      </c>
      <c r="W305" s="21">
        <v>5</v>
      </c>
      <c r="X305" s="21">
        <f>(20*(1+0.6+0.4+0.3))+(V305-4)</f>
        <v>120.04</v>
      </c>
      <c r="Y305" s="21">
        <f>(24*(1+0.6+0.4+0.3))+(V305-4)</f>
        <v>129.24</v>
      </c>
      <c r="Z305" s="21">
        <f>(28*(1+0.6+0.4+0.3))+(V305-4)</f>
        <v>138.44</v>
      </c>
      <c r="AA305" s="21">
        <f>(39*(1+0.6+0.4+0.3))+(V305-4)</f>
        <v>163.74</v>
      </c>
      <c r="AB305" s="26">
        <f t="shared" si="114"/>
        <v>16.100000000000001</v>
      </c>
      <c r="AC305" s="27">
        <f t="shared" si="115"/>
        <v>25.9</v>
      </c>
      <c r="AD305" s="26">
        <f t="shared" si="116"/>
        <v>18.86</v>
      </c>
      <c r="AE305" s="27">
        <f t="shared" si="117"/>
        <v>32.340000000000003</v>
      </c>
      <c r="AF305" s="26">
        <f t="shared" si="118"/>
        <v>21.619999999999997</v>
      </c>
      <c r="AG305" s="27">
        <f t="shared" si="119"/>
        <v>38.779999999999994</v>
      </c>
      <c r="AH305" s="26">
        <f t="shared" si="120"/>
        <v>29.21</v>
      </c>
      <c r="AI305" s="27">
        <f t="shared" si="121"/>
        <v>56.489999999999995</v>
      </c>
      <c r="AJ305" s="28" t="s">
        <v>45</v>
      </c>
    </row>
    <row r="306" spans="1:40" ht="14.25" customHeight="1">
      <c r="A306" s="15" t="s">
        <v>83</v>
      </c>
      <c r="B306" s="35">
        <v>75</v>
      </c>
      <c r="C306" s="17" t="s">
        <v>70</v>
      </c>
      <c r="D306" s="15" t="s">
        <v>41</v>
      </c>
      <c r="E306" s="33" t="s">
        <v>42</v>
      </c>
      <c r="F306" s="17">
        <f>84*1</f>
        <v>84</v>
      </c>
      <c r="G306" s="19">
        <v>4</v>
      </c>
      <c r="H306" s="19">
        <f t="shared" si="125"/>
        <v>336</v>
      </c>
      <c r="I306" s="38" t="s">
        <v>42</v>
      </c>
      <c r="J306" s="32"/>
      <c r="K306" s="32"/>
      <c r="L306" s="37">
        <f>9.55*4</f>
        <v>38.200000000000003</v>
      </c>
      <c r="M306" s="32" t="s">
        <v>72</v>
      </c>
      <c r="N306" s="17">
        <v>336</v>
      </c>
      <c r="O306" s="28">
        <v>308</v>
      </c>
      <c r="U306" s="21"/>
      <c r="V306" s="21">
        <f t="shared" si="126"/>
        <v>38.200000000000003</v>
      </c>
      <c r="W306" s="21">
        <v>5</v>
      </c>
      <c r="X306" s="21">
        <f>(20*(1+0.6+0.4+0.3))+(V306-4)</f>
        <v>80.2</v>
      </c>
      <c r="Y306" s="21">
        <f>(24*(1+0.6+0.4+0.3))+(V306-4)</f>
        <v>89.4</v>
      </c>
      <c r="Z306" s="21">
        <f>(28*(1+0.6+0.4+0.3))+(V306-4)</f>
        <v>98.6</v>
      </c>
      <c r="AA306" s="21">
        <f>(39*(1+0.6+0.4+0.3))+(V306-4)</f>
        <v>123.89999999999999</v>
      </c>
      <c r="AB306" s="26">
        <f t="shared" si="114"/>
        <v>16.100000000000001</v>
      </c>
      <c r="AC306" s="27">
        <f t="shared" si="115"/>
        <v>25.9</v>
      </c>
      <c r="AD306" s="26">
        <f t="shared" si="116"/>
        <v>18.86</v>
      </c>
      <c r="AE306" s="27">
        <f t="shared" si="117"/>
        <v>32.340000000000003</v>
      </c>
      <c r="AF306" s="26">
        <f t="shared" si="118"/>
        <v>21.619999999999997</v>
      </c>
      <c r="AG306" s="27">
        <f t="shared" si="119"/>
        <v>38.779999999999994</v>
      </c>
      <c r="AH306" s="26">
        <f t="shared" si="120"/>
        <v>29.209999999999997</v>
      </c>
      <c r="AI306" s="27">
        <f t="shared" si="121"/>
        <v>56.489999999999988</v>
      </c>
      <c r="AJ306" s="28" t="s">
        <v>45</v>
      </c>
    </row>
    <row r="307" spans="1:40" ht="14.25" customHeight="1">
      <c r="A307" s="38" t="s">
        <v>84</v>
      </c>
      <c r="B307" s="35">
        <v>250</v>
      </c>
      <c r="C307" s="28" t="s">
        <v>40</v>
      </c>
      <c r="D307" s="15" t="s">
        <v>41</v>
      </c>
      <c r="E307" s="38" t="s">
        <v>42</v>
      </c>
      <c r="F307" s="17">
        <v>28</v>
      </c>
      <c r="G307" s="19">
        <v>4</v>
      </c>
      <c r="H307" s="19">
        <f t="shared" si="125"/>
        <v>112</v>
      </c>
      <c r="I307" s="38" t="s">
        <v>42</v>
      </c>
      <c r="J307" s="32"/>
      <c r="K307" s="32"/>
      <c r="L307" s="37">
        <f>L304*4</f>
        <v>235.2</v>
      </c>
      <c r="M307" s="32" t="s">
        <v>85</v>
      </c>
      <c r="N307" s="17">
        <v>112</v>
      </c>
      <c r="O307" s="25">
        <v>112</v>
      </c>
      <c r="U307" s="21"/>
      <c r="V307" s="21">
        <f t="shared" si="126"/>
        <v>235.2</v>
      </c>
      <c r="W307" s="22">
        <v>5</v>
      </c>
      <c r="X307" s="21">
        <f>X304*(1+0.6+0.4+0.3)+($V$140-4)</f>
        <v>231.83999999999997</v>
      </c>
      <c r="Y307" s="21">
        <f>Y304*(1+0.6+0.4+0.3)+($V$140-4)</f>
        <v>252.99999999999997</v>
      </c>
      <c r="Z307" s="21">
        <f>Z304*(1+0.6+0.4+0.3)+($V$140-4)</f>
        <v>274.15999999999997</v>
      </c>
      <c r="AA307" s="21">
        <f>AA304*(1+0.6+0.4+0.3)+($V$140-4)</f>
        <v>332.34999999999997</v>
      </c>
      <c r="AB307" s="26">
        <f t="shared" si="114"/>
        <v>2.491999999999996</v>
      </c>
      <c r="AC307" s="27">
        <f t="shared" si="115"/>
        <v>-5.8520000000000092</v>
      </c>
      <c r="AD307" s="26">
        <f t="shared" si="116"/>
        <v>8.8399999999999945</v>
      </c>
      <c r="AE307" s="27">
        <f t="shared" si="117"/>
        <v>8.9599999999999866</v>
      </c>
      <c r="AF307" s="26">
        <f t="shared" si="118"/>
        <v>15.187999999999994</v>
      </c>
      <c r="AG307" s="27">
        <f t="shared" si="119"/>
        <v>23.771999999999984</v>
      </c>
      <c r="AH307" s="26">
        <f t="shared" si="120"/>
        <v>32.644999999999996</v>
      </c>
      <c r="AI307" s="27">
        <f t="shared" si="121"/>
        <v>64.504999999999981</v>
      </c>
      <c r="AJ307" s="28" t="s">
        <v>45</v>
      </c>
    </row>
    <row r="308" spans="1:40" ht="14.25" customHeight="1">
      <c r="A308" s="15" t="s">
        <v>84</v>
      </c>
      <c r="B308" s="16">
        <v>500</v>
      </c>
      <c r="C308" s="32" t="s">
        <v>40</v>
      </c>
      <c r="D308" s="15" t="s">
        <v>41</v>
      </c>
      <c r="E308" s="33" t="s">
        <v>42</v>
      </c>
      <c r="F308" s="17">
        <v>28</v>
      </c>
      <c r="G308" s="19">
        <v>4</v>
      </c>
      <c r="H308" s="19">
        <f t="shared" si="125"/>
        <v>112</v>
      </c>
      <c r="I308" s="38" t="s">
        <v>42</v>
      </c>
      <c r="J308" s="32"/>
      <c r="K308" s="32"/>
      <c r="L308" s="37">
        <f>6.57*4</f>
        <v>26.28</v>
      </c>
      <c r="M308" s="32" t="s">
        <v>85</v>
      </c>
      <c r="N308" s="17">
        <v>112</v>
      </c>
      <c r="O308" s="25">
        <v>112</v>
      </c>
      <c r="U308" s="21"/>
      <c r="V308" s="21">
        <f t="shared" si="126"/>
        <v>26.28</v>
      </c>
      <c r="W308" s="21">
        <v>5</v>
      </c>
      <c r="X308" s="21">
        <f>(20*(1+0.6+0.4+0.3))+(V308-4)</f>
        <v>68.28</v>
      </c>
      <c r="Y308" s="21">
        <f>(24*(1+0.6+0.4+0.3))+(V308-4)</f>
        <v>77.47999999999999</v>
      </c>
      <c r="Z308" s="21">
        <f>(28*(1+0.6+0.4+0.3))+(V308-4)</f>
        <v>86.679999999999993</v>
      </c>
      <c r="AA308" s="21">
        <f>(39*(1+0.6+0.4+0.3))+(V308-4)</f>
        <v>111.97999999999999</v>
      </c>
      <c r="AB308" s="26">
        <f t="shared" si="114"/>
        <v>16.100000000000001</v>
      </c>
      <c r="AC308" s="27">
        <f t="shared" si="115"/>
        <v>25.9</v>
      </c>
      <c r="AD308" s="26">
        <f t="shared" si="116"/>
        <v>18.859999999999996</v>
      </c>
      <c r="AE308" s="27">
        <f t="shared" si="117"/>
        <v>32.339999999999989</v>
      </c>
      <c r="AF308" s="26">
        <f t="shared" si="118"/>
        <v>21.619999999999997</v>
      </c>
      <c r="AG308" s="27">
        <f t="shared" si="119"/>
        <v>38.779999999999994</v>
      </c>
      <c r="AH308" s="26">
        <f t="shared" si="120"/>
        <v>29.209999999999997</v>
      </c>
      <c r="AI308" s="27">
        <f t="shared" si="121"/>
        <v>56.489999999999988</v>
      </c>
      <c r="AJ308" s="28" t="s">
        <v>45</v>
      </c>
    </row>
    <row r="309" spans="1:40" ht="14.25" customHeight="1">
      <c r="A309" s="15" t="s">
        <v>86</v>
      </c>
      <c r="B309" s="16">
        <v>250</v>
      </c>
      <c r="C309" s="32" t="s">
        <v>40</v>
      </c>
      <c r="D309" s="15" t="s">
        <v>41</v>
      </c>
      <c r="E309" s="33" t="s">
        <v>42</v>
      </c>
      <c r="F309" s="17">
        <v>28</v>
      </c>
      <c r="G309" s="19">
        <v>4</v>
      </c>
      <c r="H309" s="19">
        <f t="shared" si="125"/>
        <v>112</v>
      </c>
      <c r="I309" s="38" t="s">
        <v>42</v>
      </c>
      <c r="J309" s="32"/>
      <c r="K309" s="32"/>
      <c r="L309" s="39">
        <f>0.39*4</f>
        <v>1.56</v>
      </c>
      <c r="M309" s="32" t="s">
        <v>85</v>
      </c>
      <c r="N309" s="11">
        <f>6*28</f>
        <v>168</v>
      </c>
      <c r="O309" s="42">
        <v>56</v>
      </c>
      <c r="P309" s="1" t="s">
        <v>87</v>
      </c>
      <c r="Q309" s="28">
        <v>56</v>
      </c>
      <c r="R309" s="17">
        <f>6*28</f>
        <v>168</v>
      </c>
      <c r="U309" s="21"/>
      <c r="V309" s="21">
        <v>4</v>
      </c>
      <c r="W309" s="21">
        <v>5</v>
      </c>
      <c r="X309" s="21">
        <f t="shared" ref="X309:AA311" si="127">X306*(1+0.6+0.4+0.3)</f>
        <v>184.45999999999998</v>
      </c>
      <c r="Y309" s="21">
        <f t="shared" si="127"/>
        <v>205.62</v>
      </c>
      <c r="Z309" s="21">
        <f t="shared" si="127"/>
        <v>226.77999999999997</v>
      </c>
      <c r="AA309" s="21">
        <f t="shared" si="127"/>
        <v>284.96999999999997</v>
      </c>
      <c r="AB309" s="26">
        <f t="shared" si="114"/>
        <v>57.637999999999991</v>
      </c>
      <c r="AC309" s="27">
        <f t="shared" si="115"/>
        <v>122.82199999999997</v>
      </c>
      <c r="AD309" s="26">
        <f t="shared" si="116"/>
        <v>63.985999999999997</v>
      </c>
      <c r="AE309" s="27">
        <f t="shared" si="117"/>
        <v>137.63399999999999</v>
      </c>
      <c r="AF309" s="26">
        <f t="shared" si="118"/>
        <v>70.333999999999989</v>
      </c>
      <c r="AG309" s="27">
        <f t="shared" si="119"/>
        <v>152.44599999999997</v>
      </c>
      <c r="AH309" s="26">
        <f t="shared" si="120"/>
        <v>87.790999999999983</v>
      </c>
      <c r="AI309" s="27">
        <f t="shared" si="121"/>
        <v>193.17899999999997</v>
      </c>
      <c r="AJ309" s="28" t="s">
        <v>45</v>
      </c>
    </row>
    <row r="310" spans="1:40" ht="14.25" customHeight="1">
      <c r="A310" s="15" t="s">
        <v>86</v>
      </c>
      <c r="B310" s="16">
        <v>500</v>
      </c>
      <c r="C310" s="32" t="s">
        <v>40</v>
      </c>
      <c r="D310" s="15" t="s">
        <v>41</v>
      </c>
      <c r="E310" s="33" t="s">
        <v>42</v>
      </c>
      <c r="F310" s="17">
        <f>28*4</f>
        <v>112</v>
      </c>
      <c r="G310" s="19">
        <v>4</v>
      </c>
      <c r="H310" s="19">
        <f t="shared" si="125"/>
        <v>448</v>
      </c>
      <c r="I310" s="38" t="s">
        <v>42</v>
      </c>
      <c r="J310" s="32"/>
      <c r="K310" s="32"/>
      <c r="L310" s="39">
        <f>0.75*4</f>
        <v>3</v>
      </c>
      <c r="M310" s="32" t="s">
        <v>85</v>
      </c>
      <c r="N310" s="11">
        <f>6*28</f>
        <v>168</v>
      </c>
      <c r="O310" s="42">
        <v>56</v>
      </c>
      <c r="P310" s="1" t="s">
        <v>87</v>
      </c>
      <c r="Q310" s="28">
        <v>56</v>
      </c>
      <c r="R310" s="17">
        <f>6*28</f>
        <v>168</v>
      </c>
      <c r="U310" s="21"/>
      <c r="V310" s="21">
        <v>4</v>
      </c>
      <c r="W310" s="21">
        <v>5</v>
      </c>
      <c r="X310" s="21">
        <f t="shared" si="127"/>
        <v>533.23199999999986</v>
      </c>
      <c r="Y310" s="21">
        <f t="shared" si="127"/>
        <v>581.89999999999986</v>
      </c>
      <c r="Z310" s="21">
        <f t="shared" si="127"/>
        <v>630.56799999999987</v>
      </c>
      <c r="AA310" s="21">
        <f t="shared" si="127"/>
        <v>764.40499999999986</v>
      </c>
      <c r="AB310" s="26">
        <f t="shared" si="114"/>
        <v>162.26959999999994</v>
      </c>
      <c r="AC310" s="27">
        <f t="shared" si="115"/>
        <v>366.96239999999989</v>
      </c>
      <c r="AD310" s="26">
        <f t="shared" si="116"/>
        <v>176.86999999999995</v>
      </c>
      <c r="AE310" s="27">
        <f t="shared" si="117"/>
        <v>401.02999999999986</v>
      </c>
      <c r="AF310" s="26">
        <f t="shared" si="118"/>
        <v>191.47039999999996</v>
      </c>
      <c r="AG310" s="27">
        <f t="shared" si="119"/>
        <v>435.09759999999989</v>
      </c>
      <c r="AH310" s="26">
        <f t="shared" si="120"/>
        <v>231.62149999999994</v>
      </c>
      <c r="AI310" s="27">
        <f t="shared" si="121"/>
        <v>528.78349999999989</v>
      </c>
      <c r="AJ310" s="28" t="s">
        <v>45</v>
      </c>
    </row>
    <row r="311" spans="1:40" ht="14.25" customHeight="1">
      <c r="A311" s="15" t="s">
        <v>99</v>
      </c>
      <c r="B311" s="35">
        <v>20</v>
      </c>
      <c r="C311" s="17" t="s">
        <v>40</v>
      </c>
      <c r="D311" s="15" t="s">
        <v>41</v>
      </c>
      <c r="E311" s="33" t="s">
        <v>94</v>
      </c>
      <c r="F311" s="17">
        <f>28*1</f>
        <v>28</v>
      </c>
      <c r="G311" s="19">
        <v>4</v>
      </c>
      <c r="H311" s="19">
        <f t="shared" si="125"/>
        <v>112</v>
      </c>
      <c r="I311" s="38" t="s">
        <v>94</v>
      </c>
      <c r="J311" s="32"/>
      <c r="K311" s="32"/>
      <c r="L311" s="39">
        <f>0.87*4</f>
        <v>3.48</v>
      </c>
      <c r="M311" s="32" t="s">
        <v>100</v>
      </c>
      <c r="N311" s="17">
        <v>112</v>
      </c>
      <c r="O311" s="25">
        <v>168</v>
      </c>
      <c r="U311" s="21"/>
      <c r="V311" s="21">
        <v>4</v>
      </c>
      <c r="W311" s="21">
        <v>5</v>
      </c>
      <c r="X311" s="21">
        <f t="shared" si="127"/>
        <v>157.04399999999998</v>
      </c>
      <c r="Y311" s="21">
        <f t="shared" si="127"/>
        <v>178.20399999999995</v>
      </c>
      <c r="Z311" s="21">
        <f t="shared" si="127"/>
        <v>199.36399999999998</v>
      </c>
      <c r="AA311" s="21">
        <f t="shared" si="127"/>
        <v>257.55399999999997</v>
      </c>
      <c r="AB311" s="26">
        <f t="shared" ref="AB311:AB342" si="128">W311+(X311-V311-W311)*0.3</f>
        <v>49.413199999999996</v>
      </c>
      <c r="AC311" s="27">
        <f t="shared" ref="AC311:AC342" si="129">(X311-V311-W311)*0.7</f>
        <v>103.63079999999998</v>
      </c>
      <c r="AD311" s="26">
        <f t="shared" ref="AD311:AD342" si="130">W311+(Y311-V311-W311)*0.3</f>
        <v>55.761199999999981</v>
      </c>
      <c r="AE311" s="27">
        <f t="shared" ref="AE311:AE342" si="131">(Y311-V311-W311)*0.7</f>
        <v>118.44279999999996</v>
      </c>
      <c r="AF311" s="26">
        <f t="shared" ref="AF311:AF342" si="132">W311+(Z311-V311-W311)*0.3</f>
        <v>62.109199999999994</v>
      </c>
      <c r="AG311" s="27">
        <f t="shared" ref="AG311:AG342" si="133">(Z311-V311-W311)*0.7</f>
        <v>133.25479999999999</v>
      </c>
      <c r="AH311" s="26">
        <f t="shared" ref="AH311:AH342" si="134">W311+(AA311-V311-W311)*0.3</f>
        <v>79.566199999999995</v>
      </c>
      <c r="AI311" s="27">
        <f t="shared" ref="AI311:AI342" si="135">(AA311-V311-W311)*0.7</f>
        <v>173.98779999999996</v>
      </c>
      <c r="AJ311" s="28" t="s">
        <v>45</v>
      </c>
    </row>
    <row r="312" spans="1:40" ht="14.25" customHeight="1">
      <c r="A312" s="15" t="s">
        <v>99</v>
      </c>
      <c r="B312" s="35">
        <v>40</v>
      </c>
      <c r="C312" s="17" t="s">
        <v>40</v>
      </c>
      <c r="D312" s="15" t="s">
        <v>41</v>
      </c>
      <c r="E312" s="33" t="s">
        <v>94</v>
      </c>
      <c r="F312" s="17">
        <f>28*1</f>
        <v>28</v>
      </c>
      <c r="G312" s="19">
        <v>4</v>
      </c>
      <c r="H312" s="19">
        <f t="shared" si="125"/>
        <v>112</v>
      </c>
      <c r="I312" s="38" t="s">
        <v>94</v>
      </c>
      <c r="J312" s="32"/>
      <c r="K312" s="32"/>
      <c r="L312" s="40">
        <f>2.45*4</f>
        <v>9.8000000000000007</v>
      </c>
      <c r="M312" s="32" t="s">
        <v>100</v>
      </c>
      <c r="N312" s="17">
        <v>112</v>
      </c>
      <c r="O312" s="25">
        <v>168</v>
      </c>
      <c r="U312" s="21"/>
      <c r="V312" s="21">
        <v>8</v>
      </c>
      <c r="W312" s="21">
        <v>5</v>
      </c>
      <c r="X312" s="21">
        <f>X309*(1+0.6+0.4+0.3)+4</f>
        <v>428.25799999999992</v>
      </c>
      <c r="Y312" s="21">
        <f>Y309*(1+0.6+0.4+0.3)+4</f>
        <v>476.92599999999999</v>
      </c>
      <c r="Z312" s="21">
        <f>Z309*(1+0.6+0.4+0.3)+4</f>
        <v>525.59399999999994</v>
      </c>
      <c r="AA312" s="21">
        <f>AA309*(1+0.6+0.4+0.3)+4</f>
        <v>659.43099999999993</v>
      </c>
      <c r="AB312" s="26">
        <f t="shared" si="128"/>
        <v>129.57739999999995</v>
      </c>
      <c r="AC312" s="27">
        <f t="shared" si="129"/>
        <v>290.68059999999991</v>
      </c>
      <c r="AD312" s="26">
        <f t="shared" si="130"/>
        <v>144.17779999999999</v>
      </c>
      <c r="AE312" s="27">
        <f t="shared" si="131"/>
        <v>324.7482</v>
      </c>
      <c r="AF312" s="26">
        <f t="shared" si="132"/>
        <v>158.77819999999997</v>
      </c>
      <c r="AG312" s="27">
        <f t="shared" si="133"/>
        <v>358.81579999999991</v>
      </c>
      <c r="AH312" s="26">
        <f t="shared" si="134"/>
        <v>198.92929999999998</v>
      </c>
      <c r="AI312" s="27">
        <f t="shared" si="135"/>
        <v>452.50169999999991</v>
      </c>
      <c r="AJ312" s="28" t="s">
        <v>45</v>
      </c>
    </row>
    <row r="313" spans="1:40" ht="14.25" customHeight="1">
      <c r="A313" s="15" t="s">
        <v>101</v>
      </c>
      <c r="B313" s="35">
        <v>15</v>
      </c>
      <c r="C313" s="17" t="s">
        <v>40</v>
      </c>
      <c r="D313" s="15" t="s">
        <v>41</v>
      </c>
      <c r="E313" s="33" t="s">
        <v>94</v>
      </c>
      <c r="F313" s="17">
        <f>28*1</f>
        <v>28</v>
      </c>
      <c r="G313" s="19">
        <v>4</v>
      </c>
      <c r="H313" s="19">
        <f t="shared" si="125"/>
        <v>112</v>
      </c>
      <c r="I313" s="38" t="s">
        <v>94</v>
      </c>
      <c r="J313" s="32"/>
      <c r="K313" s="32"/>
      <c r="L313" s="39">
        <f>0.42*4</f>
        <v>1.68</v>
      </c>
      <c r="M313" s="32" t="s">
        <v>100</v>
      </c>
      <c r="N313" s="17">
        <v>112</v>
      </c>
      <c r="O313" s="25">
        <v>168</v>
      </c>
      <c r="U313" s="21"/>
      <c r="V313" s="21">
        <v>4</v>
      </c>
      <c r="W313" s="21">
        <v>5</v>
      </c>
      <c r="X313" s="21">
        <f t="shared" ref="X313:AA314" si="136">X310*(1+0.6+0.4+0.3)</f>
        <v>1226.4335999999996</v>
      </c>
      <c r="Y313" s="21">
        <f t="shared" si="136"/>
        <v>1338.3699999999997</v>
      </c>
      <c r="Z313" s="21">
        <f t="shared" si="136"/>
        <v>1450.3063999999995</v>
      </c>
      <c r="AA313" s="21">
        <f t="shared" si="136"/>
        <v>1758.1314999999995</v>
      </c>
      <c r="AB313" s="26">
        <f t="shared" si="128"/>
        <v>370.23007999999987</v>
      </c>
      <c r="AC313" s="27">
        <f t="shared" si="129"/>
        <v>852.20351999999968</v>
      </c>
      <c r="AD313" s="26">
        <f t="shared" si="130"/>
        <v>403.81099999999986</v>
      </c>
      <c r="AE313" s="27">
        <f t="shared" si="131"/>
        <v>930.55899999999974</v>
      </c>
      <c r="AF313" s="26">
        <f t="shared" si="132"/>
        <v>437.39191999999986</v>
      </c>
      <c r="AG313" s="27">
        <f t="shared" si="133"/>
        <v>1008.9144799999996</v>
      </c>
      <c r="AH313" s="26">
        <f t="shared" si="134"/>
        <v>529.73944999999981</v>
      </c>
      <c r="AI313" s="27">
        <f t="shared" si="135"/>
        <v>1224.3920499999995</v>
      </c>
      <c r="AJ313" s="28" t="s">
        <v>45</v>
      </c>
    </row>
    <row r="314" spans="1:40" ht="14.25" customHeight="1">
      <c r="A314" s="15" t="s">
        <v>101</v>
      </c>
      <c r="B314" s="35">
        <v>30</v>
      </c>
      <c r="C314" s="17" t="s">
        <v>40</v>
      </c>
      <c r="D314" s="15" t="s">
        <v>41</v>
      </c>
      <c r="E314" s="33" t="s">
        <v>94</v>
      </c>
      <c r="F314" s="17">
        <f>28*1</f>
        <v>28</v>
      </c>
      <c r="G314" s="19">
        <v>4</v>
      </c>
      <c r="H314" s="19">
        <f t="shared" si="125"/>
        <v>112</v>
      </c>
      <c r="I314" s="38" t="s">
        <v>94</v>
      </c>
      <c r="J314" s="32"/>
      <c r="K314" s="32"/>
      <c r="L314" s="39">
        <f>1.07*4</f>
        <v>4.28</v>
      </c>
      <c r="M314" s="32" t="s">
        <v>100</v>
      </c>
      <c r="N314" s="17">
        <v>112</v>
      </c>
      <c r="O314" s="25">
        <v>168</v>
      </c>
      <c r="U314" s="21"/>
      <c r="V314" s="21">
        <v>4</v>
      </c>
      <c r="W314" s="21">
        <v>5</v>
      </c>
      <c r="X314" s="21">
        <f t="shared" si="136"/>
        <v>361.20119999999991</v>
      </c>
      <c r="Y314" s="21">
        <f t="shared" si="136"/>
        <v>409.86919999999986</v>
      </c>
      <c r="Z314" s="21">
        <f t="shared" si="136"/>
        <v>458.53719999999993</v>
      </c>
      <c r="AA314" s="21">
        <f t="shared" si="136"/>
        <v>592.37419999999986</v>
      </c>
      <c r="AB314" s="26">
        <f t="shared" si="128"/>
        <v>110.66035999999997</v>
      </c>
      <c r="AC314" s="27">
        <f t="shared" si="129"/>
        <v>246.54083999999992</v>
      </c>
      <c r="AD314" s="26">
        <f t="shared" si="130"/>
        <v>125.26075999999995</v>
      </c>
      <c r="AE314" s="27">
        <f t="shared" si="131"/>
        <v>280.60843999999986</v>
      </c>
      <c r="AF314" s="26">
        <f t="shared" si="132"/>
        <v>139.86115999999998</v>
      </c>
      <c r="AG314" s="27">
        <f t="shared" si="133"/>
        <v>314.67603999999994</v>
      </c>
      <c r="AH314" s="26">
        <f t="shared" si="134"/>
        <v>180.01225999999994</v>
      </c>
      <c r="AI314" s="27">
        <f t="shared" si="135"/>
        <v>408.36193999999989</v>
      </c>
      <c r="AJ314" s="28" t="s">
        <v>45</v>
      </c>
    </row>
    <row r="315" spans="1:40" ht="14.25" customHeight="1">
      <c r="A315" s="15" t="s">
        <v>102</v>
      </c>
      <c r="B315" s="35">
        <v>20</v>
      </c>
      <c r="C315" s="17" t="s">
        <v>40</v>
      </c>
      <c r="D315" s="15" t="s">
        <v>41</v>
      </c>
      <c r="E315" s="33" t="s">
        <v>94</v>
      </c>
      <c r="F315" s="17">
        <f>28*1</f>
        <v>28</v>
      </c>
      <c r="G315" s="19">
        <v>4</v>
      </c>
      <c r="H315" s="19">
        <f t="shared" si="125"/>
        <v>112</v>
      </c>
      <c r="I315" s="38" t="s">
        <v>94</v>
      </c>
      <c r="J315" s="32"/>
      <c r="K315" s="32"/>
      <c r="L315" s="37">
        <f>3.64*4</f>
        <v>14.56</v>
      </c>
      <c r="M315" s="32" t="s">
        <v>100</v>
      </c>
      <c r="N315" s="17">
        <v>112</v>
      </c>
      <c r="O315" s="25">
        <v>168</v>
      </c>
      <c r="U315" s="21"/>
      <c r="V315" s="21">
        <f>L315</f>
        <v>14.56</v>
      </c>
      <c r="W315" s="21">
        <v>5</v>
      </c>
      <c r="X315" s="21">
        <f>(20*(1+0.6+0.4+0.3))+(V315-4)</f>
        <v>56.56</v>
      </c>
      <c r="Y315" s="21">
        <f>(24*(1+0.6+0.4+0.3))+(V315-4)</f>
        <v>65.759999999999991</v>
      </c>
      <c r="Z315" s="21">
        <f>(28*(1+0.6+0.4+0.3))+(V315-4)</f>
        <v>74.959999999999994</v>
      </c>
      <c r="AA315" s="21">
        <f>(39*(1+0.6+0.4+0.3))+(V315-4)</f>
        <v>100.25999999999999</v>
      </c>
      <c r="AB315" s="26">
        <f t="shared" si="128"/>
        <v>16.100000000000001</v>
      </c>
      <c r="AC315" s="27">
        <f t="shared" si="129"/>
        <v>25.9</v>
      </c>
      <c r="AD315" s="26">
        <f t="shared" si="130"/>
        <v>18.859999999999996</v>
      </c>
      <c r="AE315" s="27">
        <f t="shared" si="131"/>
        <v>32.339999999999989</v>
      </c>
      <c r="AF315" s="26">
        <f t="shared" si="132"/>
        <v>21.619999999999997</v>
      </c>
      <c r="AG315" s="27">
        <f t="shared" si="133"/>
        <v>38.779999999999994</v>
      </c>
      <c r="AH315" s="26">
        <f t="shared" si="134"/>
        <v>29.209999999999997</v>
      </c>
      <c r="AI315" s="27">
        <f t="shared" si="135"/>
        <v>56.489999999999988</v>
      </c>
      <c r="AJ315" s="28" t="s">
        <v>45</v>
      </c>
    </row>
    <row r="316" spans="1:40" ht="14.25" customHeight="1">
      <c r="A316" s="15" t="s">
        <v>111</v>
      </c>
      <c r="B316" s="16">
        <v>120</v>
      </c>
      <c r="C316" s="32" t="s">
        <v>40</v>
      </c>
      <c r="D316" s="15" t="s">
        <v>41</v>
      </c>
      <c r="E316" s="33" t="s">
        <v>94</v>
      </c>
      <c r="F316" s="17">
        <v>84</v>
      </c>
      <c r="G316" s="19">
        <v>4</v>
      </c>
      <c r="H316" s="19">
        <f t="shared" si="125"/>
        <v>336</v>
      </c>
      <c r="I316" s="38" t="s">
        <v>94</v>
      </c>
      <c r="J316" s="32"/>
      <c r="K316" s="32"/>
      <c r="L316" s="37">
        <f>24.12*4</f>
        <v>96.48</v>
      </c>
      <c r="M316" s="32" t="s">
        <v>112</v>
      </c>
      <c r="N316" s="17">
        <v>336</v>
      </c>
      <c r="O316" s="25">
        <v>84</v>
      </c>
      <c r="U316" s="21"/>
      <c r="V316" s="21">
        <f>L316</f>
        <v>96.48</v>
      </c>
      <c r="W316" s="21">
        <v>5</v>
      </c>
      <c r="X316" s="21">
        <f>(20*(1+0.6+0.4+0.3))+(V316-4)</f>
        <v>138.48000000000002</v>
      </c>
      <c r="Y316" s="21">
        <f>(24*(1+0.6+0.4+0.3))+(V316-4)</f>
        <v>147.68</v>
      </c>
      <c r="Z316" s="21">
        <f>(28*(1+0.6+0.4+0.3))+(V316-4)</f>
        <v>156.88</v>
      </c>
      <c r="AA316" s="21">
        <f>(39*(1+0.6+0.4+0.3))+(V316-4)</f>
        <v>182.18</v>
      </c>
      <c r="AB316" s="26">
        <f t="shared" si="128"/>
        <v>16.100000000000001</v>
      </c>
      <c r="AC316" s="27">
        <f t="shared" si="129"/>
        <v>25.900000000000009</v>
      </c>
      <c r="AD316" s="26">
        <f t="shared" si="130"/>
        <v>18.86</v>
      </c>
      <c r="AE316" s="27">
        <f t="shared" si="131"/>
        <v>32.340000000000003</v>
      </c>
      <c r="AF316" s="26">
        <f t="shared" si="132"/>
        <v>21.619999999999997</v>
      </c>
      <c r="AG316" s="27">
        <f t="shared" si="133"/>
        <v>38.779999999999994</v>
      </c>
      <c r="AH316" s="26">
        <f t="shared" si="134"/>
        <v>29.21</v>
      </c>
      <c r="AI316" s="27">
        <f t="shared" si="135"/>
        <v>56.489999999999995</v>
      </c>
      <c r="AJ316" s="28" t="s">
        <v>45</v>
      </c>
    </row>
    <row r="317" spans="1:40" ht="14.25" customHeight="1">
      <c r="A317" s="15" t="s">
        <v>113</v>
      </c>
      <c r="B317" s="16">
        <v>120</v>
      </c>
      <c r="C317" s="32" t="s">
        <v>40</v>
      </c>
      <c r="D317" s="15" t="s">
        <v>41</v>
      </c>
      <c r="E317" s="33" t="s">
        <v>42</v>
      </c>
      <c r="F317" s="17">
        <v>30</v>
      </c>
      <c r="G317" s="19">
        <v>4</v>
      </c>
      <c r="H317" s="19">
        <f t="shared" si="125"/>
        <v>120</v>
      </c>
      <c r="I317" s="38" t="s">
        <v>42</v>
      </c>
      <c r="J317" s="32"/>
      <c r="K317" s="32"/>
      <c r="L317" s="39">
        <v>4</v>
      </c>
      <c r="M317" s="32" t="s">
        <v>114</v>
      </c>
      <c r="N317" s="15">
        <v>180</v>
      </c>
      <c r="O317" s="44">
        <v>140</v>
      </c>
      <c r="P317" s="32" t="s">
        <v>115</v>
      </c>
      <c r="Q317" s="28">
        <v>140</v>
      </c>
      <c r="R317" s="17">
        <v>180</v>
      </c>
      <c r="U317" s="21"/>
      <c r="V317" s="21">
        <v>4</v>
      </c>
      <c r="W317" s="21">
        <v>5</v>
      </c>
      <c r="X317" s="21">
        <f t="shared" ref="X317:AA318" si="137">X314*(1+0.6+0.4+0.3)</f>
        <v>830.76275999999973</v>
      </c>
      <c r="Y317" s="21">
        <f t="shared" si="137"/>
        <v>942.69915999999967</v>
      </c>
      <c r="Z317" s="21">
        <f t="shared" si="137"/>
        <v>1054.6355599999997</v>
      </c>
      <c r="AA317" s="21">
        <f t="shared" si="137"/>
        <v>1362.4606599999995</v>
      </c>
      <c r="AB317" s="26">
        <f t="shared" si="128"/>
        <v>251.52882799999992</v>
      </c>
      <c r="AC317" s="27">
        <f t="shared" si="129"/>
        <v>575.23393199999975</v>
      </c>
      <c r="AD317" s="26">
        <f t="shared" si="130"/>
        <v>285.10974799999991</v>
      </c>
      <c r="AE317" s="27">
        <f t="shared" si="131"/>
        <v>653.5894119999997</v>
      </c>
      <c r="AF317" s="26">
        <f t="shared" si="132"/>
        <v>318.6906679999999</v>
      </c>
      <c r="AG317" s="27">
        <f t="shared" si="133"/>
        <v>731.94489199999975</v>
      </c>
      <c r="AH317" s="26">
        <f t="shared" si="134"/>
        <v>411.03819799999985</v>
      </c>
      <c r="AI317" s="27">
        <f t="shared" si="135"/>
        <v>947.42246199999954</v>
      </c>
      <c r="AJ317" s="28" t="s">
        <v>45</v>
      </c>
      <c r="AK317" s="15" t="s">
        <v>116</v>
      </c>
      <c r="AL317" s="15" t="s">
        <v>117</v>
      </c>
      <c r="AM317" s="15" t="s">
        <v>118</v>
      </c>
      <c r="AN317" s="15" t="s">
        <v>119</v>
      </c>
    </row>
    <row r="318" spans="1:40" ht="14.25" customHeight="1">
      <c r="A318" s="15" t="s">
        <v>113</v>
      </c>
      <c r="B318" s="16">
        <v>180</v>
      </c>
      <c r="C318" s="32" t="s">
        <v>40</v>
      </c>
      <c r="D318" s="15" t="s">
        <v>41</v>
      </c>
      <c r="E318" s="33" t="s">
        <v>42</v>
      </c>
      <c r="F318" s="17">
        <v>30</v>
      </c>
      <c r="G318" s="19">
        <v>4</v>
      </c>
      <c r="H318" s="19">
        <f t="shared" si="125"/>
        <v>120</v>
      </c>
      <c r="I318" s="38" t="s">
        <v>42</v>
      </c>
      <c r="J318" s="32"/>
      <c r="K318" s="32"/>
      <c r="L318" s="39">
        <f>1.44*4</f>
        <v>5.76</v>
      </c>
      <c r="M318" s="32" t="s">
        <v>114</v>
      </c>
      <c r="N318" s="15">
        <v>180</v>
      </c>
      <c r="O318" s="44">
        <v>140</v>
      </c>
      <c r="P318" s="32" t="s">
        <v>115</v>
      </c>
      <c r="Q318" s="28">
        <v>140</v>
      </c>
      <c r="R318" s="17">
        <v>180</v>
      </c>
      <c r="U318" s="21"/>
      <c r="V318" s="21">
        <v>4</v>
      </c>
      <c r="W318" s="21">
        <v>5</v>
      </c>
      <c r="X318" s="21">
        <f t="shared" si="137"/>
        <v>130.08799999999999</v>
      </c>
      <c r="Y318" s="21">
        <f t="shared" si="137"/>
        <v>151.24799999999996</v>
      </c>
      <c r="Z318" s="21">
        <f t="shared" si="137"/>
        <v>172.40799999999996</v>
      </c>
      <c r="AA318" s="21">
        <f t="shared" si="137"/>
        <v>230.59799999999996</v>
      </c>
      <c r="AB318" s="26">
        <f t="shared" si="128"/>
        <v>41.3264</v>
      </c>
      <c r="AC318" s="27">
        <f t="shared" si="129"/>
        <v>84.761599999999987</v>
      </c>
      <c r="AD318" s="26">
        <f t="shared" si="130"/>
        <v>47.674399999999984</v>
      </c>
      <c r="AE318" s="27">
        <f t="shared" si="131"/>
        <v>99.573599999999971</v>
      </c>
      <c r="AF318" s="26">
        <f t="shared" si="132"/>
        <v>54.022399999999983</v>
      </c>
      <c r="AG318" s="27">
        <f t="shared" si="133"/>
        <v>114.38559999999997</v>
      </c>
      <c r="AH318" s="26">
        <f t="shared" si="134"/>
        <v>71.479399999999984</v>
      </c>
      <c r="AI318" s="27">
        <f t="shared" si="135"/>
        <v>155.11859999999996</v>
      </c>
      <c r="AJ318" s="28" t="s">
        <v>45</v>
      </c>
      <c r="AK318" s="15" t="s">
        <v>116</v>
      </c>
      <c r="AL318" s="15" t="s">
        <v>117</v>
      </c>
      <c r="AM318" s="15" t="s">
        <v>118</v>
      </c>
      <c r="AN318" s="15" t="s">
        <v>119</v>
      </c>
    </row>
    <row r="319" spans="1:40" ht="14.25" customHeight="1">
      <c r="A319" s="15" t="s">
        <v>120</v>
      </c>
      <c r="B319" s="35">
        <v>1</v>
      </c>
      <c r="C319" s="15" t="s">
        <v>121</v>
      </c>
      <c r="D319" s="15" t="s">
        <v>41</v>
      </c>
      <c r="E319" s="33" t="s">
        <v>122</v>
      </c>
      <c r="F319" s="15">
        <v>5</v>
      </c>
      <c r="G319" s="19">
        <v>4</v>
      </c>
      <c r="H319" s="19">
        <f t="shared" si="125"/>
        <v>20</v>
      </c>
      <c r="I319" s="38" t="s">
        <v>106</v>
      </c>
      <c r="J319" s="32"/>
      <c r="K319" s="32"/>
      <c r="L319" s="37">
        <f>3.41*4</f>
        <v>13.64</v>
      </c>
      <c r="M319" s="32" t="s">
        <v>114</v>
      </c>
      <c r="N319" s="17">
        <v>30</v>
      </c>
      <c r="O319" s="44">
        <v>140</v>
      </c>
      <c r="V319" s="17">
        <f t="shared" ref="V319:V324" si="138">L319</f>
        <v>13.64</v>
      </c>
      <c r="W319" s="21">
        <v>5</v>
      </c>
      <c r="X319" s="21">
        <f>(X316*(1+0.6+0.4+0.3))+(V319-4)</f>
        <v>328.14400000000001</v>
      </c>
      <c r="Y319" s="21">
        <f>(Y316*(1+0.6+0.4+0.3))+(V319-4)</f>
        <v>349.30399999999997</v>
      </c>
      <c r="Z319" s="21">
        <f>(Z316*(1+0.6+0.4+0.3))+(V319-4)</f>
        <v>370.46399999999994</v>
      </c>
      <c r="AA319" s="21">
        <f>(AA316*(1+0.6+0.4+0.3))+(V319-4)</f>
        <v>428.654</v>
      </c>
      <c r="AB319" s="26">
        <f t="shared" si="128"/>
        <v>97.851200000000006</v>
      </c>
      <c r="AC319" s="27">
        <f t="shared" si="129"/>
        <v>216.65280000000001</v>
      </c>
      <c r="AD319" s="26">
        <f t="shared" si="130"/>
        <v>104.19919999999999</v>
      </c>
      <c r="AE319" s="27">
        <f t="shared" si="131"/>
        <v>231.46479999999997</v>
      </c>
      <c r="AF319" s="26">
        <f t="shared" si="132"/>
        <v>110.54719999999999</v>
      </c>
      <c r="AG319" s="27">
        <f t="shared" si="133"/>
        <v>246.27679999999995</v>
      </c>
      <c r="AH319" s="26">
        <f t="shared" si="134"/>
        <v>128.0042</v>
      </c>
      <c r="AI319" s="27">
        <f t="shared" si="135"/>
        <v>287.00979999999998</v>
      </c>
      <c r="AJ319" s="28" t="s">
        <v>45</v>
      </c>
      <c r="AK319" s="15" t="s">
        <v>123</v>
      </c>
      <c r="AL319" s="15" t="s">
        <v>116</v>
      </c>
      <c r="AM319" s="15" t="s">
        <v>117</v>
      </c>
      <c r="AN319" s="15" t="s">
        <v>118</v>
      </c>
    </row>
    <row r="320" spans="1:40" ht="14.25" customHeight="1">
      <c r="A320" s="45" t="s">
        <v>124</v>
      </c>
      <c r="B320" s="35">
        <v>27.5</v>
      </c>
      <c r="C320" s="17" t="s">
        <v>70</v>
      </c>
      <c r="D320" s="15" t="s">
        <v>41</v>
      </c>
      <c r="E320" s="33" t="s">
        <v>125</v>
      </c>
      <c r="F320" s="28">
        <v>1</v>
      </c>
      <c r="G320" s="19">
        <v>4</v>
      </c>
      <c r="H320" s="19">
        <f t="shared" si="125"/>
        <v>4</v>
      </c>
      <c r="I320" s="38" t="s">
        <v>126</v>
      </c>
      <c r="J320" s="32"/>
      <c r="K320" s="32"/>
      <c r="L320" s="37">
        <f>L319+6.44</f>
        <v>20.080000000000002</v>
      </c>
      <c r="M320" s="32" t="s">
        <v>114</v>
      </c>
      <c r="N320" s="15">
        <v>6</v>
      </c>
      <c r="O320" s="44">
        <v>140</v>
      </c>
      <c r="P320" s="32" t="s">
        <v>127</v>
      </c>
      <c r="Q320" s="28">
        <v>140</v>
      </c>
      <c r="R320" s="17">
        <v>6</v>
      </c>
      <c r="V320" s="17">
        <f t="shared" si="138"/>
        <v>20.080000000000002</v>
      </c>
      <c r="W320" s="21">
        <v>5</v>
      </c>
      <c r="X320" s="21">
        <f>(X317*(1+0.6+0.4+0.3))+(V320-4)</f>
        <v>1926.8343479999992</v>
      </c>
      <c r="Y320" s="21">
        <f>(Y317*(1+0.6+0.4+0.3))+(V320-4)</f>
        <v>2184.2880679999989</v>
      </c>
      <c r="Z320" s="21">
        <f>(Z317*(1+0.6+0.4+0.3))+(V320-4)</f>
        <v>2441.7417879999989</v>
      </c>
      <c r="AA320" s="21">
        <f>(AA317*(1+0.6+0.4+0.3))+(V320-4)</f>
        <v>3149.7395179999985</v>
      </c>
      <c r="AB320" s="26">
        <f t="shared" si="128"/>
        <v>575.52630439999973</v>
      </c>
      <c r="AC320" s="27">
        <f t="shared" si="129"/>
        <v>1331.2280435999994</v>
      </c>
      <c r="AD320" s="26">
        <f t="shared" si="130"/>
        <v>652.76242039999966</v>
      </c>
      <c r="AE320" s="27">
        <f t="shared" si="131"/>
        <v>1511.4456475999991</v>
      </c>
      <c r="AF320" s="26">
        <f t="shared" si="132"/>
        <v>729.99853639999969</v>
      </c>
      <c r="AG320" s="27">
        <f t="shared" si="133"/>
        <v>1691.6632515999993</v>
      </c>
      <c r="AH320" s="26">
        <f t="shared" si="134"/>
        <v>942.39785539999957</v>
      </c>
      <c r="AI320" s="27">
        <f t="shared" si="135"/>
        <v>2187.261662599999</v>
      </c>
      <c r="AJ320" s="28" t="s">
        <v>45</v>
      </c>
      <c r="AK320" s="15" t="s">
        <v>117</v>
      </c>
      <c r="AL320" s="15" t="s">
        <v>118</v>
      </c>
      <c r="AM320" s="15" t="s">
        <v>123</v>
      </c>
      <c r="AN320" s="15" t="s">
        <v>119</v>
      </c>
    </row>
    <row r="321" spans="1:40" ht="14.25" customHeight="1">
      <c r="A321" s="15" t="s">
        <v>128</v>
      </c>
      <c r="B321" s="35">
        <v>0.1</v>
      </c>
      <c r="C321" s="17" t="s">
        <v>54</v>
      </c>
      <c r="D321" s="15" t="s">
        <v>41</v>
      </c>
      <c r="E321" s="33" t="s">
        <v>125</v>
      </c>
      <c r="F321" s="17">
        <v>1</v>
      </c>
      <c r="G321" s="19">
        <v>4</v>
      </c>
      <c r="H321" s="19">
        <f t="shared" si="125"/>
        <v>4</v>
      </c>
      <c r="I321" s="38" t="s">
        <v>126</v>
      </c>
      <c r="J321" s="32"/>
      <c r="K321" s="32"/>
      <c r="L321" s="37">
        <f>10.5+L320</f>
        <v>30.580000000000002</v>
      </c>
      <c r="M321" s="32" t="s">
        <v>114</v>
      </c>
      <c r="N321" s="15">
        <v>6</v>
      </c>
      <c r="O321" s="44">
        <v>140</v>
      </c>
      <c r="V321" s="17">
        <f t="shared" si="138"/>
        <v>30.580000000000002</v>
      </c>
      <c r="W321" s="21">
        <v>5</v>
      </c>
      <c r="X321" s="21">
        <f>(20*(1+0.6+0.4+0.3))+(V321-4)</f>
        <v>72.58</v>
      </c>
      <c r="Y321" s="21">
        <f>(24*(1+0.6+0.4+0.3))+(V321-4)</f>
        <v>81.78</v>
      </c>
      <c r="Z321" s="21">
        <f>(28*(1+0.6+0.4+0.3))+(V321-4)</f>
        <v>90.97999999999999</v>
      </c>
      <c r="AA321" s="21">
        <f>(39*(1+0.6+0.4+0.3))+(V321-4)</f>
        <v>116.27999999999999</v>
      </c>
      <c r="AB321" s="26">
        <f t="shared" si="128"/>
        <v>16.100000000000001</v>
      </c>
      <c r="AC321" s="27">
        <f t="shared" si="129"/>
        <v>25.9</v>
      </c>
      <c r="AD321" s="26">
        <f t="shared" si="130"/>
        <v>18.86</v>
      </c>
      <c r="AE321" s="27">
        <f t="shared" si="131"/>
        <v>32.340000000000003</v>
      </c>
      <c r="AF321" s="26">
        <f t="shared" si="132"/>
        <v>21.619999999999997</v>
      </c>
      <c r="AG321" s="27">
        <f t="shared" si="133"/>
        <v>38.779999999999994</v>
      </c>
      <c r="AH321" s="26">
        <f t="shared" si="134"/>
        <v>29.209999999999997</v>
      </c>
      <c r="AI321" s="27">
        <f t="shared" si="135"/>
        <v>56.489999999999988</v>
      </c>
      <c r="AJ321" s="28" t="s">
        <v>45</v>
      </c>
      <c r="AK321" s="15" t="s">
        <v>118</v>
      </c>
      <c r="AL321" s="15" t="s">
        <v>116</v>
      </c>
      <c r="AM321" s="15" t="s">
        <v>123</v>
      </c>
      <c r="AN321" s="15" t="s">
        <v>119</v>
      </c>
    </row>
    <row r="322" spans="1:40" ht="14.25" customHeight="1">
      <c r="A322" s="15" t="s">
        <v>129</v>
      </c>
      <c r="B322" s="35">
        <v>50</v>
      </c>
      <c r="C322" s="17" t="s">
        <v>130</v>
      </c>
      <c r="D322" s="15" t="s">
        <v>41</v>
      </c>
      <c r="E322" s="33" t="s">
        <v>125</v>
      </c>
      <c r="F322" s="17">
        <v>1</v>
      </c>
      <c r="G322" s="19">
        <v>4</v>
      </c>
      <c r="H322" s="19">
        <f t="shared" si="125"/>
        <v>4</v>
      </c>
      <c r="I322" s="38" t="s">
        <v>126</v>
      </c>
      <c r="J322" s="32"/>
      <c r="K322" s="32"/>
      <c r="L322" s="37">
        <f>5.26+L321</f>
        <v>35.840000000000003</v>
      </c>
      <c r="M322" s="32" t="s">
        <v>114</v>
      </c>
      <c r="N322" s="15">
        <v>6</v>
      </c>
      <c r="O322" s="44">
        <v>140</v>
      </c>
      <c r="P322" s="32" t="s">
        <v>127</v>
      </c>
      <c r="Q322" s="28">
        <v>140</v>
      </c>
      <c r="R322" s="15">
        <v>6</v>
      </c>
      <c r="S322" s="32"/>
      <c r="T322" s="32"/>
      <c r="V322" s="17">
        <f t="shared" si="138"/>
        <v>35.840000000000003</v>
      </c>
      <c r="W322" s="21">
        <v>5</v>
      </c>
      <c r="X322" s="21">
        <f>(X319*(1+0.6+0.4+0.3))+(V322-4)</f>
        <v>786.57119999999998</v>
      </c>
      <c r="Y322" s="21">
        <f>(Y319*(1+0.6+0.4+0.3))+(V322-4)</f>
        <v>835.23919999999987</v>
      </c>
      <c r="Z322" s="21">
        <f>(Z319*(1+0.6+0.4+0.3))+(V322-4)</f>
        <v>883.90719999999988</v>
      </c>
      <c r="AA322" s="21">
        <f>(AA319*(1+0.6+0.4+0.3))+(V322-4)</f>
        <v>1017.7442</v>
      </c>
      <c r="AB322" s="26">
        <f t="shared" si="128"/>
        <v>228.71935999999997</v>
      </c>
      <c r="AC322" s="27">
        <f t="shared" si="129"/>
        <v>522.01183999999989</v>
      </c>
      <c r="AD322" s="26">
        <f t="shared" si="130"/>
        <v>243.31975999999995</v>
      </c>
      <c r="AE322" s="27">
        <f t="shared" si="131"/>
        <v>556.07943999999986</v>
      </c>
      <c r="AF322" s="26">
        <f t="shared" si="132"/>
        <v>257.92015999999995</v>
      </c>
      <c r="AG322" s="27">
        <f t="shared" si="133"/>
        <v>590.14703999999983</v>
      </c>
      <c r="AH322" s="26">
        <f t="shared" si="134"/>
        <v>298.07126</v>
      </c>
      <c r="AI322" s="27">
        <f t="shared" si="135"/>
        <v>683.83293999999989</v>
      </c>
      <c r="AJ322" s="28" t="s">
        <v>45</v>
      </c>
      <c r="AK322" s="15" t="s">
        <v>117</v>
      </c>
      <c r="AL322" s="15" t="s">
        <v>116</v>
      </c>
      <c r="AM322" s="15" t="s">
        <v>123</v>
      </c>
      <c r="AN322" s="15" t="s">
        <v>119</v>
      </c>
    </row>
    <row r="323" spans="1:40" ht="14.25" customHeight="1">
      <c r="A323" s="15" t="s">
        <v>131</v>
      </c>
      <c r="B323" s="35">
        <v>0.5</v>
      </c>
      <c r="C323" s="17" t="s">
        <v>121</v>
      </c>
      <c r="D323" s="15" t="s">
        <v>41</v>
      </c>
      <c r="E323" s="33" t="s">
        <v>122</v>
      </c>
      <c r="F323" s="15">
        <v>8</v>
      </c>
      <c r="G323" s="19">
        <v>4</v>
      </c>
      <c r="H323" s="19">
        <f t="shared" si="125"/>
        <v>32</v>
      </c>
      <c r="I323" s="38" t="s">
        <v>106</v>
      </c>
      <c r="J323" s="32"/>
      <c r="K323" s="32"/>
      <c r="L323" s="37">
        <f>L322+5.32</f>
        <v>41.160000000000004</v>
      </c>
      <c r="M323" s="32" t="s">
        <v>114</v>
      </c>
      <c r="N323" s="17">
        <v>48</v>
      </c>
      <c r="O323" s="44">
        <v>140</v>
      </c>
      <c r="V323" s="17">
        <f t="shared" si="138"/>
        <v>41.160000000000004</v>
      </c>
      <c r="W323" s="21">
        <v>5</v>
      </c>
      <c r="X323" s="21">
        <f>(X320*(1+0.6+0.4+0.3))+($V$222-4)</f>
        <v>4435.7190003999976</v>
      </c>
      <c r="Y323" s="21">
        <f>(Y320*(1+0.6+0.4+0.3))+($V$222-4)</f>
        <v>5027.8625563999967</v>
      </c>
      <c r="Z323" s="21">
        <f>(Z320*(1+0.6+0.4+0.3))+($V$222-4)</f>
        <v>5620.0061123999967</v>
      </c>
      <c r="AA323" s="21">
        <f>(AA320*(1+0.6+0.4+0.3))+($V$222-4)</f>
        <v>7248.400891399996</v>
      </c>
      <c r="AB323" s="26">
        <f t="shared" si="128"/>
        <v>1321.8677001199992</v>
      </c>
      <c r="AC323" s="27">
        <f t="shared" si="129"/>
        <v>3072.6913002799984</v>
      </c>
      <c r="AD323" s="26">
        <f t="shared" si="130"/>
        <v>1499.510766919999</v>
      </c>
      <c r="AE323" s="27">
        <f t="shared" si="131"/>
        <v>3487.1917894799976</v>
      </c>
      <c r="AF323" s="26">
        <f t="shared" si="132"/>
        <v>1677.1538337199991</v>
      </c>
      <c r="AG323" s="27">
        <f t="shared" si="133"/>
        <v>3901.6922786799973</v>
      </c>
      <c r="AH323" s="26">
        <f t="shared" si="134"/>
        <v>2165.6722674199987</v>
      </c>
      <c r="AI323" s="27">
        <f t="shared" si="135"/>
        <v>5041.568623979997</v>
      </c>
      <c r="AJ323" s="28" t="s">
        <v>45</v>
      </c>
      <c r="AK323" s="15" t="s">
        <v>117</v>
      </c>
      <c r="AL323" s="15" t="s">
        <v>116</v>
      </c>
      <c r="AM323" s="15" t="s">
        <v>123</v>
      </c>
      <c r="AN323" s="15" t="s">
        <v>118</v>
      </c>
    </row>
    <row r="324" spans="1:40" ht="14.25" customHeight="1">
      <c r="A324" s="15" t="s">
        <v>132</v>
      </c>
      <c r="B324" s="35">
        <v>300</v>
      </c>
      <c r="C324" s="17" t="s">
        <v>70</v>
      </c>
      <c r="D324" s="15" t="s">
        <v>41</v>
      </c>
      <c r="E324" s="38" t="s">
        <v>133</v>
      </c>
      <c r="F324" s="15">
        <v>1</v>
      </c>
      <c r="G324" s="19">
        <v>4</v>
      </c>
      <c r="H324" s="19">
        <f t="shared" si="125"/>
        <v>4</v>
      </c>
      <c r="I324" s="38" t="s">
        <v>126</v>
      </c>
      <c r="J324" s="32"/>
      <c r="K324" s="32"/>
      <c r="L324" s="37">
        <f>L321*4</f>
        <v>122.32000000000001</v>
      </c>
      <c r="M324" s="32" t="s">
        <v>115</v>
      </c>
      <c r="N324" s="17">
        <v>4</v>
      </c>
      <c r="O324" s="25">
        <v>280</v>
      </c>
      <c r="V324" s="17">
        <f t="shared" si="138"/>
        <v>122.32000000000001</v>
      </c>
      <c r="W324" s="21">
        <v>5</v>
      </c>
      <c r="X324" s="21">
        <f>(20*(1+0.6+0.4+0.3))+($V$228-4)</f>
        <v>70.650000000000006</v>
      </c>
      <c r="Y324" s="21">
        <f>(24*(1+0.6+0.4+0.3))+($V$228-4)</f>
        <v>79.849999999999994</v>
      </c>
      <c r="Z324" s="21">
        <f>(28*(1+0.6+0.4+0.3))+($V$228-4)</f>
        <v>89.05</v>
      </c>
      <c r="AA324" s="21">
        <f>(39*(1+0.6+0.4+0.3))+($V$228-4)</f>
        <v>114.35</v>
      </c>
      <c r="AB324" s="26">
        <f t="shared" si="128"/>
        <v>-12.001000000000001</v>
      </c>
      <c r="AC324" s="27">
        <f t="shared" si="129"/>
        <v>-39.668999999999997</v>
      </c>
      <c r="AD324" s="26">
        <f t="shared" si="130"/>
        <v>-9.2410000000000032</v>
      </c>
      <c r="AE324" s="27">
        <f t="shared" si="131"/>
        <v>-33.229000000000006</v>
      </c>
      <c r="AF324" s="26">
        <f t="shared" si="132"/>
        <v>-6.4810000000000034</v>
      </c>
      <c r="AG324" s="27">
        <f t="shared" si="133"/>
        <v>-26.789000000000005</v>
      </c>
      <c r="AH324" s="26">
        <f t="shared" si="134"/>
        <v>1.1089999999999964</v>
      </c>
      <c r="AI324" s="27">
        <f t="shared" si="135"/>
        <v>-9.0790000000000077</v>
      </c>
      <c r="AJ324" s="28" t="s">
        <v>45</v>
      </c>
      <c r="AK324" s="15" t="s">
        <v>113</v>
      </c>
    </row>
    <row r="325" spans="1:40" ht="14.25" customHeight="1">
      <c r="A325" s="15" t="s">
        <v>220</v>
      </c>
      <c r="B325" s="35">
        <v>50</v>
      </c>
      <c r="C325" s="17" t="s">
        <v>40</v>
      </c>
      <c r="D325" s="15" t="s">
        <v>41</v>
      </c>
      <c r="E325" s="38" t="s">
        <v>42</v>
      </c>
      <c r="F325" s="17">
        <v>6</v>
      </c>
      <c r="G325" s="19">
        <v>4</v>
      </c>
      <c r="H325" s="19">
        <f t="shared" si="125"/>
        <v>24</v>
      </c>
      <c r="I325" s="38" t="s">
        <v>42</v>
      </c>
      <c r="J325" s="32"/>
      <c r="K325" s="32"/>
      <c r="L325" s="39">
        <f>L324+1.14</f>
        <v>123.46000000000001</v>
      </c>
      <c r="M325" s="32" t="s">
        <v>221</v>
      </c>
      <c r="N325" s="17">
        <v>24</v>
      </c>
      <c r="O325" s="25">
        <v>84</v>
      </c>
      <c r="U325" s="21"/>
      <c r="V325" s="21">
        <v>4</v>
      </c>
      <c r="W325" s="21">
        <v>5</v>
      </c>
      <c r="X325" s="21">
        <f t="shared" ref="X325:AA326" si="139">X322*(1+0.6+0.4+0.3)</f>
        <v>1809.1137599999997</v>
      </c>
      <c r="Y325" s="21">
        <f t="shared" si="139"/>
        <v>1921.0501599999996</v>
      </c>
      <c r="Z325" s="21">
        <f t="shared" si="139"/>
        <v>2032.9865599999996</v>
      </c>
      <c r="AA325" s="21">
        <f t="shared" si="139"/>
        <v>2340.8116599999998</v>
      </c>
      <c r="AB325" s="26">
        <f t="shared" si="128"/>
        <v>545.0341279999999</v>
      </c>
      <c r="AC325" s="27">
        <f t="shared" si="129"/>
        <v>1260.0796319999997</v>
      </c>
      <c r="AD325" s="26">
        <f t="shared" si="130"/>
        <v>578.61504799999989</v>
      </c>
      <c r="AE325" s="27">
        <f t="shared" si="131"/>
        <v>1338.4351119999997</v>
      </c>
      <c r="AF325" s="26">
        <f t="shared" si="132"/>
        <v>612.19596799999988</v>
      </c>
      <c r="AG325" s="27">
        <f t="shared" si="133"/>
        <v>1416.7905919999996</v>
      </c>
      <c r="AH325" s="26">
        <f t="shared" si="134"/>
        <v>704.54349799999989</v>
      </c>
      <c r="AI325" s="27">
        <f t="shared" si="135"/>
        <v>1632.2681619999998</v>
      </c>
      <c r="AJ325" s="28" t="s">
        <v>45</v>
      </c>
    </row>
    <row r="326" spans="1:40" ht="14.25" customHeight="1">
      <c r="A326" s="15" t="s">
        <v>220</v>
      </c>
      <c r="B326" s="35">
        <v>100</v>
      </c>
      <c r="C326" s="17" t="s">
        <v>40</v>
      </c>
      <c r="D326" s="15" t="s">
        <v>41</v>
      </c>
      <c r="E326" s="38" t="s">
        <v>42</v>
      </c>
      <c r="F326" s="17">
        <v>6</v>
      </c>
      <c r="G326" s="19">
        <v>4</v>
      </c>
      <c r="H326" s="19">
        <f t="shared" si="125"/>
        <v>24</v>
      </c>
      <c r="I326" s="38" t="s">
        <v>42</v>
      </c>
      <c r="J326" s="32"/>
      <c r="K326" s="32"/>
      <c r="L326" s="39">
        <f>L325+1.37</f>
        <v>124.83000000000001</v>
      </c>
      <c r="M326" s="32" t="s">
        <v>221</v>
      </c>
      <c r="N326" s="17">
        <v>24</v>
      </c>
      <c r="O326" s="25">
        <v>84</v>
      </c>
      <c r="U326" s="21"/>
      <c r="V326" s="21">
        <v>4</v>
      </c>
      <c r="W326" s="21">
        <v>5</v>
      </c>
      <c r="X326" s="21">
        <f t="shared" si="139"/>
        <v>10202.153700919995</v>
      </c>
      <c r="Y326" s="21">
        <f t="shared" si="139"/>
        <v>11564.083879719992</v>
      </c>
      <c r="Z326" s="21">
        <f t="shared" si="139"/>
        <v>12926.014058519992</v>
      </c>
      <c r="AA326" s="21">
        <f t="shared" si="139"/>
        <v>16671.322050219991</v>
      </c>
      <c r="AB326" s="26">
        <f t="shared" si="128"/>
        <v>3062.9461102759983</v>
      </c>
      <c r="AC326" s="27">
        <f t="shared" si="129"/>
        <v>7135.2075906439959</v>
      </c>
      <c r="AD326" s="26">
        <f t="shared" si="130"/>
        <v>3471.5251639159974</v>
      </c>
      <c r="AE326" s="27">
        <f t="shared" si="131"/>
        <v>8088.5587158039943</v>
      </c>
      <c r="AF326" s="26">
        <f t="shared" si="132"/>
        <v>3880.1042175559974</v>
      </c>
      <c r="AG326" s="27">
        <f t="shared" si="133"/>
        <v>9041.9098409639937</v>
      </c>
      <c r="AH326" s="26">
        <f t="shared" si="134"/>
        <v>5003.6966150659973</v>
      </c>
      <c r="AI326" s="27">
        <f t="shared" si="135"/>
        <v>11663.625435153994</v>
      </c>
      <c r="AJ326" s="28" t="s">
        <v>45</v>
      </c>
    </row>
    <row r="327" spans="1:40" ht="14.25" customHeight="1">
      <c r="A327" s="15" t="s">
        <v>222</v>
      </c>
      <c r="B327" s="35">
        <v>5</v>
      </c>
      <c r="C327" s="17" t="s">
        <v>40</v>
      </c>
      <c r="D327" s="15" t="s">
        <v>41</v>
      </c>
      <c r="E327" s="38" t="s">
        <v>42</v>
      </c>
      <c r="F327" s="17">
        <v>3</v>
      </c>
      <c r="G327" s="19">
        <v>4</v>
      </c>
      <c r="H327" s="19">
        <f t="shared" si="125"/>
        <v>12</v>
      </c>
      <c r="I327" s="38" t="s">
        <v>42</v>
      </c>
      <c r="J327" s="32"/>
      <c r="K327" s="32"/>
      <c r="L327" s="37">
        <f>L326+13.37</f>
        <v>138.20000000000002</v>
      </c>
      <c r="M327" s="32" t="s">
        <v>221</v>
      </c>
      <c r="N327" s="17">
        <v>12</v>
      </c>
      <c r="O327" s="25">
        <v>84</v>
      </c>
      <c r="V327" s="17">
        <f>L327</f>
        <v>138.20000000000002</v>
      </c>
      <c r="W327" s="21">
        <v>6</v>
      </c>
      <c r="X327" s="21">
        <f>(20*(1+0.6+0.4+0.3))+($V$377-4)</f>
        <v>50</v>
      </c>
      <c r="Y327" s="21">
        <f>(24*(1+0.6+0.4+0.3))+($V$377-4)</f>
        <v>59.199999999999996</v>
      </c>
      <c r="Z327" s="21">
        <f>(28*(1+0.6+0.4+0.3))+($V$377-4)</f>
        <v>68.399999999999991</v>
      </c>
      <c r="AA327" s="21">
        <f>(37*(1+0.6+0.4+0.3))+($V$377-4)</f>
        <v>89.1</v>
      </c>
      <c r="AB327" s="26">
        <f t="shared" si="128"/>
        <v>-22.260000000000005</v>
      </c>
      <c r="AC327" s="27">
        <f t="shared" si="129"/>
        <v>-65.940000000000012</v>
      </c>
      <c r="AD327" s="26">
        <f t="shared" si="130"/>
        <v>-19.500000000000007</v>
      </c>
      <c r="AE327" s="27">
        <f t="shared" si="131"/>
        <v>-59.500000000000014</v>
      </c>
      <c r="AF327" s="26">
        <f t="shared" si="132"/>
        <v>-16.740000000000006</v>
      </c>
      <c r="AG327" s="27">
        <f t="shared" si="133"/>
        <v>-53.060000000000016</v>
      </c>
      <c r="AH327" s="26">
        <f t="shared" si="134"/>
        <v>-10.530000000000005</v>
      </c>
      <c r="AI327" s="27">
        <f t="shared" si="135"/>
        <v>-38.570000000000014</v>
      </c>
      <c r="AJ327" s="28" t="s">
        <v>45</v>
      </c>
    </row>
    <row r="328" spans="1:40" ht="14.25" customHeight="1">
      <c r="A328" s="15" t="s">
        <v>222</v>
      </c>
      <c r="B328" s="35">
        <v>10</v>
      </c>
      <c r="C328" s="17" t="s">
        <v>40</v>
      </c>
      <c r="D328" s="15" t="s">
        <v>41</v>
      </c>
      <c r="E328" s="38" t="s">
        <v>42</v>
      </c>
      <c r="F328" s="17">
        <v>3</v>
      </c>
      <c r="G328" s="19">
        <v>4</v>
      </c>
      <c r="H328" s="19">
        <f t="shared" si="125"/>
        <v>12</v>
      </c>
      <c r="I328" s="38" t="s">
        <v>42</v>
      </c>
      <c r="J328" s="32"/>
      <c r="K328" s="32"/>
      <c r="L328" s="37">
        <f>L327+3.3</f>
        <v>141.50000000000003</v>
      </c>
      <c r="M328" s="32" t="s">
        <v>221</v>
      </c>
      <c r="N328" s="17">
        <v>12</v>
      </c>
      <c r="O328" s="25">
        <v>84</v>
      </c>
      <c r="V328" s="17">
        <f>L328</f>
        <v>141.50000000000003</v>
      </c>
      <c r="W328" s="21">
        <v>6</v>
      </c>
      <c r="X328" s="21">
        <f>(20*(1+0.6+0.4+0.3))+($V$381-4)</f>
        <v>46</v>
      </c>
      <c r="Y328" s="21">
        <f>(24*(1+0.6+0.4+0.3))+($V$381-4)</f>
        <v>55.199999999999996</v>
      </c>
      <c r="Z328" s="21">
        <f>(28*(1+0.6+0.4+0.3))+($V$381-4)</f>
        <v>64.399999999999991</v>
      </c>
      <c r="AA328" s="21">
        <f>(37*(1+0.6+0.4+0.3))+($V$381-4)</f>
        <v>85.1</v>
      </c>
      <c r="AB328" s="26">
        <f t="shared" si="128"/>
        <v>-24.450000000000006</v>
      </c>
      <c r="AC328" s="27">
        <f t="shared" si="129"/>
        <v>-71.050000000000011</v>
      </c>
      <c r="AD328" s="26">
        <f t="shared" si="130"/>
        <v>-21.690000000000012</v>
      </c>
      <c r="AE328" s="27">
        <f t="shared" si="131"/>
        <v>-64.610000000000028</v>
      </c>
      <c r="AF328" s="26">
        <f t="shared" si="132"/>
        <v>-18.93000000000001</v>
      </c>
      <c r="AG328" s="27">
        <f t="shared" si="133"/>
        <v>-58.170000000000023</v>
      </c>
      <c r="AH328" s="26">
        <f t="shared" si="134"/>
        <v>-12.72000000000001</v>
      </c>
      <c r="AI328" s="27">
        <f t="shared" si="135"/>
        <v>-43.680000000000021</v>
      </c>
      <c r="AJ328" s="28" t="s">
        <v>45</v>
      </c>
    </row>
    <row r="329" spans="1:40" ht="14.25" customHeight="1">
      <c r="A329" s="15" t="s">
        <v>223</v>
      </c>
      <c r="B329" s="35">
        <v>2.5</v>
      </c>
      <c r="C329" s="17" t="s">
        <v>40</v>
      </c>
      <c r="D329" s="15" t="s">
        <v>41</v>
      </c>
      <c r="E329" s="38" t="s">
        <v>42</v>
      </c>
      <c r="F329" s="17">
        <v>6</v>
      </c>
      <c r="G329" s="19">
        <v>4</v>
      </c>
      <c r="H329" s="19">
        <f t="shared" si="125"/>
        <v>24</v>
      </c>
      <c r="I329" s="38" t="s">
        <v>42</v>
      </c>
      <c r="J329" s="32"/>
      <c r="K329" s="32"/>
      <c r="L329" s="40">
        <f>L328+2.21</f>
        <v>143.71000000000004</v>
      </c>
      <c r="M329" s="32" t="s">
        <v>221</v>
      </c>
      <c r="N329" s="17">
        <v>24</v>
      </c>
      <c r="O329" s="25">
        <v>84</v>
      </c>
      <c r="V329" s="17">
        <v>8</v>
      </c>
      <c r="W329" s="21">
        <v>5</v>
      </c>
      <c r="X329" s="17">
        <f>(X326*2.3)+4</f>
        <v>23468.953512115986</v>
      </c>
      <c r="Y329" s="17">
        <f>(Y326*2.3)+4</f>
        <v>26601.392923355979</v>
      </c>
      <c r="Z329" s="17">
        <f>(Z326*2.3)+4</f>
        <v>29733.83233459598</v>
      </c>
      <c r="AA329" s="17">
        <f>(AA326*2.3)+4</f>
        <v>38348.040715505973</v>
      </c>
      <c r="AB329" s="26">
        <f t="shared" si="128"/>
        <v>7041.7860536347953</v>
      </c>
      <c r="AC329" s="27">
        <f t="shared" si="129"/>
        <v>16419.167458481188</v>
      </c>
      <c r="AD329" s="26">
        <f t="shared" si="130"/>
        <v>7981.5178770067932</v>
      </c>
      <c r="AE329" s="27">
        <f t="shared" si="131"/>
        <v>18611.875046349185</v>
      </c>
      <c r="AF329" s="26">
        <f t="shared" si="132"/>
        <v>8921.2497003787939</v>
      </c>
      <c r="AG329" s="27">
        <f t="shared" si="133"/>
        <v>20804.582634217186</v>
      </c>
      <c r="AH329" s="26">
        <f t="shared" si="134"/>
        <v>11505.512214651792</v>
      </c>
      <c r="AI329" s="27">
        <f t="shared" si="135"/>
        <v>26834.52850085418</v>
      </c>
      <c r="AJ329" s="28" t="s">
        <v>45</v>
      </c>
    </row>
    <row r="330" spans="1:40" ht="14.25" customHeight="1">
      <c r="A330" s="15" t="s">
        <v>223</v>
      </c>
      <c r="B330" s="35">
        <v>5</v>
      </c>
      <c r="C330" s="17" t="s">
        <v>40</v>
      </c>
      <c r="D330" s="15" t="s">
        <v>41</v>
      </c>
      <c r="E330" s="38" t="s">
        <v>42</v>
      </c>
      <c r="F330" s="17">
        <v>6</v>
      </c>
      <c r="G330" s="19">
        <v>4</v>
      </c>
      <c r="H330" s="19">
        <f t="shared" si="125"/>
        <v>24</v>
      </c>
      <c r="I330" s="38" t="s">
        <v>42</v>
      </c>
      <c r="J330" s="32"/>
      <c r="K330" s="32"/>
      <c r="L330" s="37">
        <f>L329+36</f>
        <v>179.71000000000004</v>
      </c>
      <c r="M330" s="32" t="s">
        <v>221</v>
      </c>
      <c r="N330" s="17">
        <v>24</v>
      </c>
      <c r="O330" s="25">
        <v>84</v>
      </c>
      <c r="V330" s="17">
        <f>L330</f>
        <v>179.71000000000004</v>
      </c>
      <c r="W330" s="21">
        <v>6</v>
      </c>
      <c r="X330" s="21">
        <f>(20*(1+0.6+0.4+0.3))+(144-4)</f>
        <v>186</v>
      </c>
      <c r="Y330" s="21">
        <f>(24*(1+0.6+0.4+0.3))+(144-4)</f>
        <v>195.2</v>
      </c>
      <c r="Z330" s="21">
        <f>(28*(1+0.6+0.4+0.3))+(144-4)</f>
        <v>204.39999999999998</v>
      </c>
      <c r="AA330" s="21">
        <f>(37*(1+0.6+0.4+0.3))+(144-4)</f>
        <v>225.1</v>
      </c>
      <c r="AB330" s="26">
        <f t="shared" si="128"/>
        <v>6.0869999999999891</v>
      </c>
      <c r="AC330" s="27">
        <f t="shared" si="129"/>
        <v>0.20299999999997453</v>
      </c>
      <c r="AD330" s="26">
        <f t="shared" si="130"/>
        <v>8.8469999999999853</v>
      </c>
      <c r="AE330" s="27">
        <f t="shared" si="131"/>
        <v>6.642999999999966</v>
      </c>
      <c r="AF330" s="26">
        <f t="shared" si="132"/>
        <v>11.606999999999982</v>
      </c>
      <c r="AG330" s="27">
        <f t="shared" si="133"/>
        <v>13.082999999999958</v>
      </c>
      <c r="AH330" s="26">
        <f t="shared" si="134"/>
        <v>17.816999999999986</v>
      </c>
      <c r="AI330" s="27">
        <f t="shared" si="135"/>
        <v>27.572999999999968</v>
      </c>
      <c r="AJ330" s="28" t="s">
        <v>45</v>
      </c>
    </row>
    <row r="331" spans="1:40" ht="14.25" customHeight="1">
      <c r="A331" s="15" t="s">
        <v>39</v>
      </c>
      <c r="B331" s="16">
        <v>25</v>
      </c>
      <c r="C331" s="17" t="s">
        <v>40</v>
      </c>
      <c r="D331" s="15" t="s">
        <v>41</v>
      </c>
      <c r="E331" s="18" t="s">
        <v>42</v>
      </c>
      <c r="F331" s="28">
        <v>4</v>
      </c>
      <c r="G331" s="19">
        <v>5</v>
      </c>
      <c r="H331" s="19">
        <f t="shared" si="125"/>
        <v>20</v>
      </c>
      <c r="I331" s="20" t="s">
        <v>42</v>
      </c>
      <c r="J331" s="21" t="s">
        <v>43</v>
      </c>
      <c r="K331" s="21"/>
      <c r="L331" s="26">
        <f>0.24*5</f>
        <v>1.2</v>
      </c>
      <c r="M331" t="s">
        <v>44</v>
      </c>
      <c r="N331" s="24">
        <v>38</v>
      </c>
      <c r="O331" s="25">
        <v>84</v>
      </c>
      <c r="U331" s="21"/>
      <c r="V331" s="21">
        <v>4</v>
      </c>
      <c r="W331" s="21">
        <v>5</v>
      </c>
      <c r="X331" s="21">
        <f t="shared" ref="X331:AA332" si="140">X320*(1+0.6+0.4+0.3+0.3)</f>
        <v>5009.7693047999974</v>
      </c>
      <c r="Y331" s="21">
        <f t="shared" si="140"/>
        <v>5679.1489767999965</v>
      </c>
      <c r="Z331" s="21">
        <f t="shared" si="140"/>
        <v>6348.5286487999965</v>
      </c>
      <c r="AA331" s="21">
        <f t="shared" si="140"/>
        <v>8189.322746799995</v>
      </c>
      <c r="AB331" s="26">
        <f t="shared" si="128"/>
        <v>1505.2307914399992</v>
      </c>
      <c r="AC331" s="27">
        <f t="shared" si="129"/>
        <v>3500.538513359998</v>
      </c>
      <c r="AD331" s="26">
        <f t="shared" si="130"/>
        <v>1706.0446930399989</v>
      </c>
      <c r="AE331" s="27">
        <f t="shared" si="131"/>
        <v>3969.1042837599971</v>
      </c>
      <c r="AF331" s="26">
        <f t="shared" si="132"/>
        <v>1906.858594639999</v>
      </c>
      <c r="AG331" s="27">
        <f t="shared" si="133"/>
        <v>4437.6700541599976</v>
      </c>
      <c r="AH331" s="26">
        <f t="shared" si="134"/>
        <v>2459.0968240399984</v>
      </c>
      <c r="AI331" s="27">
        <f t="shared" si="135"/>
        <v>5726.2259227599961</v>
      </c>
      <c r="AJ331" s="28" t="s">
        <v>45</v>
      </c>
      <c r="AK331" s="15" t="s">
        <v>46</v>
      </c>
    </row>
    <row r="332" spans="1:40" ht="14.25" customHeight="1">
      <c r="A332" s="15" t="s">
        <v>39</v>
      </c>
      <c r="B332" s="16">
        <v>50</v>
      </c>
      <c r="C332" s="17" t="s">
        <v>40</v>
      </c>
      <c r="D332" s="15" t="s">
        <v>41</v>
      </c>
      <c r="E332" s="18" t="s">
        <v>42</v>
      </c>
      <c r="F332" s="28">
        <v>4</v>
      </c>
      <c r="G332" s="19">
        <v>5</v>
      </c>
      <c r="H332" s="19">
        <f t="shared" si="125"/>
        <v>20</v>
      </c>
      <c r="I332" s="20" t="s">
        <v>42</v>
      </c>
      <c r="J332" s="21" t="s">
        <v>43</v>
      </c>
      <c r="K332" s="21"/>
      <c r="L332" s="26">
        <f>0.28*5</f>
        <v>1.4000000000000001</v>
      </c>
      <c r="M332" t="s">
        <v>44</v>
      </c>
      <c r="N332" s="24">
        <v>38</v>
      </c>
      <c r="O332" s="25">
        <v>84</v>
      </c>
      <c r="U332" s="21"/>
      <c r="V332" s="21">
        <v>4</v>
      </c>
      <c r="W332" s="21">
        <v>5</v>
      </c>
      <c r="X332" s="21">
        <f t="shared" si="140"/>
        <v>188.70799999999997</v>
      </c>
      <c r="Y332" s="21">
        <f t="shared" si="140"/>
        <v>212.62799999999999</v>
      </c>
      <c r="Z332" s="21">
        <f t="shared" si="140"/>
        <v>236.54799999999994</v>
      </c>
      <c r="AA332" s="21">
        <f t="shared" si="140"/>
        <v>302.32799999999992</v>
      </c>
      <c r="AB332" s="26">
        <f t="shared" si="128"/>
        <v>58.912399999999991</v>
      </c>
      <c r="AC332" s="27">
        <f t="shared" si="129"/>
        <v>125.79559999999996</v>
      </c>
      <c r="AD332" s="26">
        <f t="shared" si="130"/>
        <v>66.088399999999993</v>
      </c>
      <c r="AE332" s="27">
        <f t="shared" si="131"/>
        <v>142.53959999999998</v>
      </c>
      <c r="AF332" s="26">
        <f t="shared" si="132"/>
        <v>73.264399999999981</v>
      </c>
      <c r="AG332" s="27">
        <f t="shared" si="133"/>
        <v>159.28359999999995</v>
      </c>
      <c r="AH332" s="26">
        <f t="shared" si="134"/>
        <v>92.998399999999975</v>
      </c>
      <c r="AI332" s="27">
        <f t="shared" si="135"/>
        <v>205.32959999999994</v>
      </c>
      <c r="AJ332" s="28" t="s">
        <v>45</v>
      </c>
      <c r="AK332" s="15" t="s">
        <v>46</v>
      </c>
    </row>
    <row r="333" spans="1:40" ht="14.25" customHeight="1">
      <c r="A333" s="15" t="s">
        <v>39</v>
      </c>
      <c r="B333" s="16">
        <v>100</v>
      </c>
      <c r="C333" s="17" t="s">
        <v>40</v>
      </c>
      <c r="D333" s="15" t="s">
        <v>41</v>
      </c>
      <c r="E333" s="18" t="s">
        <v>42</v>
      </c>
      <c r="F333" s="28">
        <v>4</v>
      </c>
      <c r="G333" s="19">
        <v>5</v>
      </c>
      <c r="H333" s="19">
        <f t="shared" si="125"/>
        <v>20</v>
      </c>
      <c r="I333" s="20" t="s">
        <v>42</v>
      </c>
      <c r="J333" s="21" t="s">
        <v>43</v>
      </c>
      <c r="K333" s="21"/>
      <c r="L333" s="26">
        <f>0.26*5</f>
        <v>1.3</v>
      </c>
      <c r="M333" t="s">
        <v>44</v>
      </c>
      <c r="N333" s="24">
        <v>38</v>
      </c>
      <c r="O333" s="25">
        <v>84</v>
      </c>
      <c r="U333" s="21"/>
      <c r="V333" s="21">
        <v>4</v>
      </c>
      <c r="W333" s="21">
        <v>5</v>
      </c>
      <c r="X333" s="21">
        <f>X321*(1+0.6+0.4+0.3+0.3)</f>
        <v>188.70799999999997</v>
      </c>
      <c r="Y333" s="21">
        <f>Y321*(1+0.6+0.4+0.3+0.3)</f>
        <v>212.62799999999999</v>
      </c>
      <c r="Z333" s="21">
        <f>Z321*(1+0.6+0.4+0.3+0.3)</f>
        <v>236.54799999999994</v>
      </c>
      <c r="AA333" s="21">
        <f>AA321*(1+0.6+0.4+0.3+0.3)</f>
        <v>302.32799999999992</v>
      </c>
      <c r="AB333" s="26">
        <f t="shared" si="128"/>
        <v>58.912399999999991</v>
      </c>
      <c r="AC333" s="27">
        <f t="shared" si="129"/>
        <v>125.79559999999996</v>
      </c>
      <c r="AD333" s="26">
        <f t="shared" si="130"/>
        <v>66.088399999999993</v>
      </c>
      <c r="AE333" s="27">
        <f t="shared" si="131"/>
        <v>142.53959999999998</v>
      </c>
      <c r="AF333" s="26">
        <f t="shared" si="132"/>
        <v>73.264399999999981</v>
      </c>
      <c r="AG333" s="27">
        <f t="shared" si="133"/>
        <v>159.28359999999995</v>
      </c>
      <c r="AH333" s="26">
        <f t="shared" si="134"/>
        <v>92.998399999999975</v>
      </c>
      <c r="AI333" s="27">
        <f t="shared" si="135"/>
        <v>205.32959999999994</v>
      </c>
      <c r="AJ333" s="28" t="s">
        <v>45</v>
      </c>
      <c r="AK333" s="15" t="s">
        <v>46</v>
      </c>
    </row>
    <row r="334" spans="1:40" ht="14.25" customHeight="1">
      <c r="A334" s="69" t="s">
        <v>47</v>
      </c>
      <c r="B334" s="16">
        <v>10</v>
      </c>
      <c r="C334" s="17" t="s">
        <v>40</v>
      </c>
      <c r="D334" s="15" t="s">
        <v>41</v>
      </c>
      <c r="E334" s="18" t="s">
        <v>42</v>
      </c>
      <c r="F334" s="17">
        <v>4</v>
      </c>
      <c r="G334" s="19">
        <v>5</v>
      </c>
      <c r="H334" s="19">
        <f t="shared" si="125"/>
        <v>20</v>
      </c>
      <c r="I334" s="20" t="s">
        <v>42</v>
      </c>
      <c r="J334" s="22" t="s">
        <v>49</v>
      </c>
      <c r="K334" s="21"/>
      <c r="L334" s="26">
        <f>0.27*5</f>
        <v>1.35</v>
      </c>
      <c r="M334" t="s">
        <v>44</v>
      </c>
      <c r="N334" s="28">
        <v>38</v>
      </c>
      <c r="O334" s="25">
        <v>84</v>
      </c>
      <c r="U334" s="21"/>
      <c r="V334" s="21">
        <v>4</v>
      </c>
      <c r="W334" s="21">
        <v>5</v>
      </c>
      <c r="X334" s="21">
        <f t="shared" ref="X334:AA337" si="141">X326*(1+0.6+0.4+0.3+0.3)</f>
        <v>26525.599622391983</v>
      </c>
      <c r="Y334" s="21">
        <f t="shared" si="141"/>
        <v>30066.618087271974</v>
      </c>
      <c r="Z334" s="21">
        <f t="shared" si="141"/>
        <v>33607.636552151977</v>
      </c>
      <c r="AA334" s="21">
        <f t="shared" si="141"/>
        <v>43345.437330571971</v>
      </c>
      <c r="AB334" s="26">
        <f t="shared" si="128"/>
        <v>7959.9798867175941</v>
      </c>
      <c r="AC334" s="27">
        <f t="shared" si="129"/>
        <v>18561.619735674387</v>
      </c>
      <c r="AD334" s="26">
        <f t="shared" si="130"/>
        <v>9022.2854261815919</v>
      </c>
      <c r="AE334" s="27">
        <f t="shared" si="131"/>
        <v>21040.332661090382</v>
      </c>
      <c r="AF334" s="26">
        <f t="shared" si="132"/>
        <v>10084.590965645593</v>
      </c>
      <c r="AG334" s="27">
        <f t="shared" si="133"/>
        <v>23519.045586506381</v>
      </c>
      <c r="AH334" s="26">
        <f t="shared" si="134"/>
        <v>13005.931199171591</v>
      </c>
      <c r="AI334" s="27">
        <f t="shared" si="135"/>
        <v>30335.506131400376</v>
      </c>
      <c r="AJ334" s="28" t="s">
        <v>45</v>
      </c>
      <c r="AK334" s="15" t="s">
        <v>46</v>
      </c>
    </row>
    <row r="335" spans="1:40" ht="14.25" customHeight="1">
      <c r="A335" s="69" t="s">
        <v>47</v>
      </c>
      <c r="B335" s="16">
        <v>20</v>
      </c>
      <c r="C335" s="17" t="s">
        <v>40</v>
      </c>
      <c r="D335" s="15" t="s">
        <v>41</v>
      </c>
      <c r="E335" s="18" t="s">
        <v>42</v>
      </c>
      <c r="F335" s="17">
        <v>4</v>
      </c>
      <c r="G335" s="19">
        <v>5</v>
      </c>
      <c r="H335" s="19">
        <f t="shared" si="125"/>
        <v>20</v>
      </c>
      <c r="I335" s="20" t="s">
        <v>42</v>
      </c>
      <c r="J335" s="22" t="s">
        <v>49</v>
      </c>
      <c r="K335" s="21"/>
      <c r="L335" s="26">
        <f>0.27*5</f>
        <v>1.35</v>
      </c>
      <c r="M335" t="s">
        <v>44</v>
      </c>
      <c r="N335" s="28">
        <v>38</v>
      </c>
      <c r="O335" s="25">
        <v>84</v>
      </c>
      <c r="U335" s="21"/>
      <c r="V335" s="21">
        <v>4</v>
      </c>
      <c r="W335" s="21">
        <v>5</v>
      </c>
      <c r="X335" s="21">
        <f t="shared" si="141"/>
        <v>129.99999999999997</v>
      </c>
      <c r="Y335" s="21">
        <f t="shared" si="141"/>
        <v>153.91999999999996</v>
      </c>
      <c r="Z335" s="21">
        <f t="shared" si="141"/>
        <v>177.83999999999995</v>
      </c>
      <c r="AA335" s="21">
        <f t="shared" si="141"/>
        <v>231.65999999999994</v>
      </c>
      <c r="AB335" s="26">
        <f t="shared" si="128"/>
        <v>41.29999999999999</v>
      </c>
      <c r="AC335" s="27">
        <f t="shared" si="129"/>
        <v>84.699999999999974</v>
      </c>
      <c r="AD335" s="26">
        <f t="shared" si="130"/>
        <v>48.475999999999985</v>
      </c>
      <c r="AE335" s="27">
        <f t="shared" si="131"/>
        <v>101.44399999999996</v>
      </c>
      <c r="AF335" s="26">
        <f t="shared" si="132"/>
        <v>55.65199999999998</v>
      </c>
      <c r="AG335" s="27">
        <f t="shared" si="133"/>
        <v>118.18799999999996</v>
      </c>
      <c r="AH335" s="26">
        <f t="shared" si="134"/>
        <v>71.797999999999973</v>
      </c>
      <c r="AI335" s="27">
        <f t="shared" si="135"/>
        <v>155.86199999999994</v>
      </c>
      <c r="AJ335" s="28" t="s">
        <v>45</v>
      </c>
      <c r="AK335" s="15" t="s">
        <v>46</v>
      </c>
    </row>
    <row r="336" spans="1:40" ht="14.25" customHeight="1">
      <c r="A336" s="15" t="s">
        <v>50</v>
      </c>
      <c r="B336" s="16">
        <v>10</v>
      </c>
      <c r="C336" s="17" t="s">
        <v>40</v>
      </c>
      <c r="D336" s="15" t="s">
        <v>41</v>
      </c>
      <c r="E336" s="18" t="s">
        <v>42</v>
      </c>
      <c r="F336" s="17">
        <v>4</v>
      </c>
      <c r="G336" s="19">
        <v>5</v>
      </c>
      <c r="H336" s="19">
        <f t="shared" si="125"/>
        <v>20</v>
      </c>
      <c r="I336" s="20" t="s">
        <v>42</v>
      </c>
      <c r="J336" s="21" t="s">
        <v>43</v>
      </c>
      <c r="K336" s="21"/>
      <c r="L336" s="26">
        <f>L328*5</f>
        <v>707.50000000000011</v>
      </c>
      <c r="M336" t="s">
        <v>44</v>
      </c>
      <c r="N336" s="28">
        <v>38</v>
      </c>
      <c r="O336" s="25">
        <v>84</v>
      </c>
      <c r="U336" s="21"/>
      <c r="V336" s="21">
        <v>4</v>
      </c>
      <c r="W336" s="21">
        <v>5</v>
      </c>
      <c r="X336" s="21">
        <f t="shared" si="141"/>
        <v>119.59999999999998</v>
      </c>
      <c r="Y336" s="21">
        <f t="shared" si="141"/>
        <v>143.51999999999998</v>
      </c>
      <c r="Z336" s="21">
        <f t="shared" si="141"/>
        <v>167.43999999999994</v>
      </c>
      <c r="AA336" s="21">
        <f t="shared" si="141"/>
        <v>221.25999999999996</v>
      </c>
      <c r="AB336" s="26">
        <f t="shared" si="128"/>
        <v>38.179999999999993</v>
      </c>
      <c r="AC336" s="27">
        <f t="shared" si="129"/>
        <v>77.419999999999987</v>
      </c>
      <c r="AD336" s="26">
        <f t="shared" si="130"/>
        <v>45.355999999999995</v>
      </c>
      <c r="AE336" s="27">
        <f t="shared" si="131"/>
        <v>94.163999999999987</v>
      </c>
      <c r="AF336" s="26">
        <f t="shared" si="132"/>
        <v>52.531999999999982</v>
      </c>
      <c r="AG336" s="27">
        <f t="shared" si="133"/>
        <v>110.90799999999996</v>
      </c>
      <c r="AH336" s="26">
        <f t="shared" si="134"/>
        <v>68.677999999999983</v>
      </c>
      <c r="AI336" s="27">
        <f t="shared" si="135"/>
        <v>148.58199999999997</v>
      </c>
      <c r="AJ336" s="28" t="s">
        <v>45</v>
      </c>
      <c r="AK336" s="15" t="s">
        <v>46</v>
      </c>
    </row>
    <row r="337" spans="1:40" ht="14.25" customHeight="1">
      <c r="A337" s="15" t="s">
        <v>50</v>
      </c>
      <c r="B337" s="16">
        <v>20</v>
      </c>
      <c r="C337" s="17" t="s">
        <v>40</v>
      </c>
      <c r="D337" s="15" t="s">
        <v>41</v>
      </c>
      <c r="E337" s="18" t="s">
        <v>42</v>
      </c>
      <c r="F337" s="17">
        <v>4</v>
      </c>
      <c r="G337" s="19">
        <v>5</v>
      </c>
      <c r="H337" s="19">
        <f t="shared" si="125"/>
        <v>20</v>
      </c>
      <c r="I337" s="20" t="s">
        <v>42</v>
      </c>
      <c r="J337" s="21" t="s">
        <v>43</v>
      </c>
      <c r="K337" s="21"/>
      <c r="L337" s="26">
        <f>L329*5</f>
        <v>718.55000000000018</v>
      </c>
      <c r="M337" t="s">
        <v>44</v>
      </c>
      <c r="N337" s="28">
        <v>38</v>
      </c>
      <c r="O337" s="25">
        <v>84</v>
      </c>
      <c r="U337" s="21"/>
      <c r="V337" s="21">
        <v>4</v>
      </c>
      <c r="W337" s="21">
        <v>5</v>
      </c>
      <c r="X337" s="21">
        <f t="shared" si="141"/>
        <v>61019.279131501557</v>
      </c>
      <c r="Y337" s="21">
        <f t="shared" si="141"/>
        <v>69163.621600725543</v>
      </c>
      <c r="Z337" s="21">
        <f t="shared" si="141"/>
        <v>77307.964069949536</v>
      </c>
      <c r="AA337" s="21">
        <f t="shared" si="141"/>
        <v>99704.905860315514</v>
      </c>
      <c r="AB337" s="26">
        <f t="shared" si="128"/>
        <v>18308.083739450467</v>
      </c>
      <c r="AC337" s="27">
        <f t="shared" si="129"/>
        <v>42707.195392051086</v>
      </c>
      <c r="AD337" s="26">
        <f t="shared" si="130"/>
        <v>20751.386480217661</v>
      </c>
      <c r="AE337" s="27">
        <f t="shared" si="131"/>
        <v>48408.235120507874</v>
      </c>
      <c r="AF337" s="26">
        <f t="shared" si="132"/>
        <v>23194.689220984859</v>
      </c>
      <c r="AG337" s="27">
        <f t="shared" si="133"/>
        <v>54109.274848964669</v>
      </c>
      <c r="AH337" s="26">
        <f t="shared" si="134"/>
        <v>29913.771758094652</v>
      </c>
      <c r="AI337" s="27">
        <f t="shared" si="135"/>
        <v>69787.134102220851</v>
      </c>
      <c r="AJ337" s="28" t="s">
        <v>45</v>
      </c>
      <c r="AK337" s="15" t="s">
        <v>46</v>
      </c>
    </row>
    <row r="338" spans="1:40" ht="14.25" customHeight="1">
      <c r="A338" s="15" t="s">
        <v>51</v>
      </c>
      <c r="B338" s="16">
        <v>30</v>
      </c>
      <c r="C338" s="32" t="s">
        <v>40</v>
      </c>
      <c r="D338" s="15" t="s">
        <v>41</v>
      </c>
      <c r="E338" s="33" t="s">
        <v>42</v>
      </c>
      <c r="F338" s="17">
        <v>3</v>
      </c>
      <c r="G338" s="19">
        <v>5</v>
      </c>
      <c r="H338" s="19">
        <f t="shared" si="125"/>
        <v>15</v>
      </c>
      <c r="I338" s="20" t="s">
        <v>42</v>
      </c>
      <c r="J338" s="22" t="s">
        <v>52</v>
      </c>
      <c r="K338" s="21"/>
      <c r="L338" s="34">
        <f>14.71*5</f>
        <v>73.550000000000011</v>
      </c>
      <c r="M338" s="32" t="s">
        <v>53</v>
      </c>
      <c r="N338" s="17">
        <v>18</v>
      </c>
      <c r="O338" s="25">
        <v>84</v>
      </c>
      <c r="U338" s="21"/>
      <c r="V338" s="21">
        <f>L338</f>
        <v>73.550000000000011</v>
      </c>
      <c r="W338" s="21">
        <v>5</v>
      </c>
      <c r="X338" s="21">
        <f>(20*(1+0.6+0.4+0.3+0.3))+(L338-4)</f>
        <v>121.55000000000001</v>
      </c>
      <c r="Y338" s="21">
        <f>(24*(1+0.6+0.4+0.3+0.3))+(L338-4)</f>
        <v>131.94999999999999</v>
      </c>
      <c r="Z338" s="21">
        <f>(28*(1+0.6+0.4+0.3+0.3))+(L338-4)</f>
        <v>142.35</v>
      </c>
      <c r="AA338" s="21">
        <f>(39*(1+0.6+0.4+0.3+0.3))+(L338-4)</f>
        <v>170.95</v>
      </c>
      <c r="AB338" s="26">
        <f t="shared" si="128"/>
        <v>17.899999999999999</v>
      </c>
      <c r="AC338" s="27">
        <f t="shared" si="129"/>
        <v>30.099999999999998</v>
      </c>
      <c r="AD338" s="26">
        <f t="shared" si="130"/>
        <v>21.019999999999992</v>
      </c>
      <c r="AE338" s="27">
        <f t="shared" si="131"/>
        <v>37.379999999999981</v>
      </c>
      <c r="AF338" s="26">
        <f t="shared" si="132"/>
        <v>24.139999999999993</v>
      </c>
      <c r="AG338" s="27">
        <f t="shared" si="133"/>
        <v>44.659999999999982</v>
      </c>
      <c r="AH338" s="26">
        <f t="shared" si="134"/>
        <v>32.719999999999992</v>
      </c>
      <c r="AI338" s="27">
        <f t="shared" si="135"/>
        <v>64.679999999999978</v>
      </c>
      <c r="AJ338" s="28" t="s">
        <v>45</v>
      </c>
      <c r="AK338" s="15" t="s">
        <v>46</v>
      </c>
    </row>
    <row r="339" spans="1:40" ht="14.25" customHeight="1">
      <c r="A339" s="15" t="s">
        <v>51</v>
      </c>
      <c r="B339" s="16">
        <v>60</v>
      </c>
      <c r="C339" s="32" t="s">
        <v>40</v>
      </c>
      <c r="D339" s="15" t="s">
        <v>41</v>
      </c>
      <c r="E339" s="33" t="s">
        <v>42</v>
      </c>
      <c r="F339" s="17">
        <v>3</v>
      </c>
      <c r="G339" s="19">
        <v>5</v>
      </c>
      <c r="H339" s="19">
        <f t="shared" si="125"/>
        <v>15</v>
      </c>
      <c r="I339" s="20" t="s">
        <v>42</v>
      </c>
      <c r="J339" s="22" t="s">
        <v>52</v>
      </c>
      <c r="K339" s="21"/>
      <c r="L339" s="34">
        <f>14.71*5</f>
        <v>73.550000000000011</v>
      </c>
      <c r="M339" s="32" t="s">
        <v>53</v>
      </c>
      <c r="N339" s="17">
        <v>18</v>
      </c>
      <c r="O339" s="25">
        <v>84</v>
      </c>
      <c r="U339" s="21"/>
      <c r="V339" s="21">
        <f>L339</f>
        <v>73.550000000000011</v>
      </c>
      <c r="W339" s="21">
        <v>5</v>
      </c>
      <c r="X339" s="21">
        <f>(20*(1+0.6+0.4+0.3+0.3))+(L339-4)</f>
        <v>121.55000000000001</v>
      </c>
      <c r="Y339" s="21">
        <f>(24*(1+0.6+0.4+0.3+0.3))+(L339-4)</f>
        <v>131.94999999999999</v>
      </c>
      <c r="Z339" s="21">
        <f>(28*(1+0.6+0.4+0.3+0.3))+(L339-4)</f>
        <v>142.35</v>
      </c>
      <c r="AA339" s="21">
        <f>(39*(1+0.6+0.4+0.3+0.3))+(L339-4)</f>
        <v>170.95</v>
      </c>
      <c r="AB339" s="26">
        <f t="shared" si="128"/>
        <v>17.899999999999999</v>
      </c>
      <c r="AC339" s="27">
        <f t="shared" si="129"/>
        <v>30.099999999999998</v>
      </c>
      <c r="AD339" s="26">
        <f t="shared" si="130"/>
        <v>21.019999999999992</v>
      </c>
      <c r="AE339" s="27">
        <f t="shared" si="131"/>
        <v>37.379999999999981</v>
      </c>
      <c r="AF339" s="26">
        <f t="shared" si="132"/>
        <v>24.139999999999993</v>
      </c>
      <c r="AG339" s="27">
        <f t="shared" si="133"/>
        <v>44.659999999999982</v>
      </c>
      <c r="AH339" s="26">
        <f t="shared" si="134"/>
        <v>32.719999999999992</v>
      </c>
      <c r="AI339" s="27">
        <f t="shared" si="135"/>
        <v>64.679999999999978</v>
      </c>
      <c r="AJ339" s="28" t="s">
        <v>45</v>
      </c>
      <c r="AK339" s="15" t="s">
        <v>46</v>
      </c>
    </row>
    <row r="340" spans="1:40" ht="14.25" customHeight="1">
      <c r="A340" s="15" t="s">
        <v>113</v>
      </c>
      <c r="B340" s="16">
        <v>120</v>
      </c>
      <c r="C340" s="32" t="s">
        <v>40</v>
      </c>
      <c r="D340" s="15" t="s">
        <v>41</v>
      </c>
      <c r="E340" s="33" t="s">
        <v>42</v>
      </c>
      <c r="F340" s="17">
        <v>30</v>
      </c>
      <c r="G340" s="19">
        <v>5</v>
      </c>
      <c r="H340" s="19">
        <f t="shared" si="125"/>
        <v>150</v>
      </c>
      <c r="I340" s="38" t="s">
        <v>42</v>
      </c>
      <c r="J340" s="32"/>
      <c r="K340" s="32"/>
      <c r="L340" s="39">
        <v>5</v>
      </c>
      <c r="M340" s="32" t="s">
        <v>114</v>
      </c>
      <c r="N340" s="15">
        <v>180</v>
      </c>
      <c r="O340" s="44">
        <v>140</v>
      </c>
      <c r="P340" s="32" t="s">
        <v>115</v>
      </c>
      <c r="Q340" s="28">
        <v>140</v>
      </c>
      <c r="R340" s="17">
        <v>180</v>
      </c>
      <c r="U340" s="21"/>
      <c r="V340" s="21">
        <v>4</v>
      </c>
      <c r="W340" s="21">
        <v>5</v>
      </c>
      <c r="X340" s="21">
        <f>X336*(1+0.6+0.4+0.3+0.3)</f>
        <v>310.95999999999992</v>
      </c>
      <c r="Y340" s="21">
        <f>Y336*(1+0.6+0.4+0.3+0.3)</f>
        <v>373.15199999999993</v>
      </c>
      <c r="Z340" s="21">
        <f>Z336*(1+0.6+0.4+0.3+0.3)</f>
        <v>435.34399999999977</v>
      </c>
      <c r="AA340" s="21">
        <f>AA336*(1+0.6+0.4+0.3+0.3)</f>
        <v>575.27599999999984</v>
      </c>
      <c r="AB340" s="26">
        <f t="shared" si="128"/>
        <v>95.58799999999998</v>
      </c>
      <c r="AC340" s="27">
        <f t="shared" si="129"/>
        <v>211.37199999999993</v>
      </c>
      <c r="AD340" s="26">
        <f t="shared" si="130"/>
        <v>114.24559999999998</v>
      </c>
      <c r="AE340" s="27">
        <f t="shared" si="131"/>
        <v>254.90639999999993</v>
      </c>
      <c r="AF340" s="26">
        <f t="shared" si="132"/>
        <v>132.90319999999991</v>
      </c>
      <c r="AG340" s="27">
        <f t="shared" si="133"/>
        <v>298.4407999999998</v>
      </c>
      <c r="AH340" s="26">
        <f t="shared" si="134"/>
        <v>174.88279999999995</v>
      </c>
      <c r="AI340" s="27">
        <f t="shared" si="135"/>
        <v>396.39319999999987</v>
      </c>
      <c r="AJ340" s="28" t="s">
        <v>45</v>
      </c>
      <c r="AK340" s="15" t="s">
        <v>116</v>
      </c>
      <c r="AL340" s="15" t="s">
        <v>117</v>
      </c>
      <c r="AM340" s="15" t="s">
        <v>118</v>
      </c>
      <c r="AN340" s="15" t="s">
        <v>119</v>
      </c>
    </row>
    <row r="341" spans="1:40" ht="14.25" customHeight="1">
      <c r="A341" s="15" t="s">
        <v>113</v>
      </c>
      <c r="B341" s="16">
        <v>180</v>
      </c>
      <c r="C341" s="32" t="s">
        <v>40</v>
      </c>
      <c r="D341" s="15" t="s">
        <v>41</v>
      </c>
      <c r="E341" s="33" t="s">
        <v>42</v>
      </c>
      <c r="F341" s="17">
        <v>30</v>
      </c>
      <c r="G341" s="19">
        <v>5</v>
      </c>
      <c r="H341" s="19">
        <f t="shared" si="125"/>
        <v>150</v>
      </c>
      <c r="I341" s="38" t="s">
        <v>42</v>
      </c>
      <c r="J341" s="32"/>
      <c r="K341" s="32"/>
      <c r="L341" s="40">
        <f>1.44*5</f>
        <v>7.1999999999999993</v>
      </c>
      <c r="M341" s="32" t="s">
        <v>114</v>
      </c>
      <c r="N341" s="15">
        <v>180</v>
      </c>
      <c r="O341" s="44">
        <v>140</v>
      </c>
      <c r="P341" s="32" t="s">
        <v>115</v>
      </c>
      <c r="Q341" s="28">
        <v>140</v>
      </c>
      <c r="R341" s="17">
        <v>180</v>
      </c>
      <c r="U341" s="21"/>
      <c r="V341" s="21">
        <v>8</v>
      </c>
      <c r="W341" s="21">
        <v>5</v>
      </c>
      <c r="X341" s="21">
        <f>X337*(1+0.6+0.4+0.3+0.3)+4</f>
        <v>158654.12574190402</v>
      </c>
      <c r="Y341" s="21">
        <f>Y337*(1+0.6+0.4+0.3+0.3)+4</f>
        <v>179829.41616188639</v>
      </c>
      <c r="Z341" s="21">
        <f>Z337*(1+0.6+0.4+0.3+0.3)+4</f>
        <v>201004.70658186876</v>
      </c>
      <c r="AA341" s="21">
        <f>AA337*(1+0.6+0.4+0.3+0.3)+4</f>
        <v>259236.75523682029</v>
      </c>
      <c r="AB341" s="26">
        <f t="shared" si="128"/>
        <v>47597.337722571203</v>
      </c>
      <c r="AC341" s="27">
        <f t="shared" si="129"/>
        <v>111048.7880193328</v>
      </c>
      <c r="AD341" s="26">
        <f t="shared" si="130"/>
        <v>53949.924848565912</v>
      </c>
      <c r="AE341" s="27">
        <f t="shared" si="131"/>
        <v>125871.49131332047</v>
      </c>
      <c r="AF341" s="26">
        <f t="shared" si="132"/>
        <v>60302.511974560621</v>
      </c>
      <c r="AG341" s="27">
        <f t="shared" si="133"/>
        <v>140694.19460730811</v>
      </c>
      <c r="AH341" s="26">
        <f t="shared" si="134"/>
        <v>77772.126571046087</v>
      </c>
      <c r="AI341" s="27">
        <f t="shared" si="135"/>
        <v>181456.62866577419</v>
      </c>
      <c r="AJ341" s="28" t="s">
        <v>45</v>
      </c>
      <c r="AK341" s="15" t="s">
        <v>116</v>
      </c>
      <c r="AL341" s="15" t="s">
        <v>117</v>
      </c>
      <c r="AM341" s="15" t="s">
        <v>118</v>
      </c>
      <c r="AN341" s="15" t="s">
        <v>119</v>
      </c>
    </row>
    <row r="342" spans="1:40" ht="14.25" customHeight="1">
      <c r="A342" s="15" t="s">
        <v>120</v>
      </c>
      <c r="B342" s="35">
        <v>1</v>
      </c>
      <c r="C342" s="15" t="s">
        <v>121</v>
      </c>
      <c r="D342" s="15" t="s">
        <v>41</v>
      </c>
      <c r="E342" s="33" t="s">
        <v>122</v>
      </c>
      <c r="F342" s="15">
        <v>5</v>
      </c>
      <c r="G342" s="19">
        <v>5</v>
      </c>
      <c r="H342" s="19">
        <f t="shared" si="125"/>
        <v>25</v>
      </c>
      <c r="I342" s="38" t="s">
        <v>106</v>
      </c>
      <c r="J342" s="32"/>
      <c r="K342" s="32"/>
      <c r="L342" s="37">
        <f>3.41*5</f>
        <v>17.05</v>
      </c>
      <c r="M342" s="32" t="s">
        <v>114</v>
      </c>
      <c r="N342" s="17">
        <v>30</v>
      </c>
      <c r="O342" s="44">
        <v>140</v>
      </c>
      <c r="V342" s="17">
        <f>L342</f>
        <v>17.05</v>
      </c>
      <c r="W342" s="21">
        <v>5</v>
      </c>
      <c r="X342" s="21">
        <f>(X338*(1+0.6+0.4+0.3+0.3))+(V342-4)</f>
        <v>329.08</v>
      </c>
      <c r="Y342" s="21">
        <f>(Y338*(1+0.6+0.4+0.3+0.3))+(V342-4)</f>
        <v>356.11999999999995</v>
      </c>
      <c r="Z342" s="21">
        <f>(Z338*(1+0.6+0.4+0.3+0.3))+(V342-4)</f>
        <v>383.15999999999997</v>
      </c>
      <c r="AA342" s="21">
        <f>(AA338*(1+0.6+0.4+0.3+0.3))+(V342-4)</f>
        <v>457.51999999999992</v>
      </c>
      <c r="AB342" s="26">
        <f t="shared" si="128"/>
        <v>97.108999999999995</v>
      </c>
      <c r="AC342" s="27">
        <f t="shared" si="129"/>
        <v>214.92099999999996</v>
      </c>
      <c r="AD342" s="26">
        <f t="shared" si="130"/>
        <v>105.22099999999998</v>
      </c>
      <c r="AE342" s="27">
        <f t="shared" si="131"/>
        <v>233.84899999999993</v>
      </c>
      <c r="AF342" s="26">
        <f t="shared" si="132"/>
        <v>113.33299999999998</v>
      </c>
      <c r="AG342" s="27">
        <f t="shared" si="133"/>
        <v>252.77699999999996</v>
      </c>
      <c r="AH342" s="26">
        <f t="shared" si="134"/>
        <v>135.64099999999996</v>
      </c>
      <c r="AI342" s="27">
        <f t="shared" si="135"/>
        <v>304.82899999999989</v>
      </c>
      <c r="AJ342" s="28" t="s">
        <v>45</v>
      </c>
      <c r="AK342" s="15" t="s">
        <v>123</v>
      </c>
      <c r="AL342" s="15" t="s">
        <v>116</v>
      </c>
      <c r="AM342" s="15" t="s">
        <v>117</v>
      </c>
      <c r="AN342" s="15" t="s">
        <v>118</v>
      </c>
    </row>
    <row r="343" spans="1:40" ht="14.25" customHeight="1">
      <c r="A343" s="45" t="s">
        <v>124</v>
      </c>
      <c r="B343" s="35">
        <v>27.5</v>
      </c>
      <c r="C343" s="17" t="s">
        <v>70</v>
      </c>
      <c r="D343" s="15" t="s">
        <v>41</v>
      </c>
      <c r="E343" s="33" t="s">
        <v>125</v>
      </c>
      <c r="F343" s="28">
        <v>1</v>
      </c>
      <c r="G343" s="19">
        <v>5</v>
      </c>
      <c r="H343" s="19">
        <f t="shared" si="125"/>
        <v>5</v>
      </c>
      <c r="I343" s="38" t="s">
        <v>126</v>
      </c>
      <c r="J343" s="32"/>
      <c r="K343" s="32"/>
      <c r="L343" s="37">
        <f>L342+6.44</f>
        <v>23.490000000000002</v>
      </c>
      <c r="M343" s="32" t="s">
        <v>114</v>
      </c>
      <c r="N343" s="15">
        <v>6</v>
      </c>
      <c r="O343" s="44">
        <v>140</v>
      </c>
      <c r="P343" s="32" t="s">
        <v>127</v>
      </c>
      <c r="Q343" s="28">
        <v>140</v>
      </c>
      <c r="R343" s="17">
        <v>6</v>
      </c>
      <c r="V343" s="17">
        <f>L343</f>
        <v>23.490000000000002</v>
      </c>
      <c r="W343" s="21">
        <v>5</v>
      </c>
      <c r="X343" s="21">
        <f>(X339*(1+0.6+0.4+0.3+0.3))+(V343-4)</f>
        <v>335.52</v>
      </c>
      <c r="Y343" s="21">
        <f>(Y339*(1+0.6+0.4+0.3+0.3))+(V343-4)</f>
        <v>362.55999999999995</v>
      </c>
      <c r="Z343" s="21">
        <f>(Z339*(1+0.6+0.4+0.3+0.3))+(V343-4)</f>
        <v>389.59999999999997</v>
      </c>
      <c r="AA343" s="21">
        <f>(AA339*(1+0.6+0.4+0.3+0.3))+(V343-4)</f>
        <v>463.95999999999992</v>
      </c>
      <c r="AB343" s="26">
        <f t="shared" ref="AB343:AB374" si="142">W343+(X343-V343-W343)*0.3</f>
        <v>97.108999999999995</v>
      </c>
      <c r="AC343" s="27">
        <f t="shared" ref="AC343:AC374" si="143">(X343-V343-W343)*0.7</f>
        <v>214.92099999999996</v>
      </c>
      <c r="AD343" s="26">
        <f t="shared" ref="AD343:AD374" si="144">W343+(Y343-V343-W343)*0.3</f>
        <v>105.22099999999998</v>
      </c>
      <c r="AE343" s="27">
        <f t="shared" ref="AE343:AE374" si="145">(Y343-V343-W343)*0.7</f>
        <v>233.84899999999993</v>
      </c>
      <c r="AF343" s="26">
        <f t="shared" ref="AF343:AF374" si="146">W343+(Z343-V343-W343)*0.3</f>
        <v>113.33299999999998</v>
      </c>
      <c r="AG343" s="27">
        <f t="shared" ref="AG343:AG374" si="147">(Z343-V343-W343)*0.7</f>
        <v>252.77699999999996</v>
      </c>
      <c r="AH343" s="26">
        <f t="shared" ref="AH343:AH374" si="148">W343+(AA343-V343-W343)*0.3</f>
        <v>135.64099999999996</v>
      </c>
      <c r="AI343" s="27">
        <f t="shared" ref="AI343:AI374" si="149">(AA343-V343-W343)*0.7</f>
        <v>304.82899999999989</v>
      </c>
      <c r="AJ343" s="28" t="s">
        <v>45</v>
      </c>
      <c r="AK343" s="15" t="s">
        <v>117</v>
      </c>
      <c r="AL343" s="15" t="s">
        <v>118</v>
      </c>
      <c r="AM343" s="15" t="s">
        <v>123</v>
      </c>
      <c r="AN343" s="15" t="s">
        <v>119</v>
      </c>
    </row>
    <row r="344" spans="1:40" ht="14.25" customHeight="1">
      <c r="A344" s="15" t="s">
        <v>128</v>
      </c>
      <c r="B344" s="35">
        <v>0.1</v>
      </c>
      <c r="C344" s="17" t="s">
        <v>54</v>
      </c>
      <c r="D344" s="15" t="s">
        <v>41</v>
      </c>
      <c r="E344" s="33" t="s">
        <v>125</v>
      </c>
      <c r="F344" s="17">
        <v>1</v>
      </c>
      <c r="G344" s="19">
        <v>5</v>
      </c>
      <c r="H344" s="19">
        <f t="shared" si="125"/>
        <v>5</v>
      </c>
      <c r="I344" s="38" t="s">
        <v>126</v>
      </c>
      <c r="J344" s="32"/>
      <c r="K344" s="32"/>
      <c r="L344" s="37">
        <f>10.5+L343</f>
        <v>33.99</v>
      </c>
      <c r="M344" s="32" t="s">
        <v>114</v>
      </c>
      <c r="N344" s="15">
        <v>6</v>
      </c>
      <c r="O344" s="44">
        <v>140</v>
      </c>
      <c r="V344" s="17">
        <f>L344</f>
        <v>33.99</v>
      </c>
      <c r="W344" s="21">
        <v>5</v>
      </c>
      <c r="X344" s="21">
        <f>(20*(1+0.6+0.4+0.3+0.3))+(V344-4)</f>
        <v>81.99</v>
      </c>
      <c r="Y344" s="21">
        <f>(24*(1+0.6+0.4+0.3+0.3))+(V344-4)</f>
        <v>92.389999999999986</v>
      </c>
      <c r="Z344" s="21">
        <f>(28*(1+0.6+0.4+0.3+0.3))+(V344-4)</f>
        <v>102.78999999999999</v>
      </c>
      <c r="AA344" s="21">
        <f>(39*(1+0.6+0.4+0.3+0.3))+(V344-4)</f>
        <v>131.38999999999999</v>
      </c>
      <c r="AB344" s="26">
        <f t="shared" si="142"/>
        <v>17.899999999999999</v>
      </c>
      <c r="AC344" s="27">
        <f t="shared" si="143"/>
        <v>30.099999999999994</v>
      </c>
      <c r="AD344" s="26">
        <f t="shared" si="144"/>
        <v>21.019999999999996</v>
      </c>
      <c r="AE344" s="27">
        <f t="shared" si="145"/>
        <v>37.379999999999988</v>
      </c>
      <c r="AF344" s="26">
        <f t="shared" si="146"/>
        <v>24.139999999999993</v>
      </c>
      <c r="AG344" s="27">
        <f t="shared" si="147"/>
        <v>44.659999999999982</v>
      </c>
      <c r="AH344" s="26">
        <f t="shared" si="148"/>
        <v>32.719999999999992</v>
      </c>
      <c r="AI344" s="27">
        <f t="shared" si="149"/>
        <v>64.679999999999978</v>
      </c>
      <c r="AJ344" s="28" t="s">
        <v>45</v>
      </c>
      <c r="AK344" s="15" t="s">
        <v>118</v>
      </c>
      <c r="AL344" s="15" t="s">
        <v>116</v>
      </c>
      <c r="AM344" s="15" t="s">
        <v>123</v>
      </c>
      <c r="AN344" s="15" t="s">
        <v>119</v>
      </c>
    </row>
    <row r="345" spans="1:40" ht="14.25" customHeight="1">
      <c r="A345" s="15" t="s">
        <v>129</v>
      </c>
      <c r="B345" s="35">
        <v>50</v>
      </c>
      <c r="C345" s="17" t="s">
        <v>130</v>
      </c>
      <c r="D345" s="15" t="s">
        <v>41</v>
      </c>
      <c r="E345" s="33" t="s">
        <v>125</v>
      </c>
      <c r="F345" s="17">
        <v>1</v>
      </c>
      <c r="G345" s="19">
        <v>5</v>
      </c>
      <c r="H345" s="19">
        <f t="shared" si="125"/>
        <v>5</v>
      </c>
      <c r="I345" s="38" t="s">
        <v>126</v>
      </c>
      <c r="J345" s="32"/>
      <c r="K345" s="32"/>
      <c r="L345" s="37">
        <f>5.26+L344</f>
        <v>39.25</v>
      </c>
      <c r="M345" s="32" t="s">
        <v>114</v>
      </c>
      <c r="N345" s="15">
        <v>6</v>
      </c>
      <c r="O345" s="44">
        <v>140</v>
      </c>
      <c r="P345" s="32" t="s">
        <v>127</v>
      </c>
      <c r="Q345" s="28">
        <v>140</v>
      </c>
      <c r="R345" s="15">
        <v>6</v>
      </c>
      <c r="S345" s="32"/>
      <c r="T345" s="32"/>
      <c r="V345" s="17">
        <f>L345</f>
        <v>39.25</v>
      </c>
      <c r="W345" s="21">
        <v>5</v>
      </c>
      <c r="X345" s="21">
        <f>(X341*(1+0.6+0.4+0.3+0.3))+(V345-4)</f>
        <v>412535.9769289504</v>
      </c>
      <c r="Y345" s="21">
        <f>(Y341*(1+0.6+0.4+0.3+0.3))+(V345-4)</f>
        <v>467591.73202090454</v>
      </c>
      <c r="Z345" s="21">
        <f>(Z341*(1+0.6+0.4+0.3+0.3))+(V345-4)</f>
        <v>522647.48711285868</v>
      </c>
      <c r="AA345" s="21">
        <f>(AA341*(1+0.6+0.4+0.3+0.3))+(V345-4)</f>
        <v>674050.81361573271</v>
      </c>
      <c r="AB345" s="26">
        <f t="shared" si="142"/>
        <v>123752.51807868511</v>
      </c>
      <c r="AC345" s="27">
        <f t="shared" si="143"/>
        <v>288744.20885026525</v>
      </c>
      <c r="AD345" s="26">
        <f t="shared" si="144"/>
        <v>140269.24460627136</v>
      </c>
      <c r="AE345" s="27">
        <f t="shared" si="145"/>
        <v>327283.23741463316</v>
      </c>
      <c r="AF345" s="26">
        <f t="shared" si="146"/>
        <v>156785.97113385759</v>
      </c>
      <c r="AG345" s="27">
        <f t="shared" si="147"/>
        <v>365822.26597900107</v>
      </c>
      <c r="AH345" s="26">
        <f t="shared" si="148"/>
        <v>202206.96908471981</v>
      </c>
      <c r="AI345" s="27">
        <f t="shared" si="149"/>
        <v>471804.59453101287</v>
      </c>
      <c r="AJ345" s="28" t="s">
        <v>45</v>
      </c>
      <c r="AK345" s="15" t="s">
        <v>117</v>
      </c>
      <c r="AL345" s="15" t="s">
        <v>116</v>
      </c>
      <c r="AM345" s="15" t="s">
        <v>123</v>
      </c>
      <c r="AN345" s="15" t="s">
        <v>119</v>
      </c>
    </row>
    <row r="346" spans="1:40" ht="14.25" customHeight="1">
      <c r="A346" s="15" t="s">
        <v>131</v>
      </c>
      <c r="B346" s="35">
        <v>0.5</v>
      </c>
      <c r="C346" s="17" t="s">
        <v>121</v>
      </c>
      <c r="D346" s="15" t="s">
        <v>41</v>
      </c>
      <c r="E346" s="33" t="s">
        <v>122</v>
      </c>
      <c r="F346" s="15">
        <v>8</v>
      </c>
      <c r="G346" s="19">
        <v>5</v>
      </c>
      <c r="H346" s="19">
        <f t="shared" si="125"/>
        <v>40</v>
      </c>
      <c r="I346" s="38" t="s">
        <v>106</v>
      </c>
      <c r="J346" s="32"/>
      <c r="K346" s="32"/>
      <c r="L346" s="37">
        <f>L345+5.32</f>
        <v>44.57</v>
      </c>
      <c r="M346" s="32" t="s">
        <v>114</v>
      </c>
      <c r="N346" s="17">
        <v>48</v>
      </c>
      <c r="O346" s="44">
        <v>140</v>
      </c>
      <c r="V346" s="17">
        <f>L346</f>
        <v>44.57</v>
      </c>
      <c r="W346" s="21">
        <v>5</v>
      </c>
      <c r="X346" s="21">
        <f>(X342*(1+0.6+0.4+0.3+0.3))+($V$223-4)</f>
        <v>855.60799999999983</v>
      </c>
      <c r="Y346" s="21">
        <f>(Y342*(1+0.6+0.4+0.3+0.3))+($V$223-4)</f>
        <v>925.91199999999969</v>
      </c>
      <c r="Z346" s="21">
        <f>(Z342*(1+0.6+0.4+0.3+0.3))+($V$223-4)</f>
        <v>996.21599999999978</v>
      </c>
      <c r="AA346" s="21">
        <f>(AA342*(1+0.6+0.4+0.3+0.3))+($V$223-4)</f>
        <v>1189.5519999999997</v>
      </c>
      <c r="AB346" s="26">
        <f t="shared" si="142"/>
        <v>246.81139999999994</v>
      </c>
      <c r="AC346" s="27">
        <f t="shared" si="143"/>
        <v>564.22659999999985</v>
      </c>
      <c r="AD346" s="26">
        <f t="shared" si="144"/>
        <v>267.90259999999989</v>
      </c>
      <c r="AE346" s="27">
        <f t="shared" si="145"/>
        <v>613.43939999999975</v>
      </c>
      <c r="AF346" s="26">
        <f t="shared" si="146"/>
        <v>288.99379999999991</v>
      </c>
      <c r="AG346" s="27">
        <f t="shared" si="147"/>
        <v>662.65219999999977</v>
      </c>
      <c r="AH346" s="26">
        <f t="shared" si="148"/>
        <v>346.99459999999993</v>
      </c>
      <c r="AI346" s="27">
        <f t="shared" si="149"/>
        <v>797.98739999999975</v>
      </c>
      <c r="AJ346" s="28" t="s">
        <v>45</v>
      </c>
      <c r="AK346" s="15" t="s">
        <v>117</v>
      </c>
      <c r="AL346" s="15" t="s">
        <v>116</v>
      </c>
      <c r="AM346" s="15" t="s">
        <v>123</v>
      </c>
      <c r="AN346" s="15" t="s">
        <v>118</v>
      </c>
    </row>
    <row r="347" spans="1:40" ht="14.25" customHeight="1">
      <c r="A347" s="15" t="s">
        <v>39</v>
      </c>
      <c r="B347" s="16">
        <v>25</v>
      </c>
      <c r="C347" s="17" t="s">
        <v>40</v>
      </c>
      <c r="D347" s="15" t="s">
        <v>41</v>
      </c>
      <c r="E347" s="18" t="s">
        <v>42</v>
      </c>
      <c r="F347" s="28">
        <v>4</v>
      </c>
      <c r="G347" s="19">
        <v>6</v>
      </c>
      <c r="H347" s="19">
        <f t="shared" si="125"/>
        <v>24</v>
      </c>
      <c r="I347" s="20" t="s">
        <v>42</v>
      </c>
      <c r="J347" s="21" t="s">
        <v>43</v>
      </c>
      <c r="K347" s="21"/>
      <c r="L347" s="26">
        <f>0.24*6</f>
        <v>1.44</v>
      </c>
      <c r="M347" t="s">
        <v>44</v>
      </c>
      <c r="N347" s="24">
        <v>38</v>
      </c>
      <c r="O347" s="25">
        <v>84</v>
      </c>
      <c r="U347" s="21"/>
      <c r="V347" s="21">
        <v>4</v>
      </c>
      <c r="W347" s="21">
        <v>5</v>
      </c>
      <c r="X347" s="21">
        <f>X334*(1+0.6+0.4+0.3+0.3+0.3)</f>
        <v>76924.238904936734</v>
      </c>
      <c r="Y347" s="21">
        <f>Y334*(1+0.6+0.4+0.3+0.3+0.3)</f>
        <v>87193.192453088704</v>
      </c>
      <c r="Z347" s="21">
        <f>Z334*(1+0.6+0.4+0.3+0.3+0.3)</f>
        <v>97462.146001240719</v>
      </c>
      <c r="AA347" s="21">
        <f>AA334*(1+0.6+0.4+0.3+0.3+0.3)</f>
        <v>125701.76825865869</v>
      </c>
      <c r="AB347" s="26">
        <f t="shared" si="142"/>
        <v>23079.571671481019</v>
      </c>
      <c r="AC347" s="27">
        <f t="shared" si="143"/>
        <v>53840.667233455708</v>
      </c>
      <c r="AD347" s="26">
        <f t="shared" si="144"/>
        <v>26160.257735926611</v>
      </c>
      <c r="AE347" s="27">
        <f t="shared" si="145"/>
        <v>61028.93471716209</v>
      </c>
      <c r="AF347" s="26">
        <f t="shared" si="146"/>
        <v>29240.943800372213</v>
      </c>
      <c r="AG347" s="27">
        <f t="shared" si="147"/>
        <v>68217.202200868502</v>
      </c>
      <c r="AH347" s="26">
        <f t="shared" si="148"/>
        <v>37712.830477597607</v>
      </c>
      <c r="AI347" s="27">
        <f t="shared" si="149"/>
        <v>87984.937781061075</v>
      </c>
      <c r="AJ347" s="28" t="s">
        <v>45</v>
      </c>
      <c r="AK347" s="15" t="s">
        <v>46</v>
      </c>
    </row>
    <row r="348" spans="1:40" ht="14.25" customHeight="1">
      <c r="A348" s="15" t="s">
        <v>39</v>
      </c>
      <c r="B348" s="16">
        <v>50</v>
      </c>
      <c r="C348" s="17" t="s">
        <v>40</v>
      </c>
      <c r="D348" s="15" t="s">
        <v>41</v>
      </c>
      <c r="E348" s="18" t="s">
        <v>42</v>
      </c>
      <c r="F348" s="28">
        <v>4</v>
      </c>
      <c r="G348" s="19">
        <v>6</v>
      </c>
      <c r="H348" s="19">
        <f t="shared" si="125"/>
        <v>24</v>
      </c>
      <c r="I348" s="20" t="s">
        <v>42</v>
      </c>
      <c r="J348" s="21" t="s">
        <v>43</v>
      </c>
      <c r="K348" s="21"/>
      <c r="L348" s="26">
        <f>0.28*6</f>
        <v>1.6800000000000002</v>
      </c>
      <c r="M348" t="s">
        <v>44</v>
      </c>
      <c r="N348" s="24">
        <v>38</v>
      </c>
      <c r="O348" s="25">
        <v>84</v>
      </c>
      <c r="U348" s="21"/>
      <c r="V348" s="21">
        <v>4</v>
      </c>
      <c r="W348" s="21">
        <v>5</v>
      </c>
      <c r="X348" s="21">
        <f>X334*(1+0.6+0.4+0.3+0.3+0.3)</f>
        <v>76924.238904936734</v>
      </c>
      <c r="Y348" s="21">
        <f>Y334*(1+0.6+0.4+0.3+0.3+0.3)</f>
        <v>87193.192453088704</v>
      </c>
      <c r="Z348" s="21">
        <f>Z334*(1+0.6+0.4+0.3+0.3+0.3)</f>
        <v>97462.146001240719</v>
      </c>
      <c r="AA348" s="21">
        <f>AA334*(1+0.6+0.4+0.3+0.3+0.3)</f>
        <v>125701.76825865869</v>
      </c>
      <c r="AB348" s="26">
        <f t="shared" si="142"/>
        <v>23079.571671481019</v>
      </c>
      <c r="AC348" s="27">
        <f t="shared" si="143"/>
        <v>53840.667233455708</v>
      </c>
      <c r="AD348" s="26">
        <f t="shared" si="144"/>
        <v>26160.257735926611</v>
      </c>
      <c r="AE348" s="27">
        <f t="shared" si="145"/>
        <v>61028.93471716209</v>
      </c>
      <c r="AF348" s="26">
        <f t="shared" si="146"/>
        <v>29240.943800372213</v>
      </c>
      <c r="AG348" s="27">
        <f t="shared" si="147"/>
        <v>68217.202200868502</v>
      </c>
      <c r="AH348" s="26">
        <f t="shared" si="148"/>
        <v>37712.830477597607</v>
      </c>
      <c r="AI348" s="27">
        <f t="shared" si="149"/>
        <v>87984.937781061075</v>
      </c>
      <c r="AJ348" s="28" t="s">
        <v>45</v>
      </c>
      <c r="AK348" s="15" t="s">
        <v>46</v>
      </c>
    </row>
    <row r="349" spans="1:40" ht="14.25" customHeight="1">
      <c r="A349" s="15" t="s">
        <v>39</v>
      </c>
      <c r="B349" s="16">
        <v>100</v>
      </c>
      <c r="C349" s="17" t="s">
        <v>40</v>
      </c>
      <c r="D349" s="15" t="s">
        <v>41</v>
      </c>
      <c r="E349" s="18" t="s">
        <v>42</v>
      </c>
      <c r="F349" s="28">
        <v>4</v>
      </c>
      <c r="G349" s="19">
        <v>6</v>
      </c>
      <c r="H349" s="19">
        <f t="shared" si="125"/>
        <v>24</v>
      </c>
      <c r="I349" s="20" t="s">
        <v>42</v>
      </c>
      <c r="J349" s="21" t="s">
        <v>43</v>
      </c>
      <c r="K349" s="21"/>
      <c r="L349" s="26">
        <f>0.26*6</f>
        <v>1.56</v>
      </c>
      <c r="M349" t="s">
        <v>44</v>
      </c>
      <c r="N349" s="24">
        <v>38</v>
      </c>
      <c r="O349" s="25">
        <v>84</v>
      </c>
      <c r="U349" s="21"/>
      <c r="V349" s="21">
        <v>4</v>
      </c>
      <c r="W349" s="21">
        <v>5</v>
      </c>
      <c r="X349" s="21">
        <f>X334*(1+0.6+0.4+0.3+0.3+0.3)</f>
        <v>76924.238904936734</v>
      </c>
      <c r="Y349" s="21">
        <f>Y334*(1+0.6+0.4+0.3+0.3+0.3)</f>
        <v>87193.192453088704</v>
      </c>
      <c r="Z349" s="21">
        <f>Z334*(1+0.6+0.4+0.3+0.3+0.3)</f>
        <v>97462.146001240719</v>
      </c>
      <c r="AA349" s="21">
        <f>AA334*(1+0.6+0.4+0.3+0.3+0.3)</f>
        <v>125701.76825865869</v>
      </c>
      <c r="AB349" s="26">
        <f t="shared" si="142"/>
        <v>23079.571671481019</v>
      </c>
      <c r="AC349" s="27">
        <f t="shared" si="143"/>
        <v>53840.667233455708</v>
      </c>
      <c r="AD349" s="26">
        <f t="shared" si="144"/>
        <v>26160.257735926611</v>
      </c>
      <c r="AE349" s="27">
        <f t="shared" si="145"/>
        <v>61028.93471716209</v>
      </c>
      <c r="AF349" s="26">
        <f t="shared" si="146"/>
        <v>29240.943800372213</v>
      </c>
      <c r="AG349" s="27">
        <f t="shared" si="147"/>
        <v>68217.202200868502</v>
      </c>
      <c r="AH349" s="26">
        <f t="shared" si="148"/>
        <v>37712.830477597607</v>
      </c>
      <c r="AI349" s="27">
        <f t="shared" si="149"/>
        <v>87984.937781061075</v>
      </c>
      <c r="AJ349" s="28" t="s">
        <v>45</v>
      </c>
      <c r="AK349" s="15" t="s">
        <v>46</v>
      </c>
    </row>
    <row r="350" spans="1:40" ht="14.25" customHeight="1">
      <c r="A350" s="69" t="s">
        <v>47</v>
      </c>
      <c r="B350" s="16">
        <v>10</v>
      </c>
      <c r="C350" s="17" t="s">
        <v>40</v>
      </c>
      <c r="D350" s="15" t="s">
        <v>41</v>
      </c>
      <c r="E350" s="18" t="s">
        <v>42</v>
      </c>
      <c r="F350" s="17">
        <v>4</v>
      </c>
      <c r="G350" s="19">
        <v>6</v>
      </c>
      <c r="H350" s="19">
        <f t="shared" si="125"/>
        <v>24</v>
      </c>
      <c r="I350" s="20" t="s">
        <v>42</v>
      </c>
      <c r="J350" s="22" t="s">
        <v>49</v>
      </c>
      <c r="K350" s="21"/>
      <c r="L350" s="26">
        <f>0.27*6</f>
        <v>1.62</v>
      </c>
      <c r="M350" t="s">
        <v>44</v>
      </c>
      <c r="N350" s="28">
        <v>38</v>
      </c>
      <c r="O350" s="25">
        <v>84</v>
      </c>
      <c r="U350" s="21"/>
      <c r="V350" s="21">
        <v>4</v>
      </c>
      <c r="W350" s="21">
        <v>5</v>
      </c>
      <c r="X350" s="21">
        <f t="shared" ref="X350:AA353" si="150">X340*(1+0.6+0.4+0.3+0.3+0.3)</f>
        <v>901.78399999999965</v>
      </c>
      <c r="Y350" s="21">
        <f t="shared" si="150"/>
        <v>1082.1407999999997</v>
      </c>
      <c r="Z350" s="21">
        <f t="shared" si="150"/>
        <v>1262.497599999999</v>
      </c>
      <c r="AA350" s="21">
        <f t="shared" si="150"/>
        <v>1668.3003999999992</v>
      </c>
      <c r="AB350" s="26">
        <f t="shared" si="142"/>
        <v>272.83519999999987</v>
      </c>
      <c r="AC350" s="27">
        <f t="shared" si="143"/>
        <v>624.94879999999966</v>
      </c>
      <c r="AD350" s="26">
        <f t="shared" si="144"/>
        <v>326.94223999999991</v>
      </c>
      <c r="AE350" s="27">
        <f t="shared" si="145"/>
        <v>751.1985599999997</v>
      </c>
      <c r="AF350" s="26">
        <f t="shared" si="146"/>
        <v>381.04927999999967</v>
      </c>
      <c r="AG350" s="27">
        <f t="shared" si="147"/>
        <v>877.44831999999928</v>
      </c>
      <c r="AH350" s="26">
        <f t="shared" si="148"/>
        <v>502.79011999999972</v>
      </c>
      <c r="AI350" s="27">
        <f t="shared" si="149"/>
        <v>1161.5102799999993</v>
      </c>
      <c r="AJ350" s="28" t="s">
        <v>45</v>
      </c>
      <c r="AK350" s="15" t="s">
        <v>46</v>
      </c>
    </row>
    <row r="351" spans="1:40" ht="14.25" customHeight="1">
      <c r="A351" s="69" t="s">
        <v>47</v>
      </c>
      <c r="B351" s="16">
        <v>20</v>
      </c>
      <c r="C351" s="17" t="s">
        <v>40</v>
      </c>
      <c r="D351" s="15" t="s">
        <v>41</v>
      </c>
      <c r="E351" s="18" t="s">
        <v>42</v>
      </c>
      <c r="F351" s="17">
        <v>4</v>
      </c>
      <c r="G351" s="19">
        <v>6</v>
      </c>
      <c r="H351" s="19">
        <f t="shared" si="125"/>
        <v>24</v>
      </c>
      <c r="I351" s="20" t="s">
        <v>42</v>
      </c>
      <c r="J351" s="22" t="s">
        <v>49</v>
      </c>
      <c r="K351" s="21"/>
      <c r="L351" s="26">
        <f>0.27*6</f>
        <v>1.62</v>
      </c>
      <c r="M351" t="s">
        <v>44</v>
      </c>
      <c r="N351" s="28">
        <v>38</v>
      </c>
      <c r="O351" s="25">
        <v>84</v>
      </c>
      <c r="U351" s="21"/>
      <c r="V351" s="21">
        <v>4</v>
      </c>
      <c r="W351" s="21">
        <v>5</v>
      </c>
      <c r="X351" s="21">
        <f t="shared" si="150"/>
        <v>460096.96465152159</v>
      </c>
      <c r="Y351" s="21">
        <f t="shared" si="150"/>
        <v>521505.30686947046</v>
      </c>
      <c r="Z351" s="21">
        <f t="shared" si="150"/>
        <v>582913.64908741927</v>
      </c>
      <c r="AA351" s="21">
        <f t="shared" si="150"/>
        <v>751786.59018677869</v>
      </c>
      <c r="AB351" s="26">
        <f t="shared" si="142"/>
        <v>138031.38939545647</v>
      </c>
      <c r="AC351" s="27">
        <f t="shared" si="143"/>
        <v>322061.57525606512</v>
      </c>
      <c r="AD351" s="26">
        <f t="shared" si="144"/>
        <v>156453.89206084114</v>
      </c>
      <c r="AE351" s="27">
        <f t="shared" si="145"/>
        <v>365047.41480862931</v>
      </c>
      <c r="AF351" s="26">
        <f t="shared" si="146"/>
        <v>174876.39472622579</v>
      </c>
      <c r="AG351" s="27">
        <f t="shared" si="147"/>
        <v>408033.25436119345</v>
      </c>
      <c r="AH351" s="26">
        <f t="shared" si="148"/>
        <v>225538.27705603361</v>
      </c>
      <c r="AI351" s="27">
        <f t="shared" si="149"/>
        <v>526244.31313074508</v>
      </c>
      <c r="AJ351" s="28" t="s">
        <v>45</v>
      </c>
      <c r="AK351" s="15" t="s">
        <v>46</v>
      </c>
    </row>
    <row r="352" spans="1:40" ht="14.25" customHeight="1">
      <c r="A352" s="15" t="s">
        <v>50</v>
      </c>
      <c r="B352" s="16">
        <v>10</v>
      </c>
      <c r="C352" s="17" t="s">
        <v>40</v>
      </c>
      <c r="D352" s="15" t="s">
        <v>41</v>
      </c>
      <c r="E352" s="18" t="s">
        <v>42</v>
      </c>
      <c r="F352" s="17">
        <v>4</v>
      </c>
      <c r="G352" s="19">
        <v>6</v>
      </c>
      <c r="H352" s="19">
        <f t="shared" si="125"/>
        <v>24</v>
      </c>
      <c r="I352" s="20" t="s">
        <v>42</v>
      </c>
      <c r="J352" s="21" t="s">
        <v>43</v>
      </c>
      <c r="K352" s="21"/>
      <c r="L352" s="26">
        <f>L342*6</f>
        <v>102.30000000000001</v>
      </c>
      <c r="M352" t="s">
        <v>44</v>
      </c>
      <c r="N352" s="28">
        <v>38</v>
      </c>
      <c r="O352" s="25">
        <v>84</v>
      </c>
      <c r="U352" s="21"/>
      <c r="V352" s="21">
        <v>4</v>
      </c>
      <c r="W352" s="21">
        <v>5</v>
      </c>
      <c r="X352" s="21">
        <f t="shared" si="150"/>
        <v>954.33199999999977</v>
      </c>
      <c r="Y352" s="21">
        <f t="shared" si="150"/>
        <v>1032.7479999999996</v>
      </c>
      <c r="Z352" s="21">
        <f t="shared" si="150"/>
        <v>1111.1639999999998</v>
      </c>
      <c r="AA352" s="21">
        <f t="shared" si="150"/>
        <v>1326.8079999999995</v>
      </c>
      <c r="AB352" s="26">
        <f t="shared" si="142"/>
        <v>288.5995999999999</v>
      </c>
      <c r="AC352" s="27">
        <f t="shared" si="143"/>
        <v>661.73239999999976</v>
      </c>
      <c r="AD352" s="26">
        <f t="shared" si="144"/>
        <v>312.12439999999987</v>
      </c>
      <c r="AE352" s="27">
        <f t="shared" si="145"/>
        <v>716.62359999999967</v>
      </c>
      <c r="AF352" s="26">
        <f t="shared" si="146"/>
        <v>335.64919999999989</v>
      </c>
      <c r="AG352" s="27">
        <f t="shared" si="147"/>
        <v>771.51479999999981</v>
      </c>
      <c r="AH352" s="26">
        <f t="shared" si="148"/>
        <v>400.34239999999983</v>
      </c>
      <c r="AI352" s="27">
        <f t="shared" si="149"/>
        <v>922.46559999999965</v>
      </c>
      <c r="AJ352" s="28" t="s">
        <v>45</v>
      </c>
      <c r="AK352" s="15" t="s">
        <v>46</v>
      </c>
    </row>
    <row r="353" spans="1:40" ht="14.25" customHeight="1">
      <c r="A353" s="15" t="s">
        <v>50</v>
      </c>
      <c r="B353" s="16">
        <v>20</v>
      </c>
      <c r="C353" s="17" t="s">
        <v>40</v>
      </c>
      <c r="D353" s="15" t="s">
        <v>41</v>
      </c>
      <c r="E353" s="18" t="s">
        <v>42</v>
      </c>
      <c r="F353" s="17">
        <v>4</v>
      </c>
      <c r="G353" s="19">
        <v>6</v>
      </c>
      <c r="H353" s="19">
        <f t="shared" si="125"/>
        <v>24</v>
      </c>
      <c r="I353" s="20" t="s">
        <v>42</v>
      </c>
      <c r="J353" s="21" t="s">
        <v>43</v>
      </c>
      <c r="K353" s="21"/>
      <c r="L353" s="26">
        <f>L343*6</f>
        <v>140.94</v>
      </c>
      <c r="M353" t="s">
        <v>44</v>
      </c>
      <c r="N353" s="28">
        <v>38</v>
      </c>
      <c r="O353" s="25">
        <v>84</v>
      </c>
      <c r="U353" s="21"/>
      <c r="V353" s="21">
        <v>4</v>
      </c>
      <c r="W353" s="21">
        <v>5</v>
      </c>
      <c r="X353" s="21">
        <f t="shared" si="150"/>
        <v>973.00799999999981</v>
      </c>
      <c r="Y353" s="21">
        <f t="shared" si="150"/>
        <v>1051.4239999999998</v>
      </c>
      <c r="Z353" s="21">
        <f t="shared" si="150"/>
        <v>1129.8399999999997</v>
      </c>
      <c r="AA353" s="21">
        <f t="shared" si="150"/>
        <v>1345.4839999999995</v>
      </c>
      <c r="AB353" s="26">
        <f t="shared" si="142"/>
        <v>294.20239999999995</v>
      </c>
      <c r="AC353" s="27">
        <f t="shared" si="143"/>
        <v>674.8055999999998</v>
      </c>
      <c r="AD353" s="26">
        <f t="shared" si="144"/>
        <v>317.72719999999993</v>
      </c>
      <c r="AE353" s="27">
        <f t="shared" si="145"/>
        <v>729.69679999999983</v>
      </c>
      <c r="AF353" s="26">
        <f t="shared" si="146"/>
        <v>341.2519999999999</v>
      </c>
      <c r="AG353" s="27">
        <f t="shared" si="147"/>
        <v>784.58799999999974</v>
      </c>
      <c r="AH353" s="26">
        <f t="shared" si="148"/>
        <v>405.94519999999983</v>
      </c>
      <c r="AI353" s="27">
        <f t="shared" si="149"/>
        <v>935.53879999999958</v>
      </c>
      <c r="AJ353" s="28" t="s">
        <v>45</v>
      </c>
      <c r="AK353" s="15" t="s">
        <v>46</v>
      </c>
    </row>
    <row r="354" spans="1:40" ht="14.25" customHeight="1">
      <c r="A354" s="15" t="s">
        <v>51</v>
      </c>
      <c r="B354" s="16">
        <v>30</v>
      </c>
      <c r="C354" s="32" t="s">
        <v>40</v>
      </c>
      <c r="D354" s="15" t="s">
        <v>41</v>
      </c>
      <c r="E354" s="33" t="s">
        <v>42</v>
      </c>
      <c r="F354" s="17">
        <v>3</v>
      </c>
      <c r="G354" s="19">
        <v>6</v>
      </c>
      <c r="H354" s="19">
        <f t="shared" si="125"/>
        <v>18</v>
      </c>
      <c r="I354" s="20" t="s">
        <v>42</v>
      </c>
      <c r="J354" s="22" t="s">
        <v>52</v>
      </c>
      <c r="K354" s="21"/>
      <c r="L354" s="34">
        <f>14.71*6</f>
        <v>88.26</v>
      </c>
      <c r="M354" s="32" t="s">
        <v>53</v>
      </c>
      <c r="N354" s="17">
        <v>18</v>
      </c>
      <c r="O354" s="25">
        <v>84</v>
      </c>
      <c r="U354" s="21"/>
      <c r="V354" s="21">
        <f>L354</f>
        <v>88.26</v>
      </c>
      <c r="W354" s="21">
        <v>5</v>
      </c>
      <c r="X354" s="21">
        <f>(20*(1+0.6+0.4+0.3+0.3+0.3))+(L354-4)</f>
        <v>142.26</v>
      </c>
      <c r="Y354" s="21">
        <f>(24*(1+0.6+0.4+0.3+0.3+0.3))+(L354-4)</f>
        <v>153.86000000000001</v>
      </c>
      <c r="Z354" s="21">
        <f>(28*(1+0.6+0.4+0.3+0.3+0.3))+(L354-4)</f>
        <v>165.45999999999998</v>
      </c>
      <c r="AA354" s="21">
        <f>(39*(1+0.6+0.4+0.3+0.3+0.3))+(L354-4)</f>
        <v>197.35999999999999</v>
      </c>
      <c r="AB354" s="26">
        <f t="shared" si="142"/>
        <v>19.699999999999996</v>
      </c>
      <c r="AC354" s="27">
        <f t="shared" si="143"/>
        <v>34.29999999999999</v>
      </c>
      <c r="AD354" s="26">
        <f t="shared" si="144"/>
        <v>23.180000000000003</v>
      </c>
      <c r="AE354" s="27">
        <f t="shared" si="145"/>
        <v>42.42</v>
      </c>
      <c r="AF354" s="26">
        <f t="shared" si="146"/>
        <v>26.659999999999993</v>
      </c>
      <c r="AG354" s="27">
        <f t="shared" si="147"/>
        <v>50.539999999999978</v>
      </c>
      <c r="AH354" s="26">
        <f t="shared" si="148"/>
        <v>36.22999999999999</v>
      </c>
      <c r="AI354" s="27">
        <f t="shared" si="149"/>
        <v>72.869999999999976</v>
      </c>
      <c r="AJ354" s="28" t="s">
        <v>45</v>
      </c>
      <c r="AK354" s="15" t="s">
        <v>46</v>
      </c>
    </row>
    <row r="355" spans="1:40" ht="14.25" customHeight="1">
      <c r="A355" s="15" t="s">
        <v>51</v>
      </c>
      <c r="B355" s="16">
        <v>60</v>
      </c>
      <c r="C355" s="32" t="s">
        <v>40</v>
      </c>
      <c r="D355" s="15" t="s">
        <v>41</v>
      </c>
      <c r="E355" s="33" t="s">
        <v>42</v>
      </c>
      <c r="F355" s="17">
        <v>3</v>
      </c>
      <c r="G355" s="19">
        <v>6</v>
      </c>
      <c r="H355" s="19">
        <f t="shared" si="125"/>
        <v>18</v>
      </c>
      <c r="I355" s="20" t="s">
        <v>42</v>
      </c>
      <c r="J355" s="22" t="s">
        <v>52</v>
      </c>
      <c r="K355" s="21"/>
      <c r="L355" s="34">
        <f>L350*5</f>
        <v>8.1000000000000014</v>
      </c>
      <c r="M355" s="32" t="s">
        <v>53</v>
      </c>
      <c r="N355" s="17">
        <v>18</v>
      </c>
      <c r="O355" s="25">
        <v>84</v>
      </c>
      <c r="U355" s="21"/>
      <c r="V355" s="21">
        <f>L355</f>
        <v>8.1000000000000014</v>
      </c>
      <c r="W355" s="21">
        <v>5</v>
      </c>
      <c r="X355" s="21">
        <f>(20*(1+0.6+0.4+0.3+0.3+0.3))+(L355-4)</f>
        <v>62.099999999999987</v>
      </c>
      <c r="Y355" s="21">
        <f>(24*(1+0.6+0.4+0.3+0.3+0.3))+(L355-4)</f>
        <v>73.699999999999989</v>
      </c>
      <c r="Z355" s="21">
        <f>(28*(1+0.6+0.4+0.3+0.3+0.3))+(L355-4)</f>
        <v>85.299999999999983</v>
      </c>
      <c r="AA355" s="21">
        <f>(39*(1+0.6+0.4+0.3+0.3+0.3))+(L355-4)</f>
        <v>117.19999999999999</v>
      </c>
      <c r="AB355" s="26">
        <f t="shared" si="142"/>
        <v>19.699999999999996</v>
      </c>
      <c r="AC355" s="27">
        <f t="shared" si="143"/>
        <v>34.29999999999999</v>
      </c>
      <c r="AD355" s="26">
        <f t="shared" si="144"/>
        <v>23.179999999999996</v>
      </c>
      <c r="AE355" s="27">
        <f t="shared" si="145"/>
        <v>42.419999999999995</v>
      </c>
      <c r="AF355" s="26">
        <f t="shared" si="146"/>
        <v>26.659999999999997</v>
      </c>
      <c r="AG355" s="27">
        <f t="shared" si="147"/>
        <v>50.539999999999992</v>
      </c>
      <c r="AH355" s="26">
        <f t="shared" si="148"/>
        <v>36.229999999999997</v>
      </c>
      <c r="AI355" s="27">
        <f t="shared" si="149"/>
        <v>72.86999999999999</v>
      </c>
      <c r="AJ355" s="28" t="s">
        <v>45</v>
      </c>
      <c r="AK355" s="15" t="s">
        <v>46</v>
      </c>
    </row>
    <row r="356" spans="1:40" ht="14.25" customHeight="1">
      <c r="A356" s="15" t="s">
        <v>113</v>
      </c>
      <c r="B356" s="16">
        <v>120</v>
      </c>
      <c r="C356" s="32" t="s">
        <v>40</v>
      </c>
      <c r="D356" s="15" t="s">
        <v>41</v>
      </c>
      <c r="E356" s="33" t="s">
        <v>42</v>
      </c>
      <c r="F356" s="17">
        <v>30</v>
      </c>
      <c r="G356" s="19">
        <v>6</v>
      </c>
      <c r="H356" s="19">
        <f t="shared" si="125"/>
        <v>180</v>
      </c>
      <c r="I356" s="38" t="s">
        <v>42</v>
      </c>
      <c r="J356" s="32"/>
      <c r="K356" s="32"/>
      <c r="L356" s="39">
        <v>6</v>
      </c>
      <c r="M356" s="32" t="s">
        <v>114</v>
      </c>
      <c r="N356" s="15">
        <v>180</v>
      </c>
      <c r="O356" s="44">
        <v>140</v>
      </c>
      <c r="P356" s="32" t="s">
        <v>115</v>
      </c>
      <c r="Q356" s="28">
        <v>140</v>
      </c>
      <c r="R356" s="17">
        <v>180</v>
      </c>
      <c r="U356" s="21"/>
      <c r="V356" s="21">
        <v>4</v>
      </c>
      <c r="W356" s="21">
        <v>5</v>
      </c>
      <c r="X356" s="21">
        <f>X351*(1+0.6+0.4+0.3+0.3+0.3)</f>
        <v>1334281.1974894123</v>
      </c>
      <c r="Y356" s="21">
        <f>Y351*(1+0.6+0.4+0.3+0.3+0.3)</f>
        <v>1512365.389921464</v>
      </c>
      <c r="Z356" s="21">
        <f>Z351*(1+0.6+0.4+0.3+0.3+0.3)</f>
        <v>1690449.5823535156</v>
      </c>
      <c r="AA356" s="21">
        <f>AA351*(1+0.6+0.4+0.3+0.3+0.3)</f>
        <v>2180181.1115416577</v>
      </c>
      <c r="AB356" s="26">
        <f t="shared" si="142"/>
        <v>400286.65924682369</v>
      </c>
      <c r="AC356" s="27">
        <f t="shared" si="143"/>
        <v>933990.53824258852</v>
      </c>
      <c r="AD356" s="26">
        <f t="shared" si="144"/>
        <v>453711.91697643918</v>
      </c>
      <c r="AE356" s="27">
        <f t="shared" si="145"/>
        <v>1058649.4729450247</v>
      </c>
      <c r="AF356" s="26">
        <f t="shared" si="146"/>
        <v>507137.17470605462</v>
      </c>
      <c r="AG356" s="27">
        <f t="shared" si="147"/>
        <v>1183308.4076474607</v>
      </c>
      <c r="AH356" s="26">
        <f t="shared" si="148"/>
        <v>654056.63346249727</v>
      </c>
      <c r="AI356" s="27">
        <f t="shared" si="149"/>
        <v>1526120.4780791602</v>
      </c>
      <c r="AJ356" s="28" t="s">
        <v>45</v>
      </c>
      <c r="AK356" s="15" t="s">
        <v>116</v>
      </c>
      <c r="AL356" s="15" t="s">
        <v>117</v>
      </c>
      <c r="AM356" s="15" t="s">
        <v>118</v>
      </c>
      <c r="AN356" s="15" t="s">
        <v>119</v>
      </c>
    </row>
    <row r="357" spans="1:40" ht="14.25" customHeight="1">
      <c r="A357" s="15" t="s">
        <v>113</v>
      </c>
      <c r="B357" s="16">
        <v>180</v>
      </c>
      <c r="C357" s="32" t="s">
        <v>40</v>
      </c>
      <c r="D357" s="15" t="s">
        <v>41</v>
      </c>
      <c r="E357" s="33" t="s">
        <v>42</v>
      </c>
      <c r="F357" s="17">
        <v>30</v>
      </c>
      <c r="G357" s="19">
        <v>6</v>
      </c>
      <c r="H357" s="19">
        <f t="shared" si="125"/>
        <v>180</v>
      </c>
      <c r="I357" s="38" t="s">
        <v>42</v>
      </c>
      <c r="J357" s="32"/>
      <c r="K357" s="32"/>
      <c r="L357" s="40">
        <f>1.44*6</f>
        <v>8.64</v>
      </c>
      <c r="M357" s="32" t="s">
        <v>114</v>
      </c>
      <c r="N357" s="15">
        <v>180</v>
      </c>
      <c r="O357" s="44">
        <v>140</v>
      </c>
      <c r="P357" s="32" t="s">
        <v>115</v>
      </c>
      <c r="Q357" s="28">
        <v>140</v>
      </c>
      <c r="R357" s="17">
        <v>180</v>
      </c>
      <c r="U357" s="21"/>
      <c r="V357" s="21">
        <v>8</v>
      </c>
      <c r="W357" s="21">
        <v>5</v>
      </c>
      <c r="X357" s="21">
        <f>X352*(1+0.6+0.4+0.3+0.3+0.3)+4</f>
        <v>2771.5627999999988</v>
      </c>
      <c r="Y357" s="21">
        <f>Y352*(1+0.6+0.4+0.3+0.3+0.3)+4</f>
        <v>2998.9691999999982</v>
      </c>
      <c r="Z357" s="21">
        <f>Z352*(1+0.6+0.4+0.3+0.3+0.3)+4</f>
        <v>3226.3755999999985</v>
      </c>
      <c r="AA357" s="21">
        <f>AA352*(1+0.6+0.4+0.3+0.3+0.3)+4</f>
        <v>3851.7431999999981</v>
      </c>
      <c r="AB357" s="26">
        <f t="shared" si="142"/>
        <v>832.56883999999957</v>
      </c>
      <c r="AC357" s="27">
        <f t="shared" si="143"/>
        <v>1930.9939599999991</v>
      </c>
      <c r="AD357" s="26">
        <f t="shared" si="144"/>
        <v>900.79075999999941</v>
      </c>
      <c r="AE357" s="27">
        <f t="shared" si="145"/>
        <v>2090.1784399999988</v>
      </c>
      <c r="AF357" s="26">
        <f t="shared" si="146"/>
        <v>969.01267999999948</v>
      </c>
      <c r="AG357" s="27">
        <f t="shared" si="147"/>
        <v>2249.3629199999987</v>
      </c>
      <c r="AH357" s="26">
        <f t="shared" si="148"/>
        <v>1156.6229599999995</v>
      </c>
      <c r="AI357" s="27">
        <f t="shared" si="149"/>
        <v>2687.1202399999984</v>
      </c>
      <c r="AJ357" s="28" t="s">
        <v>45</v>
      </c>
      <c r="AK357" s="15" t="s">
        <v>116</v>
      </c>
      <c r="AL357" s="15" t="s">
        <v>117</v>
      </c>
      <c r="AM357" s="15" t="s">
        <v>118</v>
      </c>
      <c r="AN357" s="15" t="s">
        <v>119</v>
      </c>
    </row>
    <row r="358" spans="1:40" ht="14.25" customHeight="1">
      <c r="A358" s="15" t="s">
        <v>120</v>
      </c>
      <c r="B358" s="35">
        <v>1</v>
      </c>
      <c r="C358" s="15" t="s">
        <v>121</v>
      </c>
      <c r="D358" s="15" t="s">
        <v>41</v>
      </c>
      <c r="E358" s="33" t="s">
        <v>122</v>
      </c>
      <c r="F358" s="15">
        <v>5</v>
      </c>
      <c r="G358" s="19">
        <v>6</v>
      </c>
      <c r="H358" s="19">
        <f t="shared" si="125"/>
        <v>30</v>
      </c>
      <c r="I358" s="38" t="s">
        <v>106</v>
      </c>
      <c r="J358" s="32"/>
      <c r="K358" s="32"/>
      <c r="L358" s="37">
        <f>3.41*6</f>
        <v>20.46</v>
      </c>
      <c r="M358" s="32" t="s">
        <v>114</v>
      </c>
      <c r="N358" s="17">
        <v>30</v>
      </c>
      <c r="O358" s="44">
        <v>140</v>
      </c>
      <c r="V358" s="17">
        <f t="shared" ref="V358:V363" si="151">L358</f>
        <v>20.46</v>
      </c>
      <c r="W358" s="21">
        <v>5</v>
      </c>
      <c r="X358" s="21">
        <f>(X353*(1+0.6+0.4+0.3+0.3+0.3))+(V358-4)</f>
        <v>2838.183199999999</v>
      </c>
      <c r="Y358" s="21">
        <f>(Y353*(1+0.6+0.4+0.3+0.3+0.3))+(V358-4)</f>
        <v>3065.5895999999989</v>
      </c>
      <c r="Z358" s="21">
        <f>(Z353*(1+0.6+0.4+0.3+0.3+0.3))+(V358-4)</f>
        <v>3292.9959999999987</v>
      </c>
      <c r="AA358" s="21">
        <f>(AA353*(1+0.6+0.4+0.3+0.3+0.3))+(V358-4)</f>
        <v>3918.3635999999979</v>
      </c>
      <c r="AB358" s="26">
        <f t="shared" si="142"/>
        <v>848.81695999999965</v>
      </c>
      <c r="AC358" s="27">
        <f t="shared" si="143"/>
        <v>1968.9062399999991</v>
      </c>
      <c r="AD358" s="26">
        <f t="shared" si="144"/>
        <v>917.03887999999961</v>
      </c>
      <c r="AE358" s="27">
        <f t="shared" si="145"/>
        <v>2128.0907199999992</v>
      </c>
      <c r="AF358" s="26">
        <f t="shared" si="146"/>
        <v>985.26079999999956</v>
      </c>
      <c r="AG358" s="27">
        <f t="shared" si="147"/>
        <v>2287.2751999999991</v>
      </c>
      <c r="AH358" s="26">
        <f t="shared" si="148"/>
        <v>1172.8710799999992</v>
      </c>
      <c r="AI358" s="27">
        <f t="shared" si="149"/>
        <v>2725.0325199999984</v>
      </c>
      <c r="AJ358" s="28" t="s">
        <v>45</v>
      </c>
      <c r="AK358" s="15" t="s">
        <v>123</v>
      </c>
      <c r="AL358" s="15" t="s">
        <v>116</v>
      </c>
      <c r="AM358" s="15" t="s">
        <v>117</v>
      </c>
      <c r="AN358" s="15" t="s">
        <v>118</v>
      </c>
    </row>
    <row r="359" spans="1:40" ht="14.25" customHeight="1">
      <c r="A359" s="45" t="s">
        <v>124</v>
      </c>
      <c r="B359" s="35">
        <v>27.5</v>
      </c>
      <c r="C359" s="17" t="s">
        <v>70</v>
      </c>
      <c r="D359" s="15" t="s">
        <v>41</v>
      </c>
      <c r="E359" s="33" t="s">
        <v>125</v>
      </c>
      <c r="F359" s="28">
        <v>1</v>
      </c>
      <c r="G359" s="19">
        <v>6</v>
      </c>
      <c r="H359" s="19">
        <f t="shared" si="125"/>
        <v>6</v>
      </c>
      <c r="I359" s="38" t="s">
        <v>126</v>
      </c>
      <c r="J359" s="32"/>
      <c r="K359" s="32"/>
      <c r="L359" s="37">
        <f>L358+6.44</f>
        <v>26.900000000000002</v>
      </c>
      <c r="M359" s="32" t="s">
        <v>114</v>
      </c>
      <c r="N359" s="15">
        <v>6</v>
      </c>
      <c r="O359" s="44">
        <v>140</v>
      </c>
      <c r="P359" s="32" t="s">
        <v>127</v>
      </c>
      <c r="Q359" s="28">
        <v>140</v>
      </c>
      <c r="R359" s="17">
        <v>6</v>
      </c>
      <c r="V359" s="17">
        <f t="shared" si="151"/>
        <v>26.900000000000002</v>
      </c>
      <c r="W359" s="21">
        <v>5</v>
      </c>
      <c r="X359" s="21">
        <f>(X354*(1+0.6+0.4+0.3+0.3+0.3))+(V359-4)</f>
        <v>435.45399999999989</v>
      </c>
      <c r="Y359" s="21">
        <f>(Y354*(1+0.6+0.4+0.3+0.3+0.3))+(V359-4)</f>
        <v>469.09399999999994</v>
      </c>
      <c r="Z359" s="21">
        <f>(Z354*(1+0.6+0.4+0.3+0.3+0.3))+(V359-4)</f>
        <v>502.73399999999981</v>
      </c>
      <c r="AA359" s="21">
        <f>(AA354*(1+0.6+0.4+0.3+0.3+0.3))+(V359-4)</f>
        <v>595.2439999999998</v>
      </c>
      <c r="AB359" s="26">
        <f t="shared" si="142"/>
        <v>126.06619999999997</v>
      </c>
      <c r="AC359" s="27">
        <f t="shared" si="143"/>
        <v>282.48779999999994</v>
      </c>
      <c r="AD359" s="26">
        <f t="shared" si="144"/>
        <v>136.15819999999999</v>
      </c>
      <c r="AE359" s="27">
        <f t="shared" si="145"/>
        <v>306.03579999999994</v>
      </c>
      <c r="AF359" s="26">
        <f t="shared" si="146"/>
        <v>146.25019999999995</v>
      </c>
      <c r="AG359" s="27">
        <f t="shared" si="147"/>
        <v>329.58379999999988</v>
      </c>
      <c r="AH359" s="26">
        <f t="shared" si="148"/>
        <v>174.00319999999994</v>
      </c>
      <c r="AI359" s="27">
        <f t="shared" si="149"/>
        <v>394.34079999999983</v>
      </c>
      <c r="AJ359" s="28" t="s">
        <v>45</v>
      </c>
      <c r="AK359" s="15" t="s">
        <v>117</v>
      </c>
      <c r="AL359" s="15" t="s">
        <v>118</v>
      </c>
      <c r="AM359" s="15" t="s">
        <v>123</v>
      </c>
      <c r="AN359" s="15" t="s">
        <v>119</v>
      </c>
    </row>
    <row r="360" spans="1:40" ht="14.25" customHeight="1">
      <c r="A360" s="15" t="s">
        <v>128</v>
      </c>
      <c r="B360" s="35">
        <v>0.1</v>
      </c>
      <c r="C360" s="17" t="s">
        <v>54</v>
      </c>
      <c r="D360" s="15" t="s">
        <v>41</v>
      </c>
      <c r="E360" s="33" t="s">
        <v>125</v>
      </c>
      <c r="F360" s="17">
        <v>1</v>
      </c>
      <c r="G360" s="19">
        <v>6</v>
      </c>
      <c r="H360" s="19">
        <f t="shared" si="125"/>
        <v>6</v>
      </c>
      <c r="I360" s="38" t="s">
        <v>126</v>
      </c>
      <c r="J360" s="32"/>
      <c r="K360" s="32"/>
      <c r="L360" s="37">
        <f>10.5+L359</f>
        <v>37.400000000000006</v>
      </c>
      <c r="M360" s="32" t="s">
        <v>114</v>
      </c>
      <c r="N360" s="15">
        <v>6</v>
      </c>
      <c r="O360" s="44">
        <v>140</v>
      </c>
      <c r="V360" s="17">
        <f t="shared" si="151"/>
        <v>37.400000000000006</v>
      </c>
      <c r="W360" s="21">
        <v>5</v>
      </c>
      <c r="X360" s="21">
        <f>(20*(1+0.6+0.4+0.3+0.3+0.3))+(V360-4)</f>
        <v>91.399999999999991</v>
      </c>
      <c r="Y360" s="21">
        <f>(24*(1+0.6+0.4+0.3+0.3+0.3))+(V360-2-4)</f>
        <v>101</v>
      </c>
      <c r="Z360" s="21">
        <f>(28*(1+0.6+0.4+0.3+0.3+0.3))+(V360--4)</f>
        <v>122.6</v>
      </c>
      <c r="AA360" s="21">
        <f>(39*(1+0.6+0.4+0.3+0.3+0.3))+(V360-4)</f>
        <v>146.5</v>
      </c>
      <c r="AB360" s="26">
        <f t="shared" si="142"/>
        <v>19.699999999999996</v>
      </c>
      <c r="AC360" s="27">
        <f t="shared" si="143"/>
        <v>34.29999999999999</v>
      </c>
      <c r="AD360" s="26">
        <f t="shared" si="144"/>
        <v>22.58</v>
      </c>
      <c r="AE360" s="27">
        <f t="shared" si="145"/>
        <v>41.019999999999996</v>
      </c>
      <c r="AF360" s="26">
        <f t="shared" si="146"/>
        <v>29.059999999999995</v>
      </c>
      <c r="AG360" s="27">
        <f t="shared" si="147"/>
        <v>56.139999999999986</v>
      </c>
      <c r="AH360" s="26">
        <f t="shared" si="148"/>
        <v>36.229999999999997</v>
      </c>
      <c r="AI360" s="27">
        <f t="shared" si="149"/>
        <v>72.86999999999999</v>
      </c>
      <c r="AJ360" s="28" t="s">
        <v>45</v>
      </c>
      <c r="AK360" s="15" t="s">
        <v>118</v>
      </c>
      <c r="AL360" s="15" t="s">
        <v>116</v>
      </c>
      <c r="AM360" s="15" t="s">
        <v>123</v>
      </c>
      <c r="AN360" s="15" t="s">
        <v>119</v>
      </c>
    </row>
    <row r="361" spans="1:40" ht="14.25" customHeight="1">
      <c r="A361" s="15" t="s">
        <v>129</v>
      </c>
      <c r="B361" s="35">
        <v>50</v>
      </c>
      <c r="C361" s="17" t="s">
        <v>130</v>
      </c>
      <c r="D361" s="15" t="s">
        <v>41</v>
      </c>
      <c r="E361" s="33" t="s">
        <v>125</v>
      </c>
      <c r="F361" s="17">
        <v>1</v>
      </c>
      <c r="G361" s="19">
        <v>6</v>
      </c>
      <c r="H361" s="19">
        <f t="shared" ref="H361:H424" si="152">F361*G361</f>
        <v>6</v>
      </c>
      <c r="I361" s="38" t="s">
        <v>126</v>
      </c>
      <c r="J361" s="32"/>
      <c r="K361" s="32"/>
      <c r="L361" s="37">
        <f>5.26+L360</f>
        <v>42.660000000000004</v>
      </c>
      <c r="M361" s="32" t="s">
        <v>114</v>
      </c>
      <c r="N361" s="15">
        <v>6</v>
      </c>
      <c r="O361" s="44">
        <v>140</v>
      </c>
      <c r="P361" s="32" t="s">
        <v>127</v>
      </c>
      <c r="Q361" s="28">
        <v>140</v>
      </c>
      <c r="R361" s="15">
        <v>6</v>
      </c>
      <c r="S361" s="32"/>
      <c r="T361" s="32"/>
      <c r="V361" s="17">
        <f t="shared" si="151"/>
        <v>42.660000000000004</v>
      </c>
      <c r="W361" s="21">
        <v>5</v>
      </c>
      <c r="X361" s="21">
        <f>(X356*(1+0.6+0.4+0.3+0.3+0.3))+($V$228-4)</f>
        <v>3869440.1227192949</v>
      </c>
      <c r="Y361" s="21">
        <f>(Y356*(1+0.6+0.4+0.3+0.3+0.3))+($V$228-4)</f>
        <v>4385884.2807722455</v>
      </c>
      <c r="Z361" s="21">
        <f>(Z356*(1+0.6+0.4+0.3+0.3+0.3))+($V$228-4)</f>
        <v>4902328.4388251947</v>
      </c>
      <c r="AA361" s="21">
        <f>(AA356*(1+0.6+0.4+0.3+0.3+0.3))+($V$228-4)</f>
        <v>6322549.8734708065</v>
      </c>
      <c r="AB361" s="26">
        <f t="shared" si="142"/>
        <v>1160822.7388157884</v>
      </c>
      <c r="AC361" s="27">
        <f t="shared" si="143"/>
        <v>2708574.7239035061</v>
      </c>
      <c r="AD361" s="26">
        <f t="shared" si="144"/>
        <v>1315755.9862316735</v>
      </c>
      <c r="AE361" s="27">
        <f t="shared" si="145"/>
        <v>3070085.6345405714</v>
      </c>
      <c r="AF361" s="26">
        <f t="shared" si="146"/>
        <v>1470689.2336475584</v>
      </c>
      <c r="AG361" s="27">
        <f t="shared" si="147"/>
        <v>3431596.5451776362</v>
      </c>
      <c r="AH361" s="26">
        <f t="shared" si="148"/>
        <v>1896755.6640412419</v>
      </c>
      <c r="AI361" s="27">
        <f t="shared" si="149"/>
        <v>4425751.5494295638</v>
      </c>
      <c r="AJ361" s="28" t="s">
        <v>45</v>
      </c>
      <c r="AK361" s="15" t="s">
        <v>117</v>
      </c>
      <c r="AL361" s="15" t="s">
        <v>116</v>
      </c>
      <c r="AM361" s="15" t="s">
        <v>123</v>
      </c>
      <c r="AN361" s="15" t="s">
        <v>119</v>
      </c>
    </row>
    <row r="362" spans="1:40" ht="14.25" customHeight="1">
      <c r="A362" s="15" t="s">
        <v>131</v>
      </c>
      <c r="B362" s="35">
        <v>0.5</v>
      </c>
      <c r="C362" s="17" t="s">
        <v>121</v>
      </c>
      <c r="D362" s="15" t="s">
        <v>41</v>
      </c>
      <c r="E362" s="33" t="s">
        <v>122</v>
      </c>
      <c r="F362" s="15">
        <v>8</v>
      </c>
      <c r="G362" s="19">
        <v>6</v>
      </c>
      <c r="H362" s="19">
        <f t="shared" si="152"/>
        <v>48</v>
      </c>
      <c r="I362" s="38" t="s">
        <v>106</v>
      </c>
      <c r="J362" s="32"/>
      <c r="K362" s="32"/>
      <c r="L362" s="37">
        <f>L361+5.32</f>
        <v>47.980000000000004</v>
      </c>
      <c r="M362" s="32" t="s">
        <v>114</v>
      </c>
      <c r="N362" s="17">
        <v>48</v>
      </c>
      <c r="O362" s="44">
        <v>140</v>
      </c>
      <c r="V362" s="17">
        <f t="shared" si="151"/>
        <v>47.980000000000004</v>
      </c>
      <c r="W362" s="21">
        <v>5</v>
      </c>
      <c r="X362" s="21">
        <f>(X357*(1+0.6+0.4+0.3+0.3+0.3))+($V$224-4)</f>
        <v>8041.5321199999953</v>
      </c>
      <c r="Y362" s="21">
        <f>(Y357*(1+0.6+0.4+0.3+0.3+0.3))+($V$224-4)</f>
        <v>8701.010679999994</v>
      </c>
      <c r="Z362" s="21">
        <f>(Z357*(1+0.6+0.4+0.3+0.3+0.3))+($V$224-4)</f>
        <v>9360.4892399999935</v>
      </c>
      <c r="AA362" s="21">
        <f>(AA357*(1+0.6+0.4+0.3+0.3+0.3))+($V$224-4)</f>
        <v>11174.055279999993</v>
      </c>
      <c r="AB362" s="26">
        <f t="shared" si="142"/>
        <v>2401.5656359999984</v>
      </c>
      <c r="AC362" s="27">
        <f t="shared" si="143"/>
        <v>5591.9864839999964</v>
      </c>
      <c r="AD362" s="26">
        <f t="shared" si="144"/>
        <v>2599.4092039999982</v>
      </c>
      <c r="AE362" s="27">
        <f t="shared" si="145"/>
        <v>6053.6214759999957</v>
      </c>
      <c r="AF362" s="26">
        <f t="shared" si="146"/>
        <v>2797.252771999998</v>
      </c>
      <c r="AG362" s="27">
        <f t="shared" si="147"/>
        <v>6515.256467999995</v>
      </c>
      <c r="AH362" s="26">
        <f t="shared" si="148"/>
        <v>3341.3225839999982</v>
      </c>
      <c r="AI362" s="27">
        <f t="shared" si="149"/>
        <v>7784.752695999995</v>
      </c>
      <c r="AJ362" s="28" t="s">
        <v>45</v>
      </c>
      <c r="AK362" s="15" t="s">
        <v>117</v>
      </c>
      <c r="AL362" s="15" t="s">
        <v>116</v>
      </c>
      <c r="AM362" s="15" t="s">
        <v>123</v>
      </c>
      <c r="AN362" s="15" t="s">
        <v>118</v>
      </c>
    </row>
    <row r="363" spans="1:40" ht="14.25" customHeight="1">
      <c r="A363" s="38" t="s">
        <v>216</v>
      </c>
      <c r="B363" s="35">
        <v>400</v>
      </c>
      <c r="C363" s="17" t="s">
        <v>40</v>
      </c>
      <c r="D363" s="15" t="s">
        <v>41</v>
      </c>
      <c r="E363" s="38" t="s">
        <v>42</v>
      </c>
      <c r="F363" s="28">
        <v>56</v>
      </c>
      <c r="G363" s="19">
        <v>6</v>
      </c>
      <c r="H363" s="19">
        <f t="shared" si="152"/>
        <v>336</v>
      </c>
      <c r="I363" s="38" t="s">
        <v>42</v>
      </c>
      <c r="J363" s="61"/>
      <c r="K363" s="61"/>
      <c r="L363" s="63">
        <f>2.13*6</f>
        <v>12.78</v>
      </c>
      <c r="M363" s="15" t="s">
        <v>217</v>
      </c>
      <c r="N363" s="28">
        <v>336</v>
      </c>
      <c r="O363" s="25">
        <v>336</v>
      </c>
      <c r="V363" s="64">
        <f t="shared" si="151"/>
        <v>12.78</v>
      </c>
      <c r="W363" s="22">
        <v>5</v>
      </c>
      <c r="X363" s="21">
        <f>20*(1+0.6+0.4+0.3+0.3+0.3)+$V$360-4</f>
        <v>91.399999999999991</v>
      </c>
      <c r="Y363" s="21">
        <f>24*(1+0.6+0.4+0.3+0.3+0.3)+$V$360-4</f>
        <v>103</v>
      </c>
      <c r="Z363" s="21">
        <f>28*(1+0.6+0.4+0.3+0.3+0.3)+$V$360-4</f>
        <v>114.6</v>
      </c>
      <c r="AA363" s="21">
        <f>39*(1+0.6+0.4+0.3+0.3+0.3)+$V$360-4</f>
        <v>146.5</v>
      </c>
      <c r="AB363" s="26">
        <f t="shared" si="142"/>
        <v>27.085999999999995</v>
      </c>
      <c r="AC363" s="27">
        <f t="shared" si="143"/>
        <v>51.533999999999992</v>
      </c>
      <c r="AD363" s="26">
        <f t="shared" si="144"/>
        <v>30.565999999999999</v>
      </c>
      <c r="AE363" s="27">
        <f t="shared" si="145"/>
        <v>59.653999999999996</v>
      </c>
      <c r="AF363" s="26">
        <f t="shared" si="146"/>
        <v>34.045999999999992</v>
      </c>
      <c r="AG363" s="27">
        <f t="shared" si="147"/>
        <v>67.773999999999987</v>
      </c>
      <c r="AH363" s="26">
        <f t="shared" si="148"/>
        <v>43.616</v>
      </c>
      <c r="AI363" s="27">
        <f t="shared" si="149"/>
        <v>90.103999999999999</v>
      </c>
      <c r="AJ363" s="28" t="s">
        <v>45</v>
      </c>
    </row>
    <row r="364" spans="1:40" ht="14.25" customHeight="1">
      <c r="A364" s="15" t="s">
        <v>39</v>
      </c>
      <c r="B364" s="16">
        <v>25</v>
      </c>
      <c r="C364" s="17" t="s">
        <v>40</v>
      </c>
      <c r="D364" s="15" t="s">
        <v>41</v>
      </c>
      <c r="E364" s="18" t="s">
        <v>42</v>
      </c>
      <c r="F364" s="28">
        <v>4</v>
      </c>
      <c r="G364" s="19">
        <v>7</v>
      </c>
      <c r="H364" s="19">
        <f t="shared" si="152"/>
        <v>28</v>
      </c>
      <c r="I364" s="20" t="s">
        <v>42</v>
      </c>
      <c r="J364" s="21" t="s">
        <v>43</v>
      </c>
      <c r="K364" s="21"/>
      <c r="L364" s="26">
        <f>0.24*7</f>
        <v>1.68</v>
      </c>
      <c r="M364" t="s">
        <v>44</v>
      </c>
      <c r="N364" s="24">
        <v>38</v>
      </c>
      <c r="O364" s="25">
        <v>84</v>
      </c>
      <c r="U364" s="21"/>
      <c r="V364" s="21">
        <v>4</v>
      </c>
      <c r="W364" s="21">
        <v>5</v>
      </c>
      <c r="X364" s="21">
        <f>X348*(1+0.6+0.4+0.3+0.3+0.3+0.3)</f>
        <v>246157.5644957975</v>
      </c>
      <c r="Y364" s="21">
        <f>Y348*(1+0.6+0.4+0.3+0.3+0.3+0.3)</f>
        <v>279018.2158498838</v>
      </c>
      <c r="Z364" s="21">
        <f>Z348*(1+0.6+0.4+0.3+0.3+0.3+0.3)</f>
        <v>311878.86720397021</v>
      </c>
      <c r="AA364" s="21">
        <f>AA348*(1+0.6+0.4+0.3+0.3+0.3+0.3)</f>
        <v>402245.65842770773</v>
      </c>
      <c r="AB364" s="26">
        <f t="shared" si="142"/>
        <v>73849.569348739242</v>
      </c>
      <c r="AC364" s="27">
        <f t="shared" si="143"/>
        <v>172303.99514705825</v>
      </c>
      <c r="AD364" s="26">
        <f t="shared" si="144"/>
        <v>83707.76475496513</v>
      </c>
      <c r="AE364" s="27">
        <f t="shared" si="145"/>
        <v>195306.45109491865</v>
      </c>
      <c r="AF364" s="26">
        <f t="shared" si="146"/>
        <v>93565.960161191062</v>
      </c>
      <c r="AG364" s="27">
        <f t="shared" si="147"/>
        <v>218308.90704277914</v>
      </c>
      <c r="AH364" s="26">
        <f t="shared" si="148"/>
        <v>120675.99752831232</v>
      </c>
      <c r="AI364" s="27">
        <f t="shared" si="149"/>
        <v>281565.66089939541</v>
      </c>
      <c r="AJ364" s="28" t="s">
        <v>45</v>
      </c>
      <c r="AK364" s="15" t="s">
        <v>46</v>
      </c>
    </row>
    <row r="365" spans="1:40" ht="14.25" customHeight="1">
      <c r="A365" s="15" t="s">
        <v>39</v>
      </c>
      <c r="B365" s="16">
        <v>50</v>
      </c>
      <c r="C365" s="17" t="s">
        <v>40</v>
      </c>
      <c r="D365" s="15" t="s">
        <v>41</v>
      </c>
      <c r="E365" s="18" t="s">
        <v>42</v>
      </c>
      <c r="F365" s="28">
        <v>4</v>
      </c>
      <c r="G365" s="19">
        <v>7</v>
      </c>
      <c r="H365" s="19">
        <f t="shared" si="152"/>
        <v>28</v>
      </c>
      <c r="I365" s="20" t="s">
        <v>42</v>
      </c>
      <c r="J365" s="21" t="s">
        <v>43</v>
      </c>
      <c r="K365" s="21"/>
      <c r="L365" s="26">
        <f>0.28*7</f>
        <v>1.9600000000000002</v>
      </c>
      <c r="M365" t="s">
        <v>44</v>
      </c>
      <c r="N365" s="24">
        <v>38</v>
      </c>
      <c r="O365" s="25">
        <v>84</v>
      </c>
      <c r="U365" s="21"/>
      <c r="V365" s="21">
        <v>4</v>
      </c>
      <c r="W365" s="21">
        <v>5</v>
      </c>
      <c r="X365" s="21">
        <f>X348*(1+0.6+0.4+0.3+0.3+0.3+0.3)</f>
        <v>246157.5644957975</v>
      </c>
      <c r="Y365" s="21">
        <f>Y348*(1+0.6+0.4+0.3+0.3+0.3+0.3)</f>
        <v>279018.2158498838</v>
      </c>
      <c r="Z365" s="21">
        <f>Z348*(1+0.6+0.4+0.3+0.3+0.3+0.3)</f>
        <v>311878.86720397021</v>
      </c>
      <c r="AA365" s="21">
        <f>AA348*(1+0.6+0.4+0.3+0.3+0.3+0.3)</f>
        <v>402245.65842770773</v>
      </c>
      <c r="AB365" s="26">
        <f t="shared" si="142"/>
        <v>73849.569348739242</v>
      </c>
      <c r="AC365" s="27">
        <f t="shared" si="143"/>
        <v>172303.99514705825</v>
      </c>
      <c r="AD365" s="26">
        <f t="shared" si="144"/>
        <v>83707.76475496513</v>
      </c>
      <c r="AE365" s="27">
        <f t="shared" si="145"/>
        <v>195306.45109491865</v>
      </c>
      <c r="AF365" s="26">
        <f t="shared" si="146"/>
        <v>93565.960161191062</v>
      </c>
      <c r="AG365" s="27">
        <f t="shared" si="147"/>
        <v>218308.90704277914</v>
      </c>
      <c r="AH365" s="26">
        <f t="shared" si="148"/>
        <v>120675.99752831232</v>
      </c>
      <c r="AI365" s="27">
        <f t="shared" si="149"/>
        <v>281565.66089939541</v>
      </c>
      <c r="AJ365" s="28" t="s">
        <v>45</v>
      </c>
      <c r="AK365" s="15" t="s">
        <v>46</v>
      </c>
    </row>
    <row r="366" spans="1:40" ht="14.25" customHeight="1">
      <c r="A366" s="15" t="s">
        <v>39</v>
      </c>
      <c r="B366" s="16">
        <v>100</v>
      </c>
      <c r="C366" s="17" t="s">
        <v>40</v>
      </c>
      <c r="D366" s="15" t="s">
        <v>41</v>
      </c>
      <c r="E366" s="18" t="s">
        <v>42</v>
      </c>
      <c r="F366" s="28">
        <v>4</v>
      </c>
      <c r="G366" s="19">
        <v>7</v>
      </c>
      <c r="H366" s="19">
        <f t="shared" si="152"/>
        <v>28</v>
      </c>
      <c r="I366" s="20" t="s">
        <v>42</v>
      </c>
      <c r="J366" s="21" t="s">
        <v>43</v>
      </c>
      <c r="K366" s="21"/>
      <c r="L366" s="26">
        <f>0.26*7</f>
        <v>1.82</v>
      </c>
      <c r="M366" t="s">
        <v>44</v>
      </c>
      <c r="N366" s="24">
        <v>38</v>
      </c>
      <c r="O366" s="25">
        <v>84</v>
      </c>
      <c r="U366" s="21"/>
      <c r="V366" s="21">
        <v>4</v>
      </c>
      <c r="W366" s="21">
        <v>5</v>
      </c>
      <c r="X366" s="21">
        <f>X348*(1+0.6+0.4+0.3+0.3+0.3+0.3)</f>
        <v>246157.5644957975</v>
      </c>
      <c r="Y366" s="21">
        <f>Y348*(1+0.6+0.4+0.3+0.3+0.3+0.3)</f>
        <v>279018.2158498838</v>
      </c>
      <c r="Z366" s="21">
        <f>Z348*(1+0.6+0.4+0.3+0.3+0.3+0.3)</f>
        <v>311878.86720397021</v>
      </c>
      <c r="AA366" s="21">
        <f>AA348*(1+0.6+0.4+0.3+0.3+0.3+0.3)</f>
        <v>402245.65842770773</v>
      </c>
      <c r="AB366" s="26">
        <f t="shared" si="142"/>
        <v>73849.569348739242</v>
      </c>
      <c r="AC366" s="27">
        <f t="shared" si="143"/>
        <v>172303.99514705825</v>
      </c>
      <c r="AD366" s="26">
        <f t="shared" si="144"/>
        <v>83707.76475496513</v>
      </c>
      <c r="AE366" s="27">
        <f t="shared" si="145"/>
        <v>195306.45109491865</v>
      </c>
      <c r="AF366" s="26">
        <f t="shared" si="146"/>
        <v>93565.960161191062</v>
      </c>
      <c r="AG366" s="27">
        <f t="shared" si="147"/>
        <v>218308.90704277914</v>
      </c>
      <c r="AH366" s="26">
        <f t="shared" si="148"/>
        <v>120675.99752831232</v>
      </c>
      <c r="AI366" s="27">
        <f t="shared" si="149"/>
        <v>281565.66089939541</v>
      </c>
      <c r="AJ366" s="28" t="s">
        <v>45</v>
      </c>
      <c r="AK366" s="15" t="s">
        <v>46</v>
      </c>
    </row>
    <row r="367" spans="1:40" ht="14.25" customHeight="1">
      <c r="A367" s="69" t="s">
        <v>47</v>
      </c>
      <c r="B367" s="16">
        <v>10</v>
      </c>
      <c r="C367" s="17" t="s">
        <v>40</v>
      </c>
      <c r="D367" s="15" t="s">
        <v>41</v>
      </c>
      <c r="E367" s="18" t="s">
        <v>42</v>
      </c>
      <c r="F367" s="17">
        <v>4</v>
      </c>
      <c r="G367" s="19">
        <v>7</v>
      </c>
      <c r="H367" s="19">
        <f t="shared" si="152"/>
        <v>28</v>
      </c>
      <c r="I367" s="20" t="s">
        <v>42</v>
      </c>
      <c r="J367" s="22" t="s">
        <v>49</v>
      </c>
      <c r="K367" s="21"/>
      <c r="L367" s="26">
        <f>0.27*7</f>
        <v>1.8900000000000001</v>
      </c>
      <c r="M367" t="s">
        <v>44</v>
      </c>
      <c r="N367" s="28">
        <v>38</v>
      </c>
      <c r="O367" s="25">
        <v>84</v>
      </c>
      <c r="U367" s="21"/>
      <c r="V367" s="21">
        <v>4</v>
      </c>
      <c r="W367" s="21">
        <v>5</v>
      </c>
      <c r="X367" s="21">
        <f t="shared" ref="X367:AA370" si="153">X355*(1+0.6+0.4+0.3+0.3+0.3+0.3)</f>
        <v>198.71999999999991</v>
      </c>
      <c r="Y367" s="21">
        <f t="shared" si="153"/>
        <v>235.83999999999992</v>
      </c>
      <c r="Z367" s="21">
        <f t="shared" si="153"/>
        <v>272.95999999999987</v>
      </c>
      <c r="AA367" s="21">
        <f t="shared" si="153"/>
        <v>375.03999999999991</v>
      </c>
      <c r="AB367" s="26">
        <f t="shared" si="142"/>
        <v>61.915999999999976</v>
      </c>
      <c r="AC367" s="27">
        <f t="shared" si="143"/>
        <v>132.80399999999995</v>
      </c>
      <c r="AD367" s="26">
        <f t="shared" si="144"/>
        <v>73.051999999999978</v>
      </c>
      <c r="AE367" s="27">
        <f t="shared" si="145"/>
        <v>158.78799999999993</v>
      </c>
      <c r="AF367" s="26">
        <f t="shared" si="146"/>
        <v>84.18799999999996</v>
      </c>
      <c r="AG367" s="27">
        <f t="shared" si="147"/>
        <v>184.77199999999991</v>
      </c>
      <c r="AH367" s="26">
        <f t="shared" si="148"/>
        <v>114.81199999999997</v>
      </c>
      <c r="AI367" s="27">
        <f t="shared" si="149"/>
        <v>256.22799999999989</v>
      </c>
      <c r="AJ367" s="28" t="s">
        <v>45</v>
      </c>
      <c r="AK367" s="15" t="s">
        <v>46</v>
      </c>
    </row>
    <row r="368" spans="1:40" ht="14.25" customHeight="1">
      <c r="A368" s="69" t="s">
        <v>47</v>
      </c>
      <c r="B368" s="16">
        <v>20</v>
      </c>
      <c r="C368" s="17" t="s">
        <v>40</v>
      </c>
      <c r="D368" s="15" t="s">
        <v>41</v>
      </c>
      <c r="E368" s="18" t="s">
        <v>42</v>
      </c>
      <c r="F368" s="17">
        <v>4</v>
      </c>
      <c r="G368" s="19">
        <v>7</v>
      </c>
      <c r="H368" s="19">
        <f t="shared" si="152"/>
        <v>28</v>
      </c>
      <c r="I368" s="20" t="s">
        <v>42</v>
      </c>
      <c r="J368" s="22" t="s">
        <v>49</v>
      </c>
      <c r="K368" s="21"/>
      <c r="L368" s="26">
        <f>0.27*7</f>
        <v>1.8900000000000001</v>
      </c>
      <c r="M368" t="s">
        <v>44</v>
      </c>
      <c r="N368" s="28">
        <v>38</v>
      </c>
      <c r="O368" s="25">
        <v>84</v>
      </c>
      <c r="U368" s="21"/>
      <c r="V368" s="21">
        <v>4</v>
      </c>
      <c r="W368" s="21">
        <v>5</v>
      </c>
      <c r="X368" s="21">
        <f t="shared" si="153"/>
        <v>4269699.831966118</v>
      </c>
      <c r="Y368" s="21">
        <f t="shared" si="153"/>
        <v>4839569.2477486841</v>
      </c>
      <c r="Z368" s="21">
        <f t="shared" si="153"/>
        <v>5409438.6635312485</v>
      </c>
      <c r="AA368" s="21">
        <f t="shared" si="153"/>
        <v>6976579.5569333034</v>
      </c>
      <c r="AB368" s="26">
        <f t="shared" si="142"/>
        <v>1280912.2495898353</v>
      </c>
      <c r="AC368" s="27">
        <f t="shared" si="143"/>
        <v>2988783.5823762822</v>
      </c>
      <c r="AD368" s="26">
        <f t="shared" si="144"/>
        <v>1451873.0743246053</v>
      </c>
      <c r="AE368" s="27">
        <f t="shared" si="145"/>
        <v>3387692.1734240786</v>
      </c>
      <c r="AF368" s="26">
        <f t="shared" si="146"/>
        <v>1622833.8990593746</v>
      </c>
      <c r="AG368" s="27">
        <f t="shared" si="147"/>
        <v>3786600.7644718736</v>
      </c>
      <c r="AH368" s="26">
        <f t="shared" si="148"/>
        <v>2092976.167079991</v>
      </c>
      <c r="AI368" s="27">
        <f t="shared" si="149"/>
        <v>4883599.3898533117</v>
      </c>
      <c r="AJ368" s="28" t="s">
        <v>45</v>
      </c>
      <c r="AK368" s="15" t="s">
        <v>46</v>
      </c>
    </row>
    <row r="369" spans="1:37" ht="14.25" customHeight="1">
      <c r="A369" s="15" t="s">
        <v>50</v>
      </c>
      <c r="B369" s="16">
        <v>10</v>
      </c>
      <c r="C369" s="17" t="s">
        <v>40</v>
      </c>
      <c r="D369" s="15" t="s">
        <v>41</v>
      </c>
      <c r="E369" s="18" t="s">
        <v>42</v>
      </c>
      <c r="F369" s="17">
        <v>4</v>
      </c>
      <c r="G369" s="19">
        <v>7</v>
      </c>
      <c r="H369" s="19">
        <f t="shared" si="152"/>
        <v>28</v>
      </c>
      <c r="I369" s="20" t="s">
        <v>42</v>
      </c>
      <c r="J369" s="21" t="s">
        <v>43</v>
      </c>
      <c r="K369" s="21"/>
      <c r="L369" s="26">
        <f>L357*7</f>
        <v>60.480000000000004</v>
      </c>
      <c r="M369" t="s">
        <v>44</v>
      </c>
      <c r="N369" s="28">
        <v>38</v>
      </c>
      <c r="O369" s="25">
        <v>84</v>
      </c>
      <c r="U369" s="21"/>
      <c r="V369" s="21">
        <v>4</v>
      </c>
      <c r="W369" s="21">
        <v>5</v>
      </c>
      <c r="X369" s="21">
        <f t="shared" si="153"/>
        <v>8869.0009599999939</v>
      </c>
      <c r="Y369" s="21">
        <f t="shared" si="153"/>
        <v>9596.7014399999916</v>
      </c>
      <c r="Z369" s="21">
        <f t="shared" si="153"/>
        <v>10324.401919999993</v>
      </c>
      <c r="AA369" s="21">
        <f t="shared" si="153"/>
        <v>12325.578239999992</v>
      </c>
      <c r="AB369" s="26">
        <f t="shared" si="142"/>
        <v>2663.0002879999979</v>
      </c>
      <c r="AC369" s="27">
        <f t="shared" si="143"/>
        <v>6202.0006719999956</v>
      </c>
      <c r="AD369" s="26">
        <f t="shared" si="144"/>
        <v>2881.3104319999975</v>
      </c>
      <c r="AE369" s="27">
        <f t="shared" si="145"/>
        <v>6711.3910079999941</v>
      </c>
      <c r="AF369" s="26">
        <f t="shared" si="146"/>
        <v>3099.620575999998</v>
      </c>
      <c r="AG369" s="27">
        <f t="shared" si="147"/>
        <v>7220.7813439999945</v>
      </c>
      <c r="AH369" s="26">
        <f t="shared" si="148"/>
        <v>3699.9734719999974</v>
      </c>
      <c r="AI369" s="27">
        <f t="shared" si="149"/>
        <v>8621.6047679999938</v>
      </c>
      <c r="AJ369" s="28" t="s">
        <v>45</v>
      </c>
      <c r="AK369" s="15" t="s">
        <v>46</v>
      </c>
    </row>
    <row r="370" spans="1:37" ht="14.25" customHeight="1">
      <c r="A370" s="15" t="s">
        <v>50</v>
      </c>
      <c r="B370" s="16">
        <v>20</v>
      </c>
      <c r="C370" s="17" t="s">
        <v>40</v>
      </c>
      <c r="D370" s="15" t="s">
        <v>41</v>
      </c>
      <c r="E370" s="18" t="s">
        <v>42</v>
      </c>
      <c r="F370" s="17">
        <v>4</v>
      </c>
      <c r="G370" s="19">
        <v>7</v>
      </c>
      <c r="H370" s="19">
        <f t="shared" si="152"/>
        <v>28</v>
      </c>
      <c r="I370" s="20" t="s">
        <v>42</v>
      </c>
      <c r="J370" s="21" t="s">
        <v>43</v>
      </c>
      <c r="K370" s="21"/>
      <c r="L370" s="26">
        <f>L358*7</f>
        <v>143.22</v>
      </c>
      <c r="M370" t="s">
        <v>44</v>
      </c>
      <c r="N370" s="28">
        <v>38</v>
      </c>
      <c r="O370" s="25">
        <v>84</v>
      </c>
      <c r="U370" s="21"/>
      <c r="V370" s="21">
        <v>4</v>
      </c>
      <c r="W370" s="21">
        <v>5</v>
      </c>
      <c r="X370" s="21">
        <f t="shared" si="153"/>
        <v>9082.1862399999955</v>
      </c>
      <c r="Y370" s="21">
        <f t="shared" si="153"/>
        <v>9809.886719999995</v>
      </c>
      <c r="Z370" s="21">
        <f t="shared" si="153"/>
        <v>10537.587199999994</v>
      </c>
      <c r="AA370" s="21">
        <f t="shared" si="153"/>
        <v>12538.76351999999</v>
      </c>
      <c r="AB370" s="26">
        <f t="shared" si="142"/>
        <v>2726.9558719999986</v>
      </c>
      <c r="AC370" s="27">
        <f t="shared" si="143"/>
        <v>6351.2303679999968</v>
      </c>
      <c r="AD370" s="26">
        <f t="shared" si="144"/>
        <v>2945.2660159999982</v>
      </c>
      <c r="AE370" s="27">
        <f t="shared" si="145"/>
        <v>6860.6207039999963</v>
      </c>
      <c r="AF370" s="26">
        <f t="shared" si="146"/>
        <v>3163.5761599999983</v>
      </c>
      <c r="AG370" s="27">
        <f t="shared" si="147"/>
        <v>7370.0110399999958</v>
      </c>
      <c r="AH370" s="26">
        <f t="shared" si="148"/>
        <v>3763.9290559999968</v>
      </c>
      <c r="AI370" s="27">
        <f t="shared" si="149"/>
        <v>8770.8344639999923</v>
      </c>
      <c r="AJ370" s="28" t="s">
        <v>45</v>
      </c>
      <c r="AK370" s="15" t="s">
        <v>46</v>
      </c>
    </row>
    <row r="371" spans="1:37" ht="14.25" customHeight="1">
      <c r="A371" s="15" t="s">
        <v>39</v>
      </c>
      <c r="B371" s="16">
        <v>25</v>
      </c>
      <c r="C371" s="17" t="s">
        <v>40</v>
      </c>
      <c r="D371" s="15" t="s">
        <v>41</v>
      </c>
      <c r="E371" s="18" t="s">
        <v>42</v>
      </c>
      <c r="F371" s="28">
        <v>4</v>
      </c>
      <c r="G371" s="19">
        <v>8</v>
      </c>
      <c r="H371" s="19">
        <f t="shared" si="152"/>
        <v>32</v>
      </c>
      <c r="I371" s="20" t="s">
        <v>42</v>
      </c>
      <c r="J371" s="21" t="s">
        <v>43</v>
      </c>
      <c r="K371" s="21"/>
      <c r="L371" s="26">
        <f>0.24*8</f>
        <v>1.92</v>
      </c>
      <c r="M371" t="s">
        <v>44</v>
      </c>
      <c r="N371" s="24">
        <v>38</v>
      </c>
      <c r="O371" s="25">
        <v>84</v>
      </c>
      <c r="U371" s="21"/>
      <c r="V371" s="21">
        <v>4</v>
      </c>
      <c r="W371" s="21">
        <v>5</v>
      </c>
      <c r="X371" s="21">
        <f>X352*(1+0.6+0.4+0.3+0.3+0.3+0.3+0.3)</f>
        <v>3340.1619999999984</v>
      </c>
      <c r="Y371" s="21">
        <f>Y352*(1+0.6+0.4+0.3+0.3+0.3+0.3+0.3)</f>
        <v>3614.6179999999977</v>
      </c>
      <c r="Z371" s="21">
        <f>Z352*(1+0.6+0.4+0.3+0.3+0.3+0.3+0.3)</f>
        <v>3889.0739999999983</v>
      </c>
      <c r="AA371" s="21">
        <f>AA352*(1+0.6+0.4+0.3+0.3+0.3+0.3+0.3)</f>
        <v>4643.8279999999968</v>
      </c>
      <c r="AB371" s="26">
        <f t="shared" si="142"/>
        <v>1004.3485999999995</v>
      </c>
      <c r="AC371" s="27">
        <f t="shared" si="143"/>
        <v>2331.8133999999986</v>
      </c>
      <c r="AD371" s="26">
        <f t="shared" si="144"/>
        <v>1086.6853999999992</v>
      </c>
      <c r="AE371" s="27">
        <f t="shared" si="145"/>
        <v>2523.9325999999983</v>
      </c>
      <c r="AF371" s="26">
        <f t="shared" si="146"/>
        <v>1169.0221999999994</v>
      </c>
      <c r="AG371" s="27">
        <f t="shared" si="147"/>
        <v>2716.0517999999988</v>
      </c>
      <c r="AH371" s="26">
        <f t="shared" si="148"/>
        <v>1395.4483999999991</v>
      </c>
      <c r="AI371" s="27">
        <f t="shared" si="149"/>
        <v>3244.3795999999975</v>
      </c>
      <c r="AJ371" s="28" t="s">
        <v>45</v>
      </c>
      <c r="AK371" s="15" t="s">
        <v>46</v>
      </c>
    </row>
    <row r="372" spans="1:37" ht="14.25" customHeight="1">
      <c r="A372" s="15" t="s">
        <v>39</v>
      </c>
      <c r="B372" s="16">
        <v>50</v>
      </c>
      <c r="C372" s="17" t="s">
        <v>40</v>
      </c>
      <c r="D372" s="15" t="s">
        <v>41</v>
      </c>
      <c r="E372" s="18" t="s">
        <v>42</v>
      </c>
      <c r="F372" s="28">
        <v>4</v>
      </c>
      <c r="G372" s="19">
        <v>8</v>
      </c>
      <c r="H372" s="19">
        <f t="shared" si="152"/>
        <v>32</v>
      </c>
      <c r="I372" s="20" t="s">
        <v>42</v>
      </c>
      <c r="J372" s="21" t="s">
        <v>43</v>
      </c>
      <c r="K372" s="21"/>
      <c r="L372" s="26">
        <f>0.24*8</f>
        <v>1.92</v>
      </c>
      <c r="M372" t="s">
        <v>44</v>
      </c>
      <c r="N372" s="24">
        <v>38</v>
      </c>
      <c r="O372" s="25">
        <v>84</v>
      </c>
      <c r="U372" s="21"/>
      <c r="V372" s="21">
        <v>4</v>
      </c>
      <c r="W372" s="21">
        <v>5</v>
      </c>
      <c r="X372" s="21">
        <f>X352*(1+0.6+0.4+0.3+0.3+0.3+0.3+0.3)</f>
        <v>3340.1619999999984</v>
      </c>
      <c r="Y372" s="21">
        <f>Y352*(1+0.6+0.4+0.3+0.3+0.3+0.3+0.3)</f>
        <v>3614.6179999999977</v>
      </c>
      <c r="Z372" s="21">
        <f>Z352*(1+0.6+0.4+0.3+0.3+0.3+0.3+0.3)</f>
        <v>3889.0739999999983</v>
      </c>
      <c r="AA372" s="21">
        <f>AA352*(1+0.6+0.4+0.3+0.3+0.3+0.3+0.3)</f>
        <v>4643.8279999999968</v>
      </c>
      <c r="AB372" s="26">
        <f t="shared" si="142"/>
        <v>1004.3485999999995</v>
      </c>
      <c r="AC372" s="27">
        <f t="shared" si="143"/>
        <v>2331.8133999999986</v>
      </c>
      <c r="AD372" s="26">
        <f t="shared" si="144"/>
        <v>1086.6853999999992</v>
      </c>
      <c r="AE372" s="27">
        <f t="shared" si="145"/>
        <v>2523.9325999999983</v>
      </c>
      <c r="AF372" s="26">
        <f t="shared" si="146"/>
        <v>1169.0221999999994</v>
      </c>
      <c r="AG372" s="27">
        <f t="shared" si="147"/>
        <v>2716.0517999999988</v>
      </c>
      <c r="AH372" s="26">
        <f t="shared" si="148"/>
        <v>1395.4483999999991</v>
      </c>
      <c r="AI372" s="27">
        <f t="shared" si="149"/>
        <v>3244.3795999999975</v>
      </c>
      <c r="AJ372" s="28" t="s">
        <v>45</v>
      </c>
      <c r="AK372" s="15" t="s">
        <v>46</v>
      </c>
    </row>
    <row r="373" spans="1:37" ht="14.25" customHeight="1">
      <c r="A373" s="15" t="s">
        <v>39</v>
      </c>
      <c r="B373" s="16">
        <v>100</v>
      </c>
      <c r="C373" s="17" t="s">
        <v>40</v>
      </c>
      <c r="D373" s="15" t="s">
        <v>41</v>
      </c>
      <c r="E373" s="18" t="s">
        <v>42</v>
      </c>
      <c r="F373" s="28">
        <v>4</v>
      </c>
      <c r="G373" s="19">
        <v>8</v>
      </c>
      <c r="H373" s="19">
        <f t="shared" si="152"/>
        <v>32</v>
      </c>
      <c r="I373" s="20" t="s">
        <v>42</v>
      </c>
      <c r="J373" s="21" t="s">
        <v>43</v>
      </c>
      <c r="K373" s="21"/>
      <c r="L373" s="26">
        <f>0.24*8</f>
        <v>1.92</v>
      </c>
      <c r="M373" t="s">
        <v>44</v>
      </c>
      <c r="N373" s="24">
        <v>38</v>
      </c>
      <c r="O373" s="25">
        <v>84</v>
      </c>
      <c r="U373" s="21"/>
      <c r="V373" s="21">
        <v>4</v>
      </c>
      <c r="W373" s="21">
        <v>5</v>
      </c>
      <c r="X373" s="21">
        <f>X352*(1+0.6+0.4+0.3+0.3+0.3+0.3+0.3)</f>
        <v>3340.1619999999984</v>
      </c>
      <c r="Y373" s="21">
        <f>Y352*(1+0.6+0.4+0.3+0.3+0.3+0.3+0.3)</f>
        <v>3614.6179999999977</v>
      </c>
      <c r="Z373" s="21">
        <f>Z352*(1+0.6+0.4+0.3+0.3+0.3+0.3+0.3)</f>
        <v>3889.0739999999983</v>
      </c>
      <c r="AA373" s="21">
        <f>AA352*(1+0.6+0.4+0.3+0.3+0.3+0.3+0.3)</f>
        <v>4643.8279999999968</v>
      </c>
      <c r="AB373" s="26">
        <f t="shared" si="142"/>
        <v>1004.3485999999995</v>
      </c>
      <c r="AC373" s="27">
        <f t="shared" si="143"/>
        <v>2331.8133999999986</v>
      </c>
      <c r="AD373" s="26">
        <f t="shared" si="144"/>
        <v>1086.6853999999992</v>
      </c>
      <c r="AE373" s="27">
        <f t="shared" si="145"/>
        <v>2523.9325999999983</v>
      </c>
      <c r="AF373" s="26">
        <f t="shared" si="146"/>
        <v>1169.0221999999994</v>
      </c>
      <c r="AG373" s="27">
        <f t="shared" si="147"/>
        <v>2716.0517999999988</v>
      </c>
      <c r="AH373" s="26">
        <f t="shared" si="148"/>
        <v>1395.4483999999991</v>
      </c>
      <c r="AI373" s="27">
        <f t="shared" si="149"/>
        <v>3244.3795999999975</v>
      </c>
      <c r="AJ373" s="28" t="s">
        <v>45</v>
      </c>
      <c r="AK373" s="15" t="s">
        <v>46</v>
      </c>
    </row>
    <row r="374" spans="1:37" ht="14.25" customHeight="1">
      <c r="A374" s="69" t="s">
        <v>47</v>
      </c>
      <c r="B374" s="16">
        <v>10</v>
      </c>
      <c r="C374" s="17" t="s">
        <v>40</v>
      </c>
      <c r="D374" s="15" t="s">
        <v>41</v>
      </c>
      <c r="E374" s="18" t="s">
        <v>42</v>
      </c>
      <c r="F374" s="17">
        <v>4</v>
      </c>
      <c r="G374" s="19">
        <v>8</v>
      </c>
      <c r="H374" s="19">
        <f t="shared" si="152"/>
        <v>32</v>
      </c>
      <c r="I374" s="20" t="s">
        <v>42</v>
      </c>
      <c r="J374" s="22" t="s">
        <v>49</v>
      </c>
      <c r="K374" s="21"/>
      <c r="L374" s="26">
        <f>0.27*8</f>
        <v>2.16</v>
      </c>
      <c r="M374" t="s">
        <v>44</v>
      </c>
      <c r="N374" s="28">
        <v>38</v>
      </c>
      <c r="O374" s="25">
        <v>84</v>
      </c>
      <c r="U374" s="21"/>
      <c r="V374" s="21">
        <v>4</v>
      </c>
      <c r="W374" s="21">
        <v>5</v>
      </c>
      <c r="X374" s="21">
        <f t="shared" ref="X374:AA375" si="154">X360*(1+0.6+0.4+0.3+0.3+0.3+0.3+0.3)</f>
        <v>319.89999999999986</v>
      </c>
      <c r="Y374" s="21">
        <f t="shared" si="154"/>
        <v>353.49999999999989</v>
      </c>
      <c r="Z374" s="21">
        <f t="shared" si="154"/>
        <v>429.09999999999985</v>
      </c>
      <c r="AA374" s="21">
        <f t="shared" si="154"/>
        <v>512.74999999999989</v>
      </c>
      <c r="AB374" s="26">
        <f t="shared" si="142"/>
        <v>98.269999999999953</v>
      </c>
      <c r="AC374" s="27">
        <f t="shared" si="143"/>
        <v>217.62999999999988</v>
      </c>
      <c r="AD374" s="26">
        <f t="shared" si="144"/>
        <v>108.34999999999997</v>
      </c>
      <c r="AE374" s="27">
        <f t="shared" si="145"/>
        <v>241.14999999999989</v>
      </c>
      <c r="AF374" s="26">
        <f t="shared" si="146"/>
        <v>131.02999999999994</v>
      </c>
      <c r="AG374" s="27">
        <f t="shared" si="147"/>
        <v>294.06999999999988</v>
      </c>
      <c r="AH374" s="26">
        <f t="shared" si="148"/>
        <v>156.12499999999997</v>
      </c>
      <c r="AI374" s="27">
        <f t="shared" si="149"/>
        <v>352.62499999999989</v>
      </c>
      <c r="AJ374" s="28" t="s">
        <v>45</v>
      </c>
      <c r="AK374" s="15" t="s">
        <v>46</v>
      </c>
    </row>
    <row r="375" spans="1:37" ht="14.25" customHeight="1">
      <c r="A375" s="69" t="s">
        <v>47</v>
      </c>
      <c r="B375" s="16">
        <v>20</v>
      </c>
      <c r="C375" s="17" t="s">
        <v>40</v>
      </c>
      <c r="D375" s="15" t="s">
        <v>41</v>
      </c>
      <c r="E375" s="18" t="s">
        <v>42</v>
      </c>
      <c r="F375" s="17">
        <v>4</v>
      </c>
      <c r="G375" s="19">
        <v>8</v>
      </c>
      <c r="H375" s="19">
        <f t="shared" si="152"/>
        <v>32</v>
      </c>
      <c r="I375" s="20" t="s">
        <v>42</v>
      </c>
      <c r="J375" s="22" t="s">
        <v>49</v>
      </c>
      <c r="K375" s="21"/>
      <c r="L375" s="26">
        <f>0.27*8</f>
        <v>2.16</v>
      </c>
      <c r="M375" t="s">
        <v>44</v>
      </c>
      <c r="N375" s="28">
        <v>38</v>
      </c>
      <c r="O375" s="25">
        <v>84</v>
      </c>
      <c r="U375" s="21"/>
      <c r="V375" s="21">
        <v>4</v>
      </c>
      <c r="W375" s="21">
        <v>5</v>
      </c>
      <c r="X375" s="21">
        <f t="shared" si="154"/>
        <v>13543040.429517528</v>
      </c>
      <c r="Y375" s="21">
        <f t="shared" si="154"/>
        <v>15350594.982702855</v>
      </c>
      <c r="Z375" s="21">
        <f t="shared" si="154"/>
        <v>17158149.535888176</v>
      </c>
      <c r="AA375" s="21">
        <f t="shared" si="154"/>
        <v>22128924.557147816</v>
      </c>
      <c r="AB375" s="26">
        <f t="shared" ref="AB375:AB393" si="155">W375+(X375-V375-W375)*0.3</f>
        <v>4062914.428855258</v>
      </c>
      <c r="AC375" s="27">
        <f t="shared" ref="AC375:AC393" si="156">(X375-V375-W375)*0.7</f>
        <v>9480122.0006622691</v>
      </c>
      <c r="AD375" s="26">
        <f t="shared" ref="AD375:AD393" si="157">W375+(Y375-V375-W375)*0.3</f>
        <v>4605180.7948108567</v>
      </c>
      <c r="AE375" s="27">
        <f t="shared" ref="AE375:AE393" si="158">(Y375-V375-W375)*0.7</f>
        <v>10745410.187891997</v>
      </c>
      <c r="AF375" s="26">
        <f t="shared" ref="AF375:AF393" si="159">W375+(Z375-V375-W375)*0.3</f>
        <v>5147447.1607664526</v>
      </c>
      <c r="AG375" s="27">
        <f t="shared" ref="AG375:AG393" si="160">(Z375-V375-W375)*0.7</f>
        <v>12010698.375121722</v>
      </c>
      <c r="AH375" s="26">
        <f t="shared" ref="AH375:AH393" si="161">W375+(AA375-V375-W375)*0.3</f>
        <v>6638679.6671443442</v>
      </c>
      <c r="AI375" s="27">
        <f t="shared" ref="AI375:AI393" si="162">(AA375-V375-W375)*0.7</f>
        <v>15490240.890003471</v>
      </c>
      <c r="AJ375" s="28" t="s">
        <v>45</v>
      </c>
      <c r="AK375" s="15" t="s">
        <v>46</v>
      </c>
    </row>
    <row r="376" spans="1:37" ht="14.25" customHeight="1">
      <c r="A376" s="15" t="s">
        <v>50</v>
      </c>
      <c r="B376" s="16">
        <v>10</v>
      </c>
      <c r="C376" s="17" t="s">
        <v>40</v>
      </c>
      <c r="D376" s="15" t="s">
        <v>41</v>
      </c>
      <c r="E376" s="18" t="s">
        <v>42</v>
      </c>
      <c r="F376" s="17">
        <v>4</v>
      </c>
      <c r="G376" s="19">
        <v>8</v>
      </c>
      <c r="H376" s="19">
        <f t="shared" si="152"/>
        <v>32</v>
      </c>
      <c r="I376" s="20" t="s">
        <v>42</v>
      </c>
      <c r="J376" s="21" t="s">
        <v>43</v>
      </c>
      <c r="K376" s="21"/>
      <c r="L376" s="31">
        <f>L362*8</f>
        <v>383.84000000000003</v>
      </c>
      <c r="M376" t="s">
        <v>44</v>
      </c>
      <c r="N376" s="28">
        <v>38</v>
      </c>
      <c r="O376" s="25">
        <v>84</v>
      </c>
      <c r="U376" s="21"/>
      <c r="V376" s="21">
        <v>8</v>
      </c>
      <c r="W376" s="21">
        <v>5</v>
      </c>
      <c r="X376" s="21">
        <f t="shared" ref="X376:AA377" si="163">(X362*(1+0.6+0.4+0.3+0.3+0.3+0.3+0.3))+4</f>
        <v>28149.362419999976</v>
      </c>
      <c r="Y376" s="21">
        <f t="shared" si="163"/>
        <v>30457.537379999972</v>
      </c>
      <c r="Z376" s="21">
        <f t="shared" si="163"/>
        <v>32765.712339999969</v>
      </c>
      <c r="AA376" s="21">
        <f t="shared" si="163"/>
        <v>39113.193479999965</v>
      </c>
      <c r="AB376" s="26">
        <f t="shared" si="155"/>
        <v>8445.9087259999924</v>
      </c>
      <c r="AC376" s="27">
        <f t="shared" si="156"/>
        <v>19695.453693999982</v>
      </c>
      <c r="AD376" s="26">
        <f t="shared" si="157"/>
        <v>9138.3612139999914</v>
      </c>
      <c r="AE376" s="27">
        <f t="shared" si="158"/>
        <v>21311.176165999979</v>
      </c>
      <c r="AF376" s="26">
        <f t="shared" si="159"/>
        <v>9830.8137019999904</v>
      </c>
      <c r="AG376" s="27">
        <f t="shared" si="160"/>
        <v>22926.898637999977</v>
      </c>
      <c r="AH376" s="26">
        <f t="shared" si="161"/>
        <v>11735.058043999989</v>
      </c>
      <c r="AI376" s="27">
        <f t="shared" si="162"/>
        <v>27370.135435999975</v>
      </c>
      <c r="AJ376" s="28" t="s">
        <v>45</v>
      </c>
      <c r="AK376" s="15" t="s">
        <v>46</v>
      </c>
    </row>
    <row r="377" spans="1:37" ht="14.25" customHeight="1">
      <c r="A377" s="15" t="s">
        <v>50</v>
      </c>
      <c r="B377" s="16">
        <v>20</v>
      </c>
      <c r="C377" s="17" t="s">
        <v>40</v>
      </c>
      <c r="D377" s="15" t="s">
        <v>41</v>
      </c>
      <c r="E377" s="18" t="s">
        <v>42</v>
      </c>
      <c r="F377" s="17">
        <v>4</v>
      </c>
      <c r="G377" s="19">
        <v>8</v>
      </c>
      <c r="H377" s="19">
        <f t="shared" si="152"/>
        <v>32</v>
      </c>
      <c r="I377" s="20" t="s">
        <v>42</v>
      </c>
      <c r="J377" s="21" t="s">
        <v>43</v>
      </c>
      <c r="K377" s="21"/>
      <c r="L377" s="31">
        <f>L363*8</f>
        <v>102.24</v>
      </c>
      <c r="M377" t="s">
        <v>44</v>
      </c>
      <c r="N377" s="28">
        <v>38</v>
      </c>
      <c r="O377" s="25">
        <v>84</v>
      </c>
      <c r="U377" s="21"/>
      <c r="V377" s="21">
        <v>8</v>
      </c>
      <c r="W377" s="21">
        <v>5</v>
      </c>
      <c r="X377" s="21">
        <f t="shared" si="163"/>
        <v>323.89999999999986</v>
      </c>
      <c r="Y377" s="21">
        <f t="shared" si="163"/>
        <v>364.49999999999989</v>
      </c>
      <c r="Z377" s="21">
        <f t="shared" si="163"/>
        <v>405.09999999999985</v>
      </c>
      <c r="AA377" s="21">
        <f t="shared" si="163"/>
        <v>516.74999999999989</v>
      </c>
      <c r="AB377" s="26">
        <f t="shared" si="155"/>
        <v>98.269999999999953</v>
      </c>
      <c r="AC377" s="27">
        <f t="shared" si="156"/>
        <v>217.62999999999988</v>
      </c>
      <c r="AD377" s="26">
        <f t="shared" si="157"/>
        <v>110.44999999999996</v>
      </c>
      <c r="AE377" s="27">
        <f t="shared" si="158"/>
        <v>246.0499999999999</v>
      </c>
      <c r="AF377" s="26">
        <f t="shared" si="159"/>
        <v>122.62999999999995</v>
      </c>
      <c r="AG377" s="27">
        <f t="shared" si="160"/>
        <v>274.46999999999986</v>
      </c>
      <c r="AH377" s="26">
        <f t="shared" si="161"/>
        <v>156.12499999999997</v>
      </c>
      <c r="AI377" s="27">
        <f t="shared" si="162"/>
        <v>352.62499999999989</v>
      </c>
      <c r="AJ377" s="28" t="s">
        <v>45</v>
      </c>
      <c r="AK377" s="15" t="s">
        <v>46</v>
      </c>
    </row>
    <row r="378" spans="1:37" ht="14.25" customHeight="1">
      <c r="A378" s="15" t="s">
        <v>39</v>
      </c>
      <c r="B378" s="16">
        <v>25</v>
      </c>
      <c r="C378" s="17" t="s">
        <v>40</v>
      </c>
      <c r="D378" s="15" t="s">
        <v>41</v>
      </c>
      <c r="E378" s="18" t="s">
        <v>42</v>
      </c>
      <c r="F378" s="28">
        <v>4</v>
      </c>
      <c r="G378" s="19">
        <v>9</v>
      </c>
      <c r="H378" s="19">
        <f t="shared" si="152"/>
        <v>36</v>
      </c>
      <c r="I378" s="20" t="s">
        <v>42</v>
      </c>
      <c r="J378" s="21" t="s">
        <v>43</v>
      </c>
      <c r="K378" s="21"/>
      <c r="L378" s="26">
        <f>0.24*9</f>
        <v>2.16</v>
      </c>
      <c r="M378" t="s">
        <v>44</v>
      </c>
      <c r="N378" s="24">
        <v>38</v>
      </c>
      <c r="O378" s="25">
        <v>84</v>
      </c>
      <c r="U378" s="21"/>
      <c r="V378" s="21">
        <v>4</v>
      </c>
      <c r="W378" s="21">
        <v>5</v>
      </c>
      <c r="X378" s="21">
        <f>X356*(1+0.6+0.4+0.3+0.3+0.3+0.3+0.3+0.3)</f>
        <v>5070268.5504597649</v>
      </c>
      <c r="Y378" s="21">
        <f>Y356*(1+0.6+0.4+0.3+0.3+0.3+0.3+0.3+0.3)</f>
        <v>5746988.4817015612</v>
      </c>
      <c r="Z378" s="21">
        <f>Z356*(1+0.6+0.4+0.3+0.3+0.3+0.3+0.3+0.3)</f>
        <v>6423708.4129433576</v>
      </c>
      <c r="AA378" s="21">
        <f>AA356*(1+0.6+0.4+0.3+0.3+0.3+0.3+0.3+0.3)</f>
        <v>8284688.2238582969</v>
      </c>
      <c r="AB378" s="26">
        <f t="shared" si="155"/>
        <v>1521082.8651379293</v>
      </c>
      <c r="AC378" s="27">
        <f t="shared" si="156"/>
        <v>3549181.6853218353</v>
      </c>
      <c r="AD378" s="26">
        <f t="shared" si="157"/>
        <v>1724098.8445104684</v>
      </c>
      <c r="AE378" s="27">
        <f t="shared" si="158"/>
        <v>4022885.6371910926</v>
      </c>
      <c r="AF378" s="26">
        <f t="shared" si="159"/>
        <v>1927114.8238830073</v>
      </c>
      <c r="AG378" s="27">
        <f t="shared" si="160"/>
        <v>4496589.5890603503</v>
      </c>
      <c r="AH378" s="26">
        <f t="shared" si="161"/>
        <v>2485408.767157489</v>
      </c>
      <c r="AI378" s="27">
        <f t="shared" si="162"/>
        <v>5799275.4567008074</v>
      </c>
      <c r="AJ378" s="28" t="s">
        <v>45</v>
      </c>
      <c r="AK378" s="15" t="s">
        <v>46</v>
      </c>
    </row>
    <row r="379" spans="1:37" ht="14.25" customHeight="1">
      <c r="A379" s="15" t="s">
        <v>39</v>
      </c>
      <c r="B379" s="16">
        <v>50</v>
      </c>
      <c r="C379" s="17" t="s">
        <v>40</v>
      </c>
      <c r="D379" s="15" t="s">
        <v>41</v>
      </c>
      <c r="E379" s="18" t="s">
        <v>42</v>
      </c>
      <c r="F379" s="28">
        <v>4</v>
      </c>
      <c r="G379" s="19">
        <v>9</v>
      </c>
      <c r="H379" s="19">
        <f t="shared" si="152"/>
        <v>36</v>
      </c>
      <c r="I379" s="20" t="s">
        <v>42</v>
      </c>
      <c r="J379" s="21" t="s">
        <v>43</v>
      </c>
      <c r="K379" s="21"/>
      <c r="L379" s="26">
        <f>0.24*9</f>
        <v>2.16</v>
      </c>
      <c r="M379" t="s">
        <v>44</v>
      </c>
      <c r="N379" s="24">
        <v>38</v>
      </c>
      <c r="O379" s="25">
        <v>84</v>
      </c>
      <c r="U379" s="21"/>
      <c r="V379" s="21">
        <v>4</v>
      </c>
      <c r="W379" s="21">
        <v>5</v>
      </c>
      <c r="X379" s="21">
        <f>X356*(1+0.6+0.4+0.3+0.3+0.3+0.3+0.3+0.3)</f>
        <v>5070268.5504597649</v>
      </c>
      <c r="Y379" s="21">
        <f>Y356*(1+0.6+0.4+0.3+0.3+0.3+0.3+0.3+0.3)</f>
        <v>5746988.4817015612</v>
      </c>
      <c r="Z379" s="21">
        <f>Z356*(1+0.6+0.4+0.3+0.3+0.3+0.3+0.3+0.3)</f>
        <v>6423708.4129433576</v>
      </c>
      <c r="AA379" s="21">
        <f>AA356*(1+0.6+0.4+0.3+0.3+0.3+0.3+0.3+0.3)</f>
        <v>8284688.2238582969</v>
      </c>
      <c r="AB379" s="26">
        <f t="shared" si="155"/>
        <v>1521082.8651379293</v>
      </c>
      <c r="AC379" s="27">
        <f t="shared" si="156"/>
        <v>3549181.6853218353</v>
      </c>
      <c r="AD379" s="26">
        <f t="shared" si="157"/>
        <v>1724098.8445104684</v>
      </c>
      <c r="AE379" s="27">
        <f t="shared" si="158"/>
        <v>4022885.6371910926</v>
      </c>
      <c r="AF379" s="26">
        <f t="shared" si="159"/>
        <v>1927114.8238830073</v>
      </c>
      <c r="AG379" s="27">
        <f t="shared" si="160"/>
        <v>4496589.5890603503</v>
      </c>
      <c r="AH379" s="26">
        <f t="shared" si="161"/>
        <v>2485408.767157489</v>
      </c>
      <c r="AI379" s="27">
        <f t="shared" si="162"/>
        <v>5799275.4567008074</v>
      </c>
      <c r="AJ379" s="28" t="s">
        <v>45</v>
      </c>
      <c r="AK379" s="15" t="s">
        <v>46</v>
      </c>
    </row>
    <row r="380" spans="1:37" ht="14.25" customHeight="1">
      <c r="A380" s="15" t="s">
        <v>39</v>
      </c>
      <c r="B380" s="16">
        <v>100</v>
      </c>
      <c r="C380" s="17" t="s">
        <v>40</v>
      </c>
      <c r="D380" s="15" t="s">
        <v>41</v>
      </c>
      <c r="E380" s="18" t="s">
        <v>42</v>
      </c>
      <c r="F380" s="28">
        <v>4</v>
      </c>
      <c r="G380" s="19">
        <v>9</v>
      </c>
      <c r="H380" s="19">
        <f t="shared" si="152"/>
        <v>36</v>
      </c>
      <c r="I380" s="20" t="s">
        <v>42</v>
      </c>
      <c r="J380" s="21" t="s">
        <v>43</v>
      </c>
      <c r="K380" s="21"/>
      <c r="L380" s="26">
        <f>0.24*9</f>
        <v>2.16</v>
      </c>
      <c r="M380" t="s">
        <v>44</v>
      </c>
      <c r="N380" s="24">
        <v>38</v>
      </c>
      <c r="O380" s="25">
        <v>84</v>
      </c>
      <c r="U380" s="21"/>
      <c r="V380" s="21">
        <v>4</v>
      </c>
      <c r="W380" s="21">
        <v>5</v>
      </c>
      <c r="X380" s="21">
        <f>X356*(1+0.6+0.4+0.3+0.3+0.3+0.3+0.3+0.3)</f>
        <v>5070268.5504597649</v>
      </c>
      <c r="Y380" s="21">
        <f>Y356*(1+0.6+0.4+0.3+0.3+0.3+0.3+0.3+0.3)</f>
        <v>5746988.4817015612</v>
      </c>
      <c r="Z380" s="21">
        <f>Z356*(1+0.6+0.4+0.3+0.3+0.3+0.3+0.3+0.3)</f>
        <v>6423708.4129433576</v>
      </c>
      <c r="AA380" s="21">
        <f>AA356*(1+0.6+0.4+0.3+0.3+0.3+0.3+0.3+0.3)</f>
        <v>8284688.2238582969</v>
      </c>
      <c r="AB380" s="26">
        <f t="shared" si="155"/>
        <v>1521082.8651379293</v>
      </c>
      <c r="AC380" s="27">
        <f t="shared" si="156"/>
        <v>3549181.6853218353</v>
      </c>
      <c r="AD380" s="26">
        <f t="shared" si="157"/>
        <v>1724098.8445104684</v>
      </c>
      <c r="AE380" s="27">
        <f t="shared" si="158"/>
        <v>4022885.6371910926</v>
      </c>
      <c r="AF380" s="26">
        <f t="shared" si="159"/>
        <v>1927114.8238830073</v>
      </c>
      <c r="AG380" s="27">
        <f t="shared" si="160"/>
        <v>4496589.5890603503</v>
      </c>
      <c r="AH380" s="26">
        <f t="shared" si="161"/>
        <v>2485408.767157489</v>
      </c>
      <c r="AI380" s="27">
        <f t="shared" si="162"/>
        <v>5799275.4567008074</v>
      </c>
      <c r="AJ380" s="28" t="s">
        <v>45</v>
      </c>
      <c r="AK380" s="15" t="s">
        <v>46</v>
      </c>
    </row>
    <row r="381" spans="1:37" ht="14.25" customHeight="1">
      <c r="A381" s="69" t="s">
        <v>47</v>
      </c>
      <c r="B381" s="16">
        <v>10</v>
      </c>
      <c r="C381" s="17" t="s">
        <v>40</v>
      </c>
      <c r="D381" s="15" t="s">
        <v>41</v>
      </c>
      <c r="E381" s="18" t="s">
        <v>42</v>
      </c>
      <c r="F381" s="17">
        <v>4</v>
      </c>
      <c r="G381" s="19">
        <v>9</v>
      </c>
      <c r="H381" s="19">
        <f t="shared" si="152"/>
        <v>36</v>
      </c>
      <c r="I381" s="20" t="s">
        <v>42</v>
      </c>
      <c r="J381" s="22" t="s">
        <v>49</v>
      </c>
      <c r="K381" s="21"/>
      <c r="L381" s="26">
        <f>0.27*9</f>
        <v>2.4300000000000002</v>
      </c>
      <c r="M381" t="s">
        <v>44</v>
      </c>
      <c r="N381" s="28">
        <v>38</v>
      </c>
      <c r="O381" s="25">
        <v>84</v>
      </c>
      <c r="U381" s="21"/>
      <c r="V381" s="21">
        <v>4</v>
      </c>
      <c r="W381" s="21">
        <v>5</v>
      </c>
      <c r="X381" s="21">
        <f t="shared" ref="X381:AA382" si="164">X365*(1+0.6+0.4+0.3+0.3+0.3+0.3+0.3+0.3)</f>
        <v>935398.7450840302</v>
      </c>
      <c r="Y381" s="21">
        <f t="shared" si="164"/>
        <v>1060269.2202295582</v>
      </c>
      <c r="Z381" s="21">
        <f t="shared" si="164"/>
        <v>1185139.6953750865</v>
      </c>
      <c r="AA381" s="21">
        <f t="shared" si="164"/>
        <v>1528533.502025289</v>
      </c>
      <c r="AB381" s="26">
        <f t="shared" si="155"/>
        <v>280621.92352520907</v>
      </c>
      <c r="AC381" s="27">
        <f t="shared" si="156"/>
        <v>654772.82155882113</v>
      </c>
      <c r="AD381" s="26">
        <f t="shared" si="157"/>
        <v>318083.06606886745</v>
      </c>
      <c r="AE381" s="27">
        <f t="shared" si="158"/>
        <v>742182.15416069073</v>
      </c>
      <c r="AF381" s="26">
        <f t="shared" si="159"/>
        <v>355544.20861252595</v>
      </c>
      <c r="AG381" s="27">
        <f t="shared" si="160"/>
        <v>829591.48676256055</v>
      </c>
      <c r="AH381" s="26">
        <f t="shared" si="161"/>
        <v>458562.35060758668</v>
      </c>
      <c r="AI381" s="27">
        <f t="shared" si="162"/>
        <v>1069967.1514177022</v>
      </c>
      <c r="AJ381" s="28" t="s">
        <v>45</v>
      </c>
      <c r="AK381" s="15" t="s">
        <v>46</v>
      </c>
    </row>
    <row r="382" spans="1:37" ht="14.25" customHeight="1">
      <c r="A382" s="69" t="s">
        <v>47</v>
      </c>
      <c r="B382" s="16">
        <v>20</v>
      </c>
      <c r="C382" s="17" t="s">
        <v>40</v>
      </c>
      <c r="D382" s="15" t="s">
        <v>41</v>
      </c>
      <c r="E382" s="18" t="s">
        <v>42</v>
      </c>
      <c r="F382" s="17">
        <v>4</v>
      </c>
      <c r="G382" s="19">
        <v>9</v>
      </c>
      <c r="H382" s="19">
        <f t="shared" si="152"/>
        <v>36</v>
      </c>
      <c r="I382" s="20" t="s">
        <v>42</v>
      </c>
      <c r="J382" s="22" t="s">
        <v>49</v>
      </c>
      <c r="K382" s="21"/>
      <c r="L382" s="26">
        <f>0.27*9</f>
        <v>2.4300000000000002</v>
      </c>
      <c r="M382" t="s">
        <v>44</v>
      </c>
      <c r="N382" s="28">
        <v>38</v>
      </c>
      <c r="O382" s="25">
        <v>84</v>
      </c>
      <c r="U382" s="21"/>
      <c r="V382" s="21">
        <v>4</v>
      </c>
      <c r="W382" s="21">
        <v>5</v>
      </c>
      <c r="X382" s="21">
        <f t="shared" si="164"/>
        <v>935398.7450840302</v>
      </c>
      <c r="Y382" s="21">
        <f t="shared" si="164"/>
        <v>1060269.2202295582</v>
      </c>
      <c r="Z382" s="21">
        <f t="shared" si="164"/>
        <v>1185139.6953750865</v>
      </c>
      <c r="AA382" s="21">
        <f t="shared" si="164"/>
        <v>1528533.502025289</v>
      </c>
      <c r="AB382" s="26">
        <f t="shared" si="155"/>
        <v>280621.92352520907</v>
      </c>
      <c r="AC382" s="27">
        <f t="shared" si="156"/>
        <v>654772.82155882113</v>
      </c>
      <c r="AD382" s="26">
        <f t="shared" si="157"/>
        <v>318083.06606886745</v>
      </c>
      <c r="AE382" s="27">
        <f t="shared" si="158"/>
        <v>742182.15416069073</v>
      </c>
      <c r="AF382" s="26">
        <f t="shared" si="159"/>
        <v>355544.20861252595</v>
      </c>
      <c r="AG382" s="27">
        <f t="shared" si="160"/>
        <v>829591.48676256055</v>
      </c>
      <c r="AH382" s="26">
        <f t="shared" si="161"/>
        <v>458562.35060758668</v>
      </c>
      <c r="AI382" s="27">
        <f t="shared" si="162"/>
        <v>1069967.1514177022</v>
      </c>
      <c r="AJ382" s="28" t="s">
        <v>45</v>
      </c>
      <c r="AK382" s="15" t="s">
        <v>46</v>
      </c>
    </row>
    <row r="383" spans="1:37" ht="14.25" customHeight="1">
      <c r="A383" s="15" t="s">
        <v>50</v>
      </c>
      <c r="B383" s="16">
        <v>10</v>
      </c>
      <c r="C383" s="17" t="s">
        <v>40</v>
      </c>
      <c r="D383" s="15" t="s">
        <v>41</v>
      </c>
      <c r="E383" s="18" t="s">
        <v>42</v>
      </c>
      <c r="F383" s="17">
        <v>4</v>
      </c>
      <c r="G383" s="19">
        <v>9</v>
      </c>
      <c r="H383" s="19">
        <f t="shared" si="152"/>
        <v>36</v>
      </c>
      <c r="I383" s="20" t="s">
        <v>42</v>
      </c>
      <c r="J383" s="21" t="s">
        <v>43</v>
      </c>
      <c r="K383" s="21"/>
      <c r="L383" s="31">
        <f>L367*9</f>
        <v>17.010000000000002</v>
      </c>
      <c r="M383" t="s">
        <v>44</v>
      </c>
      <c r="N383" s="28">
        <v>38</v>
      </c>
      <c r="O383" s="25">
        <v>84</v>
      </c>
      <c r="U383" s="21"/>
      <c r="V383" s="21">
        <v>8</v>
      </c>
      <c r="W383" s="21">
        <v>5</v>
      </c>
      <c r="X383" s="21">
        <f t="shared" ref="X383:AA384" si="165">(X367*(1+0.6+0.4+0.3+0.3+0.3+0.3+0.3+0.3))+4</f>
        <v>759.13599999999951</v>
      </c>
      <c r="Y383" s="21">
        <f t="shared" si="165"/>
        <v>900.19199999999944</v>
      </c>
      <c r="Z383" s="21">
        <f t="shared" si="165"/>
        <v>1041.2479999999991</v>
      </c>
      <c r="AA383" s="21">
        <f t="shared" si="165"/>
        <v>1429.1519999999991</v>
      </c>
      <c r="AB383" s="26">
        <f t="shared" si="155"/>
        <v>228.84079999999986</v>
      </c>
      <c r="AC383" s="27">
        <f t="shared" si="156"/>
        <v>522.29519999999968</v>
      </c>
      <c r="AD383" s="26">
        <f t="shared" si="157"/>
        <v>271.15759999999983</v>
      </c>
      <c r="AE383" s="27">
        <f t="shared" si="158"/>
        <v>621.03439999999955</v>
      </c>
      <c r="AF383" s="26">
        <f t="shared" si="159"/>
        <v>313.47439999999972</v>
      </c>
      <c r="AG383" s="27">
        <f t="shared" si="160"/>
        <v>719.77359999999931</v>
      </c>
      <c r="AH383" s="26">
        <f t="shared" si="161"/>
        <v>429.84559999999971</v>
      </c>
      <c r="AI383" s="27">
        <f t="shared" si="162"/>
        <v>991.30639999999937</v>
      </c>
      <c r="AJ383" s="28" t="s">
        <v>45</v>
      </c>
      <c r="AK383" s="15" t="s">
        <v>46</v>
      </c>
    </row>
    <row r="384" spans="1:37" ht="14.25" customHeight="1">
      <c r="A384" s="15" t="s">
        <v>50</v>
      </c>
      <c r="B384" s="16">
        <v>20</v>
      </c>
      <c r="C384" s="17" t="s">
        <v>40</v>
      </c>
      <c r="D384" s="15" t="s">
        <v>41</v>
      </c>
      <c r="E384" s="18" t="s">
        <v>42</v>
      </c>
      <c r="F384" s="17">
        <v>4</v>
      </c>
      <c r="G384" s="19">
        <v>9</v>
      </c>
      <c r="H384" s="19">
        <f t="shared" si="152"/>
        <v>36</v>
      </c>
      <c r="I384" s="20" t="s">
        <v>42</v>
      </c>
      <c r="J384" s="21" t="s">
        <v>43</v>
      </c>
      <c r="K384" s="21"/>
      <c r="L384" s="31">
        <f>L368*9</f>
        <v>17.010000000000002</v>
      </c>
      <c r="M384" t="s">
        <v>44</v>
      </c>
      <c r="N384" s="28">
        <v>38</v>
      </c>
      <c r="O384" s="25">
        <v>84</v>
      </c>
      <c r="U384" s="21"/>
      <c r="V384" s="21">
        <v>8</v>
      </c>
      <c r="W384" s="21">
        <v>5</v>
      </c>
      <c r="X384" s="21">
        <f t="shared" si="165"/>
        <v>16224863.361471243</v>
      </c>
      <c r="Y384" s="21">
        <f t="shared" si="165"/>
        <v>18390367.141444996</v>
      </c>
      <c r="Z384" s="21">
        <f t="shared" si="165"/>
        <v>20555870.921418738</v>
      </c>
      <c r="AA384" s="21">
        <f t="shared" si="165"/>
        <v>26511006.316346545</v>
      </c>
      <c r="AB384" s="26">
        <f t="shared" si="155"/>
        <v>4867460.1084413724</v>
      </c>
      <c r="AC384" s="27">
        <f t="shared" si="156"/>
        <v>11357395.25302987</v>
      </c>
      <c r="AD384" s="26">
        <f t="shared" si="157"/>
        <v>5517111.2424334986</v>
      </c>
      <c r="AE384" s="27">
        <f t="shared" si="158"/>
        <v>12873247.899011496</v>
      </c>
      <c r="AF384" s="26">
        <f t="shared" si="159"/>
        <v>6166762.3764256211</v>
      </c>
      <c r="AG384" s="27">
        <f t="shared" si="160"/>
        <v>14389100.544993116</v>
      </c>
      <c r="AH384" s="26">
        <f t="shared" si="161"/>
        <v>7953302.9949039631</v>
      </c>
      <c r="AI384" s="27">
        <f t="shared" si="162"/>
        <v>18557695.321442582</v>
      </c>
      <c r="AJ384" s="28" t="s">
        <v>45</v>
      </c>
      <c r="AK384" s="15" t="s">
        <v>46</v>
      </c>
    </row>
    <row r="385" spans="1:37" ht="14.25" customHeight="1">
      <c r="A385" s="15" t="s">
        <v>39</v>
      </c>
      <c r="B385" s="16">
        <v>25</v>
      </c>
      <c r="C385" s="17" t="s">
        <v>40</v>
      </c>
      <c r="D385" s="15" t="s">
        <v>41</v>
      </c>
      <c r="E385" s="18" t="s">
        <v>42</v>
      </c>
      <c r="F385" s="28">
        <v>4</v>
      </c>
      <c r="G385" s="19">
        <v>10</v>
      </c>
      <c r="H385" s="19">
        <f t="shared" si="152"/>
        <v>40</v>
      </c>
      <c r="I385" s="20" t="s">
        <v>42</v>
      </c>
      <c r="J385" s="21" t="s">
        <v>43</v>
      </c>
      <c r="K385" s="21"/>
      <c r="L385" s="26">
        <f>0.24*10</f>
        <v>2.4</v>
      </c>
      <c r="M385" t="s">
        <v>44</v>
      </c>
      <c r="N385" s="24">
        <v>38</v>
      </c>
      <c r="O385" s="25">
        <v>84</v>
      </c>
      <c r="U385" s="21"/>
      <c r="V385" s="21">
        <v>4</v>
      </c>
      <c r="W385" s="21">
        <v>5</v>
      </c>
      <c r="X385" s="21">
        <f>X360*(1+0.6+0.4+0.3+0.3+0.3+0.3+0.3+0.3+0.3)</f>
        <v>374.73999999999984</v>
      </c>
      <c r="Y385" s="21">
        <f>Y360*(1+0.6+0.4+0.3+0.3+0.3+0.3+0.3+0.3+0.3)</f>
        <v>414.09999999999985</v>
      </c>
      <c r="Z385" s="21">
        <f>Z360*(1+0.6+0.4+0.3+0.3+0.3+0.3+0.3+0.3+0.3)</f>
        <v>502.6599999999998</v>
      </c>
      <c r="AA385" s="21">
        <f>AA360*(1+0.6+0.4+0.3+0.3+0.3+0.3+0.3+0.3+0.3)</f>
        <v>600.64999999999986</v>
      </c>
      <c r="AB385" s="26">
        <f t="shared" si="155"/>
        <v>114.72199999999995</v>
      </c>
      <c r="AC385" s="27">
        <f t="shared" si="156"/>
        <v>256.01799999999986</v>
      </c>
      <c r="AD385" s="26">
        <f t="shared" si="157"/>
        <v>126.52999999999994</v>
      </c>
      <c r="AE385" s="27">
        <f t="shared" si="158"/>
        <v>283.56999999999988</v>
      </c>
      <c r="AF385" s="26">
        <f t="shared" si="159"/>
        <v>153.09799999999993</v>
      </c>
      <c r="AG385" s="27">
        <f t="shared" si="160"/>
        <v>345.56199999999984</v>
      </c>
      <c r="AH385" s="26">
        <f t="shared" si="161"/>
        <v>182.49499999999995</v>
      </c>
      <c r="AI385" s="27">
        <f t="shared" si="162"/>
        <v>414.15499999999986</v>
      </c>
      <c r="AJ385" s="28" t="s">
        <v>45</v>
      </c>
      <c r="AK385" s="15" t="s">
        <v>46</v>
      </c>
    </row>
    <row r="386" spans="1:37" ht="14.25" customHeight="1">
      <c r="A386" s="15" t="s">
        <v>39</v>
      </c>
      <c r="B386" s="16">
        <v>50</v>
      </c>
      <c r="C386" s="17" t="s">
        <v>40</v>
      </c>
      <c r="D386" s="15" t="s">
        <v>41</v>
      </c>
      <c r="E386" s="18" t="s">
        <v>42</v>
      </c>
      <c r="F386" s="28">
        <v>4</v>
      </c>
      <c r="G386" s="19">
        <v>10</v>
      </c>
      <c r="H386" s="19">
        <f t="shared" si="152"/>
        <v>40</v>
      </c>
      <c r="I386" s="20" t="s">
        <v>42</v>
      </c>
      <c r="J386" s="21" t="s">
        <v>43</v>
      </c>
      <c r="K386" s="21"/>
      <c r="L386" s="26">
        <f>0.24*10</f>
        <v>2.4</v>
      </c>
      <c r="M386" t="s">
        <v>44</v>
      </c>
      <c r="N386" s="24">
        <v>38</v>
      </c>
      <c r="O386" s="25">
        <v>84</v>
      </c>
      <c r="U386" s="21"/>
      <c r="V386" s="21">
        <v>4</v>
      </c>
      <c r="W386" s="21">
        <v>5</v>
      </c>
      <c r="X386" s="21">
        <f>X360*(1+0.6+0.4+0.3+0.3+0.3+0.3+0.3+0.3+0.3)</f>
        <v>374.73999999999984</v>
      </c>
      <c r="Y386" s="21">
        <f>Y360*(1+0.6+0.4+0.3+0.3+0.3+0.3+0.3+0.3+0.3)</f>
        <v>414.09999999999985</v>
      </c>
      <c r="Z386" s="21">
        <f>Z360*(1+0.6+0.4+0.3+0.3+0.3+0.3+0.3+0.3+0.3)</f>
        <v>502.6599999999998</v>
      </c>
      <c r="AA386" s="21">
        <f>AA360*(1+0.6+0.4+0.3+0.3+0.3+0.3+0.3+0.3+0.3)</f>
        <v>600.64999999999986</v>
      </c>
      <c r="AB386" s="26">
        <f t="shared" si="155"/>
        <v>114.72199999999995</v>
      </c>
      <c r="AC386" s="27">
        <f t="shared" si="156"/>
        <v>256.01799999999986</v>
      </c>
      <c r="AD386" s="26">
        <f t="shared" si="157"/>
        <v>126.52999999999994</v>
      </c>
      <c r="AE386" s="27">
        <f t="shared" si="158"/>
        <v>283.56999999999988</v>
      </c>
      <c r="AF386" s="26">
        <f t="shared" si="159"/>
        <v>153.09799999999993</v>
      </c>
      <c r="AG386" s="27">
        <f t="shared" si="160"/>
        <v>345.56199999999984</v>
      </c>
      <c r="AH386" s="26">
        <f t="shared" si="161"/>
        <v>182.49499999999995</v>
      </c>
      <c r="AI386" s="27">
        <f t="shared" si="162"/>
        <v>414.15499999999986</v>
      </c>
      <c r="AJ386" s="28" t="s">
        <v>45</v>
      </c>
      <c r="AK386" s="15" t="s">
        <v>46</v>
      </c>
    </row>
    <row r="387" spans="1:37" ht="14.25" customHeight="1">
      <c r="A387" s="15" t="s">
        <v>39</v>
      </c>
      <c r="B387" s="16">
        <v>100</v>
      </c>
      <c r="C387" s="17" t="s">
        <v>40</v>
      </c>
      <c r="D387" s="15" t="s">
        <v>41</v>
      </c>
      <c r="E387" s="18" t="s">
        <v>42</v>
      </c>
      <c r="F387" s="28">
        <v>4</v>
      </c>
      <c r="G387" s="19">
        <v>10</v>
      </c>
      <c r="H387" s="19">
        <f t="shared" si="152"/>
        <v>40</v>
      </c>
      <c r="I387" s="20" t="s">
        <v>42</v>
      </c>
      <c r="J387" s="21" t="s">
        <v>43</v>
      </c>
      <c r="K387" s="21"/>
      <c r="L387" s="26">
        <f>0.24*10</f>
        <v>2.4</v>
      </c>
      <c r="M387" t="s">
        <v>44</v>
      </c>
      <c r="N387" s="24">
        <v>38</v>
      </c>
      <c r="O387" s="25">
        <v>84</v>
      </c>
      <c r="U387" s="21"/>
      <c r="V387" s="21">
        <v>4</v>
      </c>
      <c r="W387" s="21">
        <v>5</v>
      </c>
      <c r="X387" s="21">
        <f>X360*(1+0.6+0.4+0.3+0.3+0.3+0.3+0.3+0.3+0.3)</f>
        <v>374.73999999999984</v>
      </c>
      <c r="Y387" s="21">
        <f>Y360*(1+0.6+0.4+0.3+0.3+0.3+0.3+0.3+0.3+0.3)</f>
        <v>414.09999999999985</v>
      </c>
      <c r="Z387" s="21">
        <f>Z360*(1+0.6+0.4+0.3+0.3+0.3+0.3+0.3+0.3+0.3)</f>
        <v>502.6599999999998</v>
      </c>
      <c r="AA387" s="21">
        <f>AA360*(1+0.6+0.4+0.3+0.3+0.3+0.3+0.3+0.3+0.3)</f>
        <v>600.64999999999986</v>
      </c>
      <c r="AB387" s="26">
        <f t="shared" si="155"/>
        <v>114.72199999999995</v>
      </c>
      <c r="AC387" s="27">
        <f t="shared" si="156"/>
        <v>256.01799999999986</v>
      </c>
      <c r="AD387" s="26">
        <f t="shared" si="157"/>
        <v>126.52999999999994</v>
      </c>
      <c r="AE387" s="27">
        <f t="shared" si="158"/>
        <v>283.56999999999988</v>
      </c>
      <c r="AF387" s="26">
        <f t="shared" si="159"/>
        <v>153.09799999999993</v>
      </c>
      <c r="AG387" s="27">
        <f t="shared" si="160"/>
        <v>345.56199999999984</v>
      </c>
      <c r="AH387" s="26">
        <f t="shared" si="161"/>
        <v>182.49499999999995</v>
      </c>
      <c r="AI387" s="27">
        <f t="shared" si="162"/>
        <v>414.15499999999986</v>
      </c>
      <c r="AJ387" s="28" t="s">
        <v>45</v>
      </c>
      <c r="AK387" s="15" t="s">
        <v>46</v>
      </c>
    </row>
    <row r="388" spans="1:37" ht="14.25" customHeight="1">
      <c r="A388" s="69" t="s">
        <v>47</v>
      </c>
      <c r="B388" s="16">
        <v>10</v>
      </c>
      <c r="C388" s="17" t="s">
        <v>40</v>
      </c>
      <c r="D388" s="15" t="s">
        <v>41</v>
      </c>
      <c r="E388" s="18" t="s">
        <v>42</v>
      </c>
      <c r="F388" s="17">
        <v>4</v>
      </c>
      <c r="G388" s="19">
        <v>10</v>
      </c>
      <c r="H388" s="19">
        <f t="shared" si="152"/>
        <v>40</v>
      </c>
      <c r="I388" s="20" t="s">
        <v>42</v>
      </c>
      <c r="J388" s="22" t="s">
        <v>49</v>
      </c>
      <c r="K388" s="21"/>
      <c r="L388" s="26">
        <f>0.27*10</f>
        <v>2.7</v>
      </c>
      <c r="M388" t="s">
        <v>44</v>
      </c>
      <c r="N388" s="28">
        <v>38</v>
      </c>
      <c r="O388" s="25">
        <v>84</v>
      </c>
      <c r="U388" s="21"/>
      <c r="V388" s="21">
        <v>4</v>
      </c>
      <c r="W388" s="21">
        <v>5</v>
      </c>
      <c r="X388" s="21">
        <f t="shared" ref="X388:AA389" si="166">X370*(1+0.6+0.4+0.3+0.3+0.3+0.3+0.3+0.3+0.3)</f>
        <v>37236.963583999968</v>
      </c>
      <c r="Y388" s="21">
        <f t="shared" si="166"/>
        <v>40220.535551999965</v>
      </c>
      <c r="Z388" s="21">
        <f t="shared" si="166"/>
        <v>43204.107519999961</v>
      </c>
      <c r="AA388" s="21">
        <f t="shared" si="166"/>
        <v>51408.930431999943</v>
      </c>
      <c r="AB388" s="26">
        <f t="shared" si="155"/>
        <v>11173.38907519999</v>
      </c>
      <c r="AC388" s="27">
        <f t="shared" si="156"/>
        <v>26059.574508799975</v>
      </c>
      <c r="AD388" s="26">
        <f t="shared" si="157"/>
        <v>12068.460665599989</v>
      </c>
      <c r="AE388" s="27">
        <f t="shared" si="158"/>
        <v>28148.074886399972</v>
      </c>
      <c r="AF388" s="26">
        <f t="shared" si="159"/>
        <v>12963.532255999988</v>
      </c>
      <c r="AG388" s="27">
        <f t="shared" si="160"/>
        <v>30236.57526399997</v>
      </c>
      <c r="AH388" s="26">
        <f t="shared" si="161"/>
        <v>15424.979129599982</v>
      </c>
      <c r="AI388" s="27">
        <f t="shared" si="162"/>
        <v>35979.951302399961</v>
      </c>
      <c r="AJ388" s="28" t="s">
        <v>45</v>
      </c>
      <c r="AK388" s="15" t="s">
        <v>46</v>
      </c>
    </row>
    <row r="389" spans="1:37" ht="14.25" customHeight="1">
      <c r="A389" s="69" t="s">
        <v>47</v>
      </c>
      <c r="B389" s="16">
        <v>20</v>
      </c>
      <c r="C389" s="17" t="s">
        <v>40</v>
      </c>
      <c r="D389" s="15" t="s">
        <v>41</v>
      </c>
      <c r="E389" s="18" t="s">
        <v>42</v>
      </c>
      <c r="F389" s="17">
        <v>4</v>
      </c>
      <c r="G389" s="19">
        <v>10</v>
      </c>
      <c r="H389" s="19">
        <f t="shared" si="152"/>
        <v>40</v>
      </c>
      <c r="I389" s="20" t="s">
        <v>42</v>
      </c>
      <c r="J389" s="22" t="s">
        <v>49</v>
      </c>
      <c r="K389" s="21"/>
      <c r="L389" s="26">
        <f>0.27*10</f>
        <v>2.7</v>
      </c>
      <c r="M389" t="s">
        <v>44</v>
      </c>
      <c r="N389" s="28">
        <v>38</v>
      </c>
      <c r="O389" s="25">
        <v>84</v>
      </c>
      <c r="U389" s="21"/>
      <c r="V389" s="21">
        <v>4</v>
      </c>
      <c r="W389" s="21">
        <v>5</v>
      </c>
      <c r="X389" s="21">
        <f t="shared" si="166"/>
        <v>13694.66419999999</v>
      </c>
      <c r="Y389" s="21">
        <f t="shared" si="166"/>
        <v>14819.933799999986</v>
      </c>
      <c r="Z389" s="21">
        <f t="shared" si="166"/>
        <v>15945.203399999988</v>
      </c>
      <c r="AA389" s="21">
        <f t="shared" si="166"/>
        <v>19039.694799999979</v>
      </c>
      <c r="AB389" s="26">
        <f t="shared" si="155"/>
        <v>4110.6992599999967</v>
      </c>
      <c r="AC389" s="27">
        <f t="shared" si="156"/>
        <v>9579.9649399999926</v>
      </c>
      <c r="AD389" s="26">
        <f t="shared" si="157"/>
        <v>4448.2801399999953</v>
      </c>
      <c r="AE389" s="27">
        <f t="shared" si="158"/>
        <v>10367.653659999989</v>
      </c>
      <c r="AF389" s="26">
        <f t="shared" si="159"/>
        <v>4785.8610199999957</v>
      </c>
      <c r="AG389" s="27">
        <f t="shared" si="160"/>
        <v>11155.342379999991</v>
      </c>
      <c r="AH389" s="26">
        <f t="shared" si="161"/>
        <v>5714.208439999994</v>
      </c>
      <c r="AI389" s="27">
        <f t="shared" si="162"/>
        <v>13321.486359999984</v>
      </c>
      <c r="AJ389" s="28" t="s">
        <v>45</v>
      </c>
      <c r="AK389" s="15" t="s">
        <v>46</v>
      </c>
    </row>
    <row r="390" spans="1:37" ht="14.25" customHeight="1">
      <c r="A390" s="15" t="s">
        <v>50</v>
      </c>
      <c r="B390" s="16">
        <v>10</v>
      </c>
      <c r="C390" s="17" t="s">
        <v>40</v>
      </c>
      <c r="D390" s="15" t="s">
        <v>41</v>
      </c>
      <c r="E390" s="18" t="s">
        <v>42</v>
      </c>
      <c r="F390" s="17">
        <v>4</v>
      </c>
      <c r="G390" s="19">
        <v>10</v>
      </c>
      <c r="H390" s="19">
        <f t="shared" si="152"/>
        <v>40</v>
      </c>
      <c r="I390" s="20" t="s">
        <v>42</v>
      </c>
      <c r="J390" s="21" t="s">
        <v>43</v>
      </c>
      <c r="K390" s="21"/>
      <c r="L390" s="31">
        <f>L372*10</f>
        <v>19.2</v>
      </c>
      <c r="M390" t="s">
        <v>44</v>
      </c>
      <c r="N390" s="28">
        <v>38</v>
      </c>
      <c r="O390" s="25">
        <v>84</v>
      </c>
      <c r="U390" s="21"/>
      <c r="V390" s="21">
        <v>8</v>
      </c>
      <c r="W390" s="21">
        <v>5</v>
      </c>
      <c r="X390" s="21">
        <f t="shared" ref="X390:AA391" si="167">(X372*(1+0.6+0.4+0.3+0.3+0.3+0.3+0.3+0.3+0.3))+4</f>
        <v>13698.66419999999</v>
      </c>
      <c r="Y390" s="21">
        <f t="shared" si="167"/>
        <v>14823.933799999986</v>
      </c>
      <c r="Z390" s="21">
        <f t="shared" si="167"/>
        <v>15949.203399999988</v>
      </c>
      <c r="AA390" s="21">
        <f t="shared" si="167"/>
        <v>19043.694799999979</v>
      </c>
      <c r="AB390" s="26">
        <f t="shared" si="155"/>
        <v>4110.6992599999967</v>
      </c>
      <c r="AC390" s="27">
        <f t="shared" si="156"/>
        <v>9579.9649399999926</v>
      </c>
      <c r="AD390" s="26">
        <f t="shared" si="157"/>
        <v>4448.2801399999953</v>
      </c>
      <c r="AE390" s="27">
        <f t="shared" si="158"/>
        <v>10367.653659999989</v>
      </c>
      <c r="AF390" s="26">
        <f t="shared" si="159"/>
        <v>4785.8610199999957</v>
      </c>
      <c r="AG390" s="27">
        <f t="shared" si="160"/>
        <v>11155.342379999991</v>
      </c>
      <c r="AH390" s="26">
        <f t="shared" si="161"/>
        <v>5714.208439999994</v>
      </c>
      <c r="AI390" s="27">
        <f t="shared" si="162"/>
        <v>13321.486359999984</v>
      </c>
      <c r="AJ390" s="28" t="s">
        <v>45</v>
      </c>
      <c r="AK390" s="15" t="s">
        <v>46</v>
      </c>
    </row>
    <row r="391" spans="1:37" ht="14.25" customHeight="1">
      <c r="A391" s="15" t="s">
        <v>50</v>
      </c>
      <c r="B391" s="16">
        <v>20</v>
      </c>
      <c r="C391" s="17" t="s">
        <v>40</v>
      </c>
      <c r="D391" s="15" t="s">
        <v>41</v>
      </c>
      <c r="E391" s="18" t="s">
        <v>42</v>
      </c>
      <c r="F391" s="17">
        <v>4</v>
      </c>
      <c r="G391" s="19">
        <v>10</v>
      </c>
      <c r="H391" s="19">
        <f t="shared" si="152"/>
        <v>40</v>
      </c>
      <c r="I391" s="20" t="s">
        <v>42</v>
      </c>
      <c r="J391" s="21" t="s">
        <v>43</v>
      </c>
      <c r="K391" s="21"/>
      <c r="L391" s="31">
        <f>L373*10</f>
        <v>19.2</v>
      </c>
      <c r="M391" t="s">
        <v>44</v>
      </c>
      <c r="N391" s="28">
        <v>38</v>
      </c>
      <c r="O391" s="25">
        <v>84</v>
      </c>
      <c r="U391" s="21"/>
      <c r="V391" s="21">
        <v>8</v>
      </c>
      <c r="W391" s="21">
        <v>5</v>
      </c>
      <c r="X391" s="21">
        <f t="shared" si="167"/>
        <v>13698.66419999999</v>
      </c>
      <c r="Y391" s="21">
        <f t="shared" si="167"/>
        <v>14823.933799999986</v>
      </c>
      <c r="Z391" s="21">
        <f t="shared" si="167"/>
        <v>15949.203399999988</v>
      </c>
      <c r="AA391" s="21">
        <f t="shared" si="167"/>
        <v>19043.694799999979</v>
      </c>
      <c r="AB391" s="26">
        <f t="shared" si="155"/>
        <v>4110.6992599999967</v>
      </c>
      <c r="AC391" s="27">
        <f t="shared" si="156"/>
        <v>9579.9649399999926</v>
      </c>
      <c r="AD391" s="26">
        <f t="shared" si="157"/>
        <v>4448.2801399999953</v>
      </c>
      <c r="AE391" s="27">
        <f t="shared" si="158"/>
        <v>10367.653659999989</v>
      </c>
      <c r="AF391" s="26">
        <f t="shared" si="159"/>
        <v>4785.8610199999957</v>
      </c>
      <c r="AG391" s="27">
        <f t="shared" si="160"/>
        <v>11155.342379999991</v>
      </c>
      <c r="AH391" s="26">
        <f t="shared" si="161"/>
        <v>5714.208439999994</v>
      </c>
      <c r="AI391" s="27">
        <f t="shared" si="162"/>
        <v>13321.486359999984</v>
      </c>
      <c r="AJ391" s="28" t="s">
        <v>45</v>
      </c>
      <c r="AK391" s="15" t="s">
        <v>46</v>
      </c>
    </row>
    <row r="392" spans="1:37" ht="14.25" customHeight="1">
      <c r="A392" s="51" t="s">
        <v>166</v>
      </c>
      <c r="B392" s="35" t="s">
        <v>167</v>
      </c>
      <c r="C392" s="17" t="s">
        <v>40</v>
      </c>
      <c r="D392" s="15" t="s">
        <v>41</v>
      </c>
      <c r="E392" s="38" t="s">
        <v>42</v>
      </c>
      <c r="G392" s="52"/>
      <c r="H392" s="19"/>
      <c r="I392" s="38" t="s">
        <v>42</v>
      </c>
      <c r="J392" s="32"/>
      <c r="K392" s="32"/>
      <c r="L392" s="39"/>
      <c r="M392" s="32" t="s">
        <v>168</v>
      </c>
      <c r="O392" s="53"/>
      <c r="AB392" s="26">
        <f t="shared" si="155"/>
        <v>0</v>
      </c>
      <c r="AC392" s="27">
        <f t="shared" si="156"/>
        <v>0</v>
      </c>
      <c r="AD392" s="26">
        <f t="shared" si="157"/>
        <v>0</v>
      </c>
      <c r="AE392" s="27">
        <f t="shared" si="158"/>
        <v>0</v>
      </c>
      <c r="AF392" s="26">
        <f t="shared" si="159"/>
        <v>0</v>
      </c>
      <c r="AG392" s="27">
        <f t="shared" si="160"/>
        <v>0</v>
      </c>
      <c r="AH392" s="26">
        <f t="shared" si="161"/>
        <v>0</v>
      </c>
      <c r="AI392" s="27">
        <f t="shared" si="162"/>
        <v>0</v>
      </c>
      <c r="AJ392" s="28" t="s">
        <v>169</v>
      </c>
    </row>
    <row r="393" spans="1:37" ht="14.25" customHeight="1">
      <c r="A393" s="51" t="s">
        <v>170</v>
      </c>
      <c r="B393" s="35">
        <v>1</v>
      </c>
      <c r="C393" s="17" t="s">
        <v>40</v>
      </c>
      <c r="D393" s="15" t="s">
        <v>41</v>
      </c>
      <c r="E393" s="38" t="s">
        <v>42</v>
      </c>
      <c r="G393" s="52"/>
      <c r="H393" s="19"/>
      <c r="I393" s="38" t="s">
        <v>42</v>
      </c>
      <c r="J393" s="32"/>
      <c r="K393" s="32"/>
      <c r="L393" s="37">
        <v>27.3</v>
      </c>
      <c r="M393" s="32" t="s">
        <v>168</v>
      </c>
      <c r="O393" s="53"/>
      <c r="V393" s="17">
        <f>L393</f>
        <v>27.3</v>
      </c>
      <c r="W393" s="21">
        <v>5</v>
      </c>
      <c r="X393" s="21">
        <f>20+$V$265-4</f>
        <v>90.850000000000009</v>
      </c>
      <c r="Y393" s="21">
        <f>24+$V$265-4</f>
        <v>94.850000000000009</v>
      </c>
      <c r="Z393" s="21">
        <f>28+$V$265-4</f>
        <v>98.850000000000009</v>
      </c>
      <c r="AA393" s="21">
        <f>39+$V$265-4</f>
        <v>109.85000000000001</v>
      </c>
      <c r="AB393" s="26">
        <f t="shared" si="155"/>
        <v>22.565000000000001</v>
      </c>
      <c r="AC393" s="27">
        <f t="shared" si="156"/>
        <v>40.985000000000007</v>
      </c>
      <c r="AD393" s="26">
        <f t="shared" si="157"/>
        <v>23.765000000000004</v>
      </c>
      <c r="AE393" s="27">
        <f t="shared" si="158"/>
        <v>43.785000000000004</v>
      </c>
      <c r="AF393" s="26">
        <f t="shared" si="159"/>
        <v>24.965000000000003</v>
      </c>
      <c r="AG393" s="27">
        <f t="shared" si="160"/>
        <v>46.585000000000008</v>
      </c>
      <c r="AH393" s="26">
        <f t="shared" si="161"/>
        <v>28.265000000000004</v>
      </c>
      <c r="AI393" s="27">
        <f t="shared" si="162"/>
        <v>54.285000000000004</v>
      </c>
      <c r="AJ393" s="28" t="s">
        <v>169</v>
      </c>
    </row>
    <row r="394" spans="1:37" ht="14.25" customHeight="1">
      <c r="A394" s="15"/>
      <c r="E394" s="18"/>
      <c r="G394" s="66"/>
      <c r="H394" s="66"/>
      <c r="I394" s="30"/>
      <c r="O394" s="53"/>
      <c r="AJ394" s="28"/>
    </row>
    <row r="395" spans="1:37" ht="14.25" customHeight="1">
      <c r="A395" s="15"/>
      <c r="E395" s="18"/>
      <c r="G395" s="66"/>
      <c r="H395" s="66"/>
      <c r="I395" s="30"/>
      <c r="O395" s="53"/>
      <c r="AJ395" s="28"/>
    </row>
    <row r="396" spans="1:37" ht="14.25" customHeight="1">
      <c r="A396" s="15"/>
      <c r="E396" s="18"/>
      <c r="G396" s="66"/>
      <c r="H396" s="66"/>
      <c r="I396" s="30"/>
      <c r="O396" s="53"/>
      <c r="AJ396" s="28"/>
    </row>
    <row r="397" spans="1:37" ht="14.25" customHeight="1">
      <c r="A397" s="15"/>
      <c r="E397" s="18"/>
      <c r="G397" s="66"/>
      <c r="H397" s="66"/>
      <c r="I397" s="30"/>
      <c r="O397" s="53"/>
      <c r="AJ397" s="28"/>
    </row>
    <row r="398" spans="1:37" ht="14.25" customHeight="1">
      <c r="A398" s="15"/>
      <c r="E398" s="18"/>
      <c r="G398" s="66"/>
      <c r="H398" s="66"/>
      <c r="I398" s="30"/>
      <c r="O398" s="53"/>
    </row>
    <row r="399" spans="1:37" ht="14.25" customHeight="1">
      <c r="A399" s="15"/>
      <c r="E399" s="18"/>
      <c r="G399" s="66"/>
      <c r="H399" s="66"/>
      <c r="I399" s="30"/>
      <c r="O399" s="53"/>
    </row>
    <row r="400" spans="1:37" ht="14.25" customHeight="1">
      <c r="A400" s="15"/>
      <c r="E400" s="18"/>
      <c r="G400" s="66"/>
      <c r="H400" s="66"/>
      <c r="I400" s="30"/>
      <c r="O400" s="53"/>
    </row>
    <row r="401" spans="1:15" ht="14.25" customHeight="1">
      <c r="A401" s="15"/>
      <c r="E401" s="18"/>
      <c r="G401" s="66"/>
      <c r="H401" s="66"/>
      <c r="I401" s="30"/>
      <c r="O401" s="53"/>
    </row>
    <row r="402" spans="1:15" ht="14.25" customHeight="1">
      <c r="A402" s="15"/>
      <c r="E402" s="18"/>
      <c r="G402" s="66"/>
      <c r="H402" s="66"/>
      <c r="I402" s="30"/>
      <c r="O402" s="53"/>
    </row>
    <row r="403" spans="1:15" ht="14.25" customHeight="1">
      <c r="A403" s="15"/>
      <c r="E403" s="18"/>
      <c r="G403" s="66"/>
      <c r="H403" s="66"/>
      <c r="I403" s="30"/>
      <c r="O403" s="53"/>
    </row>
    <row r="404" spans="1:15" ht="14.25" customHeight="1">
      <c r="A404" s="15"/>
      <c r="E404" s="18"/>
      <c r="G404" s="66"/>
      <c r="H404" s="66"/>
      <c r="I404" s="30"/>
      <c r="O404" s="53"/>
    </row>
    <row r="405" spans="1:15" ht="14.25" customHeight="1">
      <c r="A405" s="15"/>
      <c r="E405" s="18"/>
      <c r="G405" s="66"/>
      <c r="H405" s="66"/>
      <c r="I405" s="30"/>
      <c r="O405" s="53"/>
    </row>
    <row r="406" spans="1:15" ht="14.25" customHeight="1">
      <c r="A406" s="15"/>
      <c r="E406" s="18"/>
      <c r="G406" s="66"/>
      <c r="H406" s="66"/>
      <c r="I406" s="30"/>
      <c r="O406" s="53"/>
    </row>
    <row r="407" spans="1:15" ht="14.25" customHeight="1">
      <c r="A407" s="15"/>
      <c r="E407" s="18"/>
      <c r="G407" s="66"/>
      <c r="H407" s="66"/>
      <c r="I407" s="30"/>
      <c r="O407" s="53"/>
    </row>
    <row r="408" spans="1:15" ht="14.25" customHeight="1">
      <c r="A408" s="15"/>
      <c r="E408" s="18"/>
      <c r="G408" s="66"/>
      <c r="H408" s="66"/>
      <c r="I408" s="30"/>
      <c r="O408" s="53"/>
    </row>
    <row r="409" spans="1:15" ht="14.25" customHeight="1">
      <c r="A409" s="15"/>
      <c r="E409" s="18"/>
      <c r="G409" s="66"/>
      <c r="H409" s="66"/>
      <c r="I409" s="30"/>
      <c r="O409" s="53"/>
    </row>
    <row r="410" spans="1:15" ht="14.25" customHeight="1">
      <c r="A410" s="15"/>
      <c r="E410" s="18"/>
      <c r="G410" s="66"/>
      <c r="H410" s="66"/>
      <c r="I410" s="30"/>
      <c r="O410" s="53"/>
    </row>
    <row r="411" spans="1:15" ht="14.25" customHeight="1">
      <c r="A411" s="15"/>
      <c r="E411" s="18"/>
      <c r="G411" s="66"/>
      <c r="H411" s="66"/>
      <c r="I411" s="30"/>
      <c r="O411" s="53"/>
    </row>
    <row r="412" spans="1:15" ht="14.25" customHeight="1">
      <c r="A412" s="15"/>
      <c r="E412" s="18"/>
      <c r="G412" s="66"/>
      <c r="H412" s="66"/>
      <c r="I412" s="30"/>
      <c r="O412" s="53"/>
    </row>
    <row r="413" spans="1:15" ht="14.25" customHeight="1">
      <c r="A413" s="15"/>
      <c r="E413" s="18"/>
      <c r="G413" s="66"/>
      <c r="H413" s="66"/>
      <c r="I413" s="30"/>
      <c r="O413" s="53"/>
    </row>
    <row r="414" spans="1:15" ht="14.25" customHeight="1">
      <c r="A414" s="15"/>
      <c r="E414" s="18"/>
      <c r="G414" s="66"/>
      <c r="H414" s="66"/>
      <c r="I414" s="30"/>
      <c r="O414" s="53"/>
    </row>
    <row r="415" spans="1:15" ht="14.25" customHeight="1">
      <c r="A415" s="15"/>
      <c r="E415" s="18"/>
      <c r="G415" s="66"/>
      <c r="H415" s="66"/>
      <c r="I415" s="30"/>
      <c r="O415" s="53"/>
    </row>
    <row r="416" spans="1:15" ht="14.25" customHeight="1">
      <c r="A416" s="15"/>
      <c r="E416" s="18"/>
      <c r="G416" s="66"/>
      <c r="H416" s="66"/>
      <c r="I416" s="30"/>
      <c r="O416" s="53"/>
    </row>
    <row r="417" spans="1:15" ht="14.25" customHeight="1">
      <c r="A417" s="15"/>
      <c r="E417" s="18"/>
      <c r="G417" s="66"/>
      <c r="H417" s="66"/>
      <c r="I417" s="30"/>
      <c r="O417" s="53"/>
    </row>
    <row r="418" spans="1:15" ht="14.25" customHeight="1">
      <c r="A418" s="15"/>
      <c r="E418" s="18"/>
      <c r="G418" s="66"/>
      <c r="H418" s="66"/>
      <c r="I418" s="30"/>
      <c r="O418" s="53"/>
    </row>
    <row r="419" spans="1:15" ht="14.25" customHeight="1">
      <c r="A419" s="15"/>
      <c r="E419" s="18"/>
      <c r="G419" s="66"/>
      <c r="H419" s="66"/>
      <c r="I419" s="30"/>
      <c r="O419" s="53"/>
    </row>
    <row r="420" spans="1:15" ht="14.25" customHeight="1">
      <c r="A420" s="15"/>
      <c r="E420" s="18"/>
      <c r="G420" s="66"/>
      <c r="H420" s="66"/>
      <c r="I420" s="30"/>
      <c r="O420" s="53"/>
    </row>
    <row r="421" spans="1:15" ht="14.25" customHeight="1">
      <c r="A421" s="15"/>
      <c r="E421" s="18"/>
      <c r="G421" s="66"/>
      <c r="H421" s="66"/>
      <c r="I421" s="30"/>
      <c r="O421" s="53"/>
    </row>
    <row r="422" spans="1:15" ht="14.25" customHeight="1">
      <c r="A422" s="15"/>
      <c r="E422" s="18"/>
      <c r="G422" s="66"/>
      <c r="H422" s="66"/>
      <c r="I422" s="30"/>
      <c r="O422" s="53"/>
    </row>
    <row r="423" spans="1:15" ht="14.25" customHeight="1">
      <c r="A423" s="15"/>
      <c r="E423" s="18"/>
      <c r="G423" s="66"/>
      <c r="H423" s="66"/>
      <c r="I423" s="30"/>
      <c r="O423" s="53"/>
    </row>
    <row r="424" spans="1:15" ht="14.25" customHeight="1">
      <c r="A424" s="15"/>
      <c r="E424" s="18"/>
      <c r="G424" s="66"/>
      <c r="H424" s="66"/>
      <c r="I424" s="30"/>
      <c r="O424" s="53"/>
    </row>
    <row r="425" spans="1:15" ht="14.25" customHeight="1">
      <c r="A425" s="15"/>
      <c r="E425" s="18"/>
      <c r="G425" s="66"/>
      <c r="H425" s="66"/>
      <c r="I425" s="30"/>
      <c r="O425" s="53"/>
    </row>
    <row r="426" spans="1:15" ht="14.25" customHeight="1">
      <c r="A426" s="15"/>
      <c r="E426" s="18"/>
      <c r="G426" s="66"/>
      <c r="H426" s="66"/>
      <c r="I426" s="30"/>
      <c r="O426" s="53"/>
    </row>
    <row r="427" spans="1:15" ht="14.25" customHeight="1">
      <c r="A427" s="15"/>
      <c r="E427" s="18"/>
      <c r="G427" s="66"/>
      <c r="H427" s="66"/>
      <c r="I427" s="30"/>
      <c r="O427" s="53"/>
    </row>
    <row r="428" spans="1:15" ht="14.25" customHeight="1">
      <c r="A428" s="15"/>
      <c r="E428" s="18"/>
      <c r="G428" s="66"/>
      <c r="H428" s="66"/>
      <c r="I428" s="30"/>
      <c r="O428" s="53"/>
    </row>
    <row r="429" spans="1:15" ht="14.25" customHeight="1">
      <c r="A429" s="15"/>
      <c r="E429" s="18"/>
      <c r="G429" s="66"/>
      <c r="H429" s="66"/>
      <c r="I429" s="30"/>
      <c r="O429" s="53"/>
    </row>
    <row r="430" spans="1:15" ht="14.25" customHeight="1">
      <c r="A430" s="15"/>
      <c r="E430" s="18"/>
      <c r="G430" s="66"/>
      <c r="H430" s="66"/>
      <c r="I430" s="30"/>
      <c r="O430" s="53"/>
    </row>
    <row r="431" spans="1:15" ht="14.25" customHeight="1">
      <c r="A431" s="15"/>
      <c r="E431" s="18"/>
      <c r="G431" s="66"/>
      <c r="H431" s="66"/>
      <c r="I431" s="30"/>
      <c r="O431" s="53"/>
    </row>
    <row r="432" spans="1:15" ht="14.25" customHeight="1">
      <c r="A432" s="15"/>
      <c r="E432" s="18"/>
      <c r="G432" s="66"/>
      <c r="H432" s="66"/>
      <c r="I432" s="30"/>
      <c r="O432" s="53"/>
    </row>
    <row r="433" spans="1:15" ht="14.25" customHeight="1">
      <c r="A433" s="15"/>
      <c r="E433" s="18"/>
      <c r="G433" s="66"/>
      <c r="H433" s="66"/>
      <c r="I433" s="30"/>
      <c r="O433" s="53"/>
    </row>
    <row r="434" spans="1:15" ht="14.25" customHeight="1">
      <c r="A434" s="15"/>
      <c r="E434" s="18"/>
      <c r="G434" s="66"/>
      <c r="H434" s="66"/>
      <c r="I434" s="30"/>
      <c r="O434" s="53"/>
    </row>
    <row r="435" spans="1:15" ht="14.25" customHeight="1">
      <c r="A435" s="15"/>
      <c r="E435" s="18"/>
      <c r="G435" s="66"/>
      <c r="H435" s="66"/>
      <c r="I435" s="30"/>
      <c r="O435" s="53"/>
    </row>
    <row r="436" spans="1:15" ht="14.25" customHeight="1">
      <c r="A436" s="15"/>
      <c r="E436" s="18"/>
      <c r="G436" s="66"/>
      <c r="H436" s="66"/>
      <c r="I436" s="30"/>
      <c r="O436" s="53"/>
    </row>
    <row r="437" spans="1:15" ht="14.25" customHeight="1">
      <c r="A437" s="15"/>
      <c r="E437" s="18"/>
      <c r="G437" s="66"/>
      <c r="H437" s="66"/>
      <c r="I437" s="30"/>
      <c r="O437" s="53"/>
    </row>
    <row r="438" spans="1:15" ht="14.25" customHeight="1">
      <c r="A438" s="15"/>
      <c r="E438" s="18"/>
      <c r="G438" s="66"/>
      <c r="H438" s="66"/>
      <c r="I438" s="30"/>
      <c r="O438" s="53"/>
    </row>
    <row r="439" spans="1:15" ht="14.25" customHeight="1">
      <c r="A439" s="15"/>
      <c r="E439" s="18"/>
      <c r="G439" s="66"/>
      <c r="H439" s="66"/>
      <c r="I439" s="30"/>
      <c r="O439" s="53"/>
    </row>
    <row r="440" spans="1:15" ht="14.25" customHeight="1">
      <c r="A440" s="15"/>
      <c r="E440" s="18"/>
      <c r="G440" s="66"/>
      <c r="H440" s="66"/>
      <c r="I440" s="30"/>
      <c r="O440" s="53"/>
    </row>
    <row r="441" spans="1:15" ht="14.25" customHeight="1">
      <c r="A441" s="15"/>
      <c r="E441" s="18"/>
      <c r="G441" s="66"/>
      <c r="H441" s="66"/>
      <c r="I441" s="30"/>
      <c r="O441" s="53"/>
    </row>
    <row r="442" spans="1:15" ht="14.25" customHeight="1">
      <c r="A442" s="15"/>
      <c r="E442" s="18"/>
      <c r="G442" s="66"/>
      <c r="H442" s="66"/>
      <c r="I442" s="30"/>
      <c r="O442" s="53"/>
    </row>
    <row r="443" spans="1:15" ht="14.25" customHeight="1">
      <c r="A443" s="15"/>
      <c r="E443" s="18"/>
      <c r="G443" s="66"/>
      <c r="H443" s="66"/>
      <c r="I443" s="30"/>
      <c r="O443" s="53"/>
    </row>
    <row r="444" spans="1:15" ht="14.25" customHeight="1">
      <c r="A444" s="15"/>
      <c r="E444" s="18"/>
      <c r="G444" s="66"/>
      <c r="H444" s="66"/>
      <c r="I444" s="30"/>
      <c r="O444" s="53"/>
    </row>
    <row r="445" spans="1:15" ht="14.25" customHeight="1">
      <c r="A445" s="15"/>
      <c r="E445" s="18"/>
      <c r="G445" s="66"/>
      <c r="H445" s="66"/>
      <c r="I445" s="30"/>
      <c r="O445" s="53"/>
    </row>
    <row r="446" spans="1:15" ht="14.25" customHeight="1">
      <c r="A446" s="15"/>
      <c r="E446" s="18"/>
      <c r="G446" s="66"/>
      <c r="H446" s="66"/>
      <c r="I446" s="30"/>
      <c r="O446" s="53"/>
    </row>
    <row r="447" spans="1:15" ht="14.25" customHeight="1">
      <c r="A447" s="15"/>
      <c r="E447" s="18"/>
      <c r="G447" s="66"/>
      <c r="H447" s="66"/>
      <c r="I447" s="30"/>
      <c r="O447" s="53"/>
    </row>
    <row r="448" spans="1:15" ht="14.25" customHeight="1">
      <c r="A448" s="15"/>
      <c r="E448" s="18"/>
      <c r="G448" s="66"/>
      <c r="H448" s="66"/>
      <c r="I448" s="30"/>
      <c r="O448" s="53"/>
    </row>
    <row r="449" spans="1:15" ht="14.25" customHeight="1">
      <c r="A449" s="15"/>
      <c r="E449" s="18"/>
      <c r="G449" s="66"/>
      <c r="H449" s="66"/>
      <c r="I449" s="30"/>
      <c r="O449" s="53"/>
    </row>
    <row r="450" spans="1:15" ht="14.25" customHeight="1">
      <c r="A450" s="15"/>
      <c r="E450" s="18"/>
      <c r="G450" s="66"/>
      <c r="H450" s="66"/>
      <c r="I450" s="30"/>
      <c r="O450" s="53"/>
    </row>
    <row r="451" spans="1:15" ht="14.25" customHeight="1">
      <c r="A451" s="15"/>
      <c r="E451" s="18"/>
      <c r="G451" s="66"/>
      <c r="H451" s="66"/>
      <c r="I451" s="30"/>
      <c r="O451" s="53"/>
    </row>
    <row r="452" spans="1:15" ht="14.25" customHeight="1">
      <c r="A452" s="15"/>
      <c r="E452" s="18"/>
      <c r="G452" s="66"/>
      <c r="H452" s="66"/>
      <c r="I452" s="30"/>
      <c r="O452" s="53"/>
    </row>
    <row r="453" spans="1:15" ht="14.25" customHeight="1">
      <c r="A453" s="15"/>
      <c r="E453" s="18"/>
      <c r="G453" s="66"/>
      <c r="H453" s="66"/>
      <c r="I453" s="30"/>
      <c r="O453" s="53"/>
    </row>
    <row r="454" spans="1:15" ht="14.25" customHeight="1">
      <c r="A454" s="15"/>
      <c r="E454" s="18"/>
      <c r="G454" s="66"/>
      <c r="H454" s="66"/>
      <c r="I454" s="30"/>
      <c r="O454" s="53"/>
    </row>
    <row r="455" spans="1:15" ht="14.25" customHeight="1">
      <c r="A455" s="15"/>
      <c r="E455" s="18"/>
      <c r="G455" s="66"/>
      <c r="H455" s="66"/>
      <c r="I455" s="30"/>
      <c r="O455" s="53"/>
    </row>
    <row r="456" spans="1:15" ht="14.25" customHeight="1">
      <c r="A456" s="15"/>
      <c r="E456" s="18"/>
      <c r="G456" s="66"/>
      <c r="H456" s="66"/>
      <c r="I456" s="30"/>
      <c r="O456" s="53"/>
    </row>
    <row r="457" spans="1:15" ht="14.25" customHeight="1">
      <c r="A457" s="15"/>
      <c r="E457" s="18"/>
      <c r="G457" s="66"/>
      <c r="H457" s="66"/>
      <c r="I457" s="30"/>
      <c r="O457" s="53"/>
    </row>
    <row r="458" spans="1:15" ht="14.25" customHeight="1">
      <c r="A458" s="15"/>
      <c r="E458" s="18"/>
      <c r="G458" s="66"/>
      <c r="H458" s="66"/>
      <c r="I458" s="30"/>
      <c r="O458" s="53"/>
    </row>
    <row r="459" spans="1:15" ht="14.25" customHeight="1">
      <c r="A459" s="15"/>
      <c r="E459" s="18"/>
      <c r="G459" s="66"/>
      <c r="H459" s="66"/>
      <c r="I459" s="30"/>
      <c r="O459" s="53"/>
    </row>
    <row r="460" spans="1:15" ht="14.25" customHeight="1">
      <c r="A460" s="15"/>
      <c r="E460" s="18"/>
      <c r="G460" s="66"/>
      <c r="H460" s="66"/>
      <c r="I460" s="30"/>
      <c r="O460" s="53"/>
    </row>
    <row r="461" spans="1:15" ht="14.25" customHeight="1">
      <c r="A461" s="15"/>
      <c r="E461" s="18"/>
      <c r="G461" s="66"/>
      <c r="H461" s="66"/>
      <c r="I461" s="30"/>
      <c r="O461" s="53"/>
    </row>
    <row r="462" spans="1:15" ht="14.25" customHeight="1">
      <c r="A462" s="15"/>
      <c r="E462" s="18"/>
      <c r="G462" s="66"/>
      <c r="H462" s="66"/>
      <c r="I462" s="30"/>
      <c r="O462" s="53"/>
    </row>
    <row r="463" spans="1:15" ht="14.25" customHeight="1">
      <c r="A463" s="15"/>
      <c r="E463" s="18"/>
      <c r="G463" s="66"/>
      <c r="H463" s="66"/>
      <c r="I463" s="30"/>
      <c r="O463" s="53"/>
    </row>
    <row r="464" spans="1:15" ht="14.25" customHeight="1">
      <c r="A464" s="15"/>
      <c r="E464" s="18"/>
      <c r="G464" s="66"/>
      <c r="H464" s="66"/>
      <c r="I464" s="30"/>
      <c r="O464" s="53"/>
    </row>
    <row r="465" spans="1:15" ht="14.25" customHeight="1">
      <c r="A465" s="15"/>
      <c r="E465" s="18"/>
      <c r="G465" s="66"/>
      <c r="H465" s="66"/>
      <c r="I465" s="30"/>
      <c r="O465" s="53"/>
    </row>
    <row r="466" spans="1:15" ht="14.25" customHeight="1">
      <c r="A466" s="15"/>
      <c r="E466" s="18"/>
      <c r="G466" s="66"/>
      <c r="H466" s="66"/>
      <c r="I466" s="30"/>
      <c r="O466" s="53"/>
    </row>
    <row r="467" spans="1:15" ht="14.25" customHeight="1">
      <c r="A467" s="15"/>
      <c r="E467" s="18"/>
      <c r="G467" s="66"/>
      <c r="H467" s="66"/>
      <c r="I467" s="30"/>
      <c r="O467" s="53"/>
    </row>
    <row r="468" spans="1:15" ht="14.25" customHeight="1">
      <c r="A468" s="15"/>
      <c r="E468" s="18"/>
      <c r="G468" s="66"/>
      <c r="H468" s="66"/>
      <c r="I468" s="30"/>
      <c r="O468" s="53"/>
    </row>
    <row r="469" spans="1:15" ht="14.25" customHeight="1">
      <c r="A469" s="15"/>
      <c r="E469" s="18"/>
      <c r="G469" s="66"/>
      <c r="H469" s="66"/>
      <c r="I469" s="30"/>
      <c r="O469" s="53"/>
    </row>
    <row r="470" spans="1:15" ht="14.25" customHeight="1">
      <c r="A470" s="15"/>
      <c r="E470" s="18"/>
      <c r="G470" s="66"/>
      <c r="H470" s="66"/>
      <c r="I470" s="30"/>
      <c r="O470" s="53"/>
    </row>
    <row r="471" spans="1:15" ht="14.25" customHeight="1">
      <c r="A471" s="15"/>
      <c r="E471" s="18"/>
      <c r="G471" s="66"/>
      <c r="H471" s="66"/>
      <c r="I471" s="30"/>
      <c r="O471" s="53"/>
    </row>
    <row r="472" spans="1:15" ht="14.25" customHeight="1">
      <c r="A472" s="15"/>
      <c r="E472" s="18"/>
      <c r="G472" s="66"/>
      <c r="H472" s="66"/>
      <c r="I472" s="30"/>
      <c r="O472" s="53"/>
    </row>
    <row r="473" spans="1:15" ht="14.25" customHeight="1">
      <c r="A473" s="15"/>
      <c r="E473" s="18"/>
      <c r="G473" s="66"/>
      <c r="H473" s="66"/>
      <c r="I473" s="30"/>
      <c r="O473" s="53"/>
    </row>
    <row r="474" spans="1:15" ht="14.25" customHeight="1">
      <c r="A474" s="15"/>
      <c r="E474" s="18"/>
      <c r="G474" s="66"/>
      <c r="H474" s="66"/>
      <c r="I474" s="30"/>
      <c r="O474" s="53"/>
    </row>
    <row r="475" spans="1:15" ht="14.25" customHeight="1">
      <c r="A475" s="15"/>
      <c r="E475" s="18"/>
      <c r="G475" s="66"/>
      <c r="H475" s="66"/>
      <c r="I475" s="30"/>
      <c r="O475" s="53"/>
    </row>
    <row r="476" spans="1:15" ht="14.25" customHeight="1">
      <c r="A476" s="15"/>
      <c r="E476" s="18"/>
      <c r="G476" s="66"/>
      <c r="H476" s="66"/>
      <c r="I476" s="30"/>
      <c r="O476" s="53"/>
    </row>
    <row r="477" spans="1:15" ht="14.25" customHeight="1">
      <c r="A477" s="15"/>
      <c r="E477" s="18"/>
      <c r="G477" s="66"/>
      <c r="H477" s="66"/>
      <c r="I477" s="30"/>
      <c r="O477" s="53"/>
    </row>
    <row r="478" spans="1:15" ht="14.25" customHeight="1">
      <c r="A478" s="15"/>
      <c r="E478" s="18"/>
      <c r="G478" s="66"/>
      <c r="H478" s="66"/>
      <c r="I478" s="30"/>
      <c r="O478" s="53"/>
    </row>
    <row r="479" spans="1:15" ht="14.25" customHeight="1">
      <c r="A479" s="15"/>
      <c r="E479" s="18"/>
      <c r="G479" s="66"/>
      <c r="H479" s="66"/>
      <c r="I479" s="30"/>
      <c r="O479" s="53"/>
    </row>
    <row r="480" spans="1:15" ht="14.25" customHeight="1">
      <c r="A480" s="15"/>
      <c r="E480" s="18"/>
      <c r="G480" s="66"/>
      <c r="H480" s="66"/>
      <c r="I480" s="30"/>
      <c r="O480" s="53"/>
    </row>
    <row r="481" spans="1:15" ht="14.25" customHeight="1">
      <c r="A481" s="15"/>
      <c r="E481" s="18"/>
      <c r="G481" s="66"/>
      <c r="H481" s="66"/>
      <c r="I481" s="30"/>
      <c r="O481" s="53"/>
    </row>
    <row r="482" spans="1:15" ht="14.25" customHeight="1">
      <c r="A482" s="15"/>
      <c r="E482" s="18"/>
      <c r="G482" s="66"/>
      <c r="H482" s="66"/>
      <c r="I482" s="30"/>
      <c r="O482" s="53"/>
    </row>
    <row r="483" spans="1:15" ht="14.25" customHeight="1">
      <c r="A483" s="15"/>
      <c r="E483" s="18"/>
      <c r="G483" s="66"/>
      <c r="H483" s="66"/>
      <c r="I483" s="30"/>
      <c r="O483" s="53"/>
    </row>
    <row r="484" spans="1:15" ht="14.25" customHeight="1">
      <c r="A484" s="15"/>
      <c r="E484" s="18"/>
      <c r="G484" s="66"/>
      <c r="H484" s="66"/>
      <c r="I484" s="30"/>
      <c r="O484" s="53"/>
    </row>
    <row r="485" spans="1:15" ht="14.25" customHeight="1">
      <c r="A485" s="15"/>
      <c r="E485" s="18"/>
      <c r="G485" s="66"/>
      <c r="H485" s="66"/>
      <c r="I485" s="30"/>
      <c r="O485" s="53"/>
    </row>
    <row r="486" spans="1:15" ht="14.25" customHeight="1">
      <c r="A486" s="15"/>
      <c r="E486" s="18"/>
      <c r="G486" s="66"/>
      <c r="H486" s="66"/>
      <c r="I486" s="30"/>
      <c r="O486" s="53"/>
    </row>
    <row r="487" spans="1:15" ht="14.25" customHeight="1">
      <c r="A487" s="15"/>
      <c r="E487" s="18"/>
      <c r="G487" s="66"/>
      <c r="H487" s="66"/>
      <c r="I487" s="30"/>
      <c r="O487" s="53"/>
    </row>
    <row r="488" spans="1:15" ht="14.25" customHeight="1">
      <c r="A488" s="15"/>
      <c r="E488" s="18"/>
      <c r="G488" s="66"/>
      <c r="H488" s="66"/>
      <c r="I488" s="30"/>
      <c r="O488" s="53"/>
    </row>
    <row r="489" spans="1:15" ht="14.25" customHeight="1">
      <c r="A489" s="15"/>
      <c r="E489" s="18"/>
      <c r="G489" s="66"/>
      <c r="H489" s="66"/>
      <c r="I489" s="30"/>
      <c r="O489" s="53"/>
    </row>
    <row r="490" spans="1:15" ht="14.25" customHeight="1">
      <c r="A490" s="15"/>
      <c r="E490" s="18"/>
      <c r="G490" s="66"/>
      <c r="H490" s="66"/>
      <c r="I490" s="30"/>
      <c r="O490" s="53"/>
    </row>
    <row r="491" spans="1:15" ht="14.25" customHeight="1">
      <c r="A491" s="15"/>
      <c r="E491" s="18"/>
      <c r="G491" s="66"/>
      <c r="H491" s="66"/>
      <c r="I491" s="30"/>
      <c r="O491" s="53"/>
    </row>
    <row r="492" spans="1:15" ht="14.25" customHeight="1">
      <c r="A492" s="15"/>
      <c r="E492" s="18"/>
      <c r="G492" s="66"/>
      <c r="H492" s="66"/>
      <c r="I492" s="30"/>
      <c r="O492" s="53"/>
    </row>
    <row r="493" spans="1:15" ht="14.25" customHeight="1">
      <c r="A493" s="15"/>
      <c r="E493" s="18"/>
      <c r="G493" s="66"/>
      <c r="H493" s="66"/>
      <c r="I493" s="30"/>
      <c r="O493" s="53"/>
    </row>
    <row r="494" spans="1:15" ht="14.25" customHeight="1">
      <c r="A494" s="15"/>
      <c r="E494" s="18"/>
      <c r="G494" s="66"/>
      <c r="H494" s="66"/>
      <c r="I494" s="30"/>
      <c r="O494" s="53"/>
    </row>
    <row r="495" spans="1:15" ht="14.25" customHeight="1">
      <c r="A495" s="15"/>
      <c r="E495" s="18"/>
      <c r="G495" s="66"/>
      <c r="H495" s="66"/>
      <c r="I495" s="30"/>
      <c r="O495" s="53"/>
    </row>
    <row r="496" spans="1:15" ht="14.25" customHeight="1">
      <c r="A496" s="15"/>
      <c r="E496" s="18"/>
      <c r="G496" s="66"/>
      <c r="H496" s="66"/>
      <c r="I496" s="30"/>
      <c r="O496" s="53"/>
    </row>
    <row r="497" spans="1:15" ht="14.25" customHeight="1">
      <c r="A497" s="15"/>
      <c r="E497" s="18"/>
      <c r="G497" s="66"/>
      <c r="H497" s="66"/>
      <c r="I497" s="30"/>
      <c r="O497" s="53"/>
    </row>
    <row r="498" spans="1:15" ht="14.25" customHeight="1">
      <c r="A498" s="15"/>
      <c r="E498" s="18"/>
      <c r="G498" s="66"/>
      <c r="H498" s="66"/>
      <c r="I498" s="30"/>
      <c r="O498" s="53"/>
    </row>
    <row r="499" spans="1:15" ht="14.25" customHeight="1">
      <c r="A499" s="15"/>
      <c r="E499" s="18"/>
      <c r="G499" s="66"/>
      <c r="H499" s="66"/>
      <c r="I499" s="30"/>
      <c r="O499" s="53"/>
    </row>
    <row r="500" spans="1:15" ht="14.25" customHeight="1">
      <c r="A500" s="15"/>
      <c r="E500" s="18"/>
      <c r="G500" s="66"/>
      <c r="H500" s="66"/>
      <c r="I500" s="30"/>
      <c r="O500" s="53"/>
    </row>
    <row r="501" spans="1:15" ht="14.25" customHeight="1">
      <c r="A501" s="15"/>
      <c r="E501" s="18"/>
      <c r="G501" s="66"/>
      <c r="H501" s="66"/>
      <c r="I501" s="30"/>
      <c r="O501" s="53"/>
    </row>
    <row r="502" spans="1:15" ht="14.25" customHeight="1">
      <c r="A502" s="15"/>
      <c r="E502" s="18"/>
      <c r="G502" s="66"/>
      <c r="H502" s="66"/>
      <c r="I502" s="30"/>
      <c r="O502" s="53"/>
    </row>
    <row r="503" spans="1:15" ht="14.25" customHeight="1">
      <c r="A503" s="15"/>
      <c r="E503" s="18"/>
      <c r="G503" s="66"/>
      <c r="H503" s="66"/>
      <c r="I503" s="30"/>
      <c r="O503" s="53"/>
    </row>
    <row r="504" spans="1:15" ht="14.25" customHeight="1">
      <c r="A504" s="15"/>
      <c r="E504" s="18"/>
      <c r="G504" s="66"/>
      <c r="H504" s="66"/>
      <c r="I504" s="30"/>
      <c r="O504" s="53"/>
    </row>
    <row r="505" spans="1:15" ht="14.25" customHeight="1">
      <c r="A505" s="15"/>
      <c r="E505" s="18"/>
      <c r="G505" s="66"/>
      <c r="H505" s="66"/>
      <c r="I505" s="30"/>
      <c r="O505" s="53"/>
    </row>
    <row r="506" spans="1:15" ht="14.25" customHeight="1">
      <c r="A506" s="15"/>
      <c r="E506" s="18"/>
      <c r="G506" s="66"/>
      <c r="H506" s="66"/>
      <c r="I506" s="30"/>
      <c r="O506" s="53"/>
    </row>
    <row r="507" spans="1:15" ht="14.25" customHeight="1">
      <c r="A507" s="15"/>
      <c r="E507" s="18"/>
      <c r="G507" s="66"/>
      <c r="H507" s="66"/>
      <c r="I507" s="30"/>
      <c r="O507" s="53"/>
    </row>
    <row r="508" spans="1:15" ht="14.25" customHeight="1">
      <c r="A508" s="15"/>
      <c r="E508" s="18"/>
      <c r="G508" s="66"/>
      <c r="H508" s="66"/>
      <c r="I508" s="30"/>
      <c r="O508" s="53"/>
    </row>
    <row r="509" spans="1:15" ht="14.25" customHeight="1">
      <c r="A509" s="15"/>
      <c r="E509" s="18"/>
      <c r="G509" s="66"/>
      <c r="H509" s="66"/>
      <c r="I509" s="30"/>
      <c r="O509" s="53"/>
    </row>
    <row r="510" spans="1:15" ht="14.25" customHeight="1">
      <c r="A510" s="15"/>
      <c r="E510" s="18"/>
      <c r="G510" s="66"/>
      <c r="H510" s="66"/>
      <c r="I510" s="30"/>
      <c r="O510" s="53"/>
    </row>
    <row r="511" spans="1:15" ht="14.25" customHeight="1">
      <c r="A511" s="15"/>
      <c r="E511" s="18"/>
      <c r="G511" s="66"/>
      <c r="H511" s="66"/>
      <c r="I511" s="30"/>
      <c r="O511" s="53"/>
    </row>
    <row r="512" spans="1:15" ht="14.25" customHeight="1">
      <c r="A512" s="15"/>
      <c r="E512" s="18"/>
      <c r="G512" s="66"/>
      <c r="H512" s="66"/>
      <c r="I512" s="30"/>
      <c r="O512" s="53"/>
    </row>
    <row r="513" spans="1:15" ht="14.25" customHeight="1">
      <c r="A513" s="15"/>
      <c r="E513" s="18"/>
      <c r="G513" s="66"/>
      <c r="H513" s="66"/>
      <c r="I513" s="30"/>
      <c r="O513" s="53"/>
    </row>
    <row r="514" spans="1:15" ht="14.25" customHeight="1">
      <c r="A514" s="15"/>
      <c r="E514" s="18"/>
      <c r="G514" s="66"/>
      <c r="H514" s="66"/>
      <c r="I514" s="30"/>
      <c r="O514" s="53"/>
    </row>
    <row r="515" spans="1:15" ht="14.25" customHeight="1">
      <c r="A515" s="15"/>
      <c r="E515" s="18"/>
      <c r="G515" s="66"/>
      <c r="H515" s="66"/>
      <c r="I515" s="30"/>
      <c r="O515" s="53"/>
    </row>
    <row r="516" spans="1:15" ht="14.25" customHeight="1">
      <c r="A516" s="15"/>
      <c r="E516" s="18"/>
      <c r="G516" s="66"/>
      <c r="H516" s="66"/>
      <c r="I516" s="30"/>
      <c r="O516" s="53"/>
    </row>
    <row r="517" spans="1:15" ht="14.25" customHeight="1">
      <c r="A517" s="15"/>
      <c r="E517" s="18"/>
      <c r="G517" s="66"/>
      <c r="H517" s="66"/>
      <c r="I517" s="30"/>
      <c r="O517" s="53"/>
    </row>
    <row r="518" spans="1:15" ht="14.25" customHeight="1">
      <c r="A518" s="15"/>
      <c r="E518" s="18"/>
      <c r="G518" s="66"/>
      <c r="H518" s="66"/>
      <c r="I518" s="30"/>
      <c r="O518" s="53"/>
    </row>
    <row r="519" spans="1:15" ht="14.25" customHeight="1">
      <c r="A519" s="15"/>
      <c r="E519" s="18"/>
      <c r="G519" s="66"/>
      <c r="H519" s="66"/>
      <c r="I519" s="30"/>
      <c r="O519" s="53"/>
    </row>
    <row r="520" spans="1:15" ht="14.25" customHeight="1">
      <c r="A520" s="15"/>
      <c r="E520" s="18"/>
      <c r="G520" s="66"/>
      <c r="H520" s="66"/>
      <c r="I520" s="30"/>
      <c r="O520" s="53"/>
    </row>
    <row r="521" spans="1:15" ht="14.25" customHeight="1">
      <c r="A521" s="15"/>
      <c r="E521" s="18"/>
      <c r="G521" s="66"/>
      <c r="H521" s="66"/>
      <c r="I521" s="30"/>
      <c r="O521" s="53"/>
    </row>
    <row r="522" spans="1:15" ht="14.25" customHeight="1">
      <c r="A522" s="15"/>
      <c r="E522" s="18"/>
      <c r="G522" s="66"/>
      <c r="H522" s="66"/>
      <c r="I522" s="30"/>
      <c r="O522" s="53"/>
    </row>
    <row r="523" spans="1:15" ht="14.25" customHeight="1">
      <c r="A523" s="15"/>
      <c r="E523" s="18"/>
      <c r="G523" s="66"/>
      <c r="H523" s="66"/>
      <c r="I523" s="30"/>
      <c r="O523" s="53"/>
    </row>
    <row r="524" spans="1:15" ht="14.25" customHeight="1">
      <c r="A524" s="15"/>
      <c r="E524" s="18"/>
      <c r="G524" s="66"/>
      <c r="H524" s="66"/>
      <c r="I524" s="30"/>
      <c r="O524" s="53"/>
    </row>
    <row r="525" spans="1:15" ht="14.25" customHeight="1">
      <c r="A525" s="15"/>
      <c r="E525" s="18"/>
      <c r="G525" s="66"/>
      <c r="H525" s="66"/>
      <c r="I525" s="30"/>
      <c r="O525" s="53"/>
    </row>
    <row r="526" spans="1:15" ht="14.25" customHeight="1">
      <c r="A526" s="15"/>
      <c r="E526" s="18"/>
      <c r="G526" s="66"/>
      <c r="H526" s="66"/>
      <c r="I526" s="30"/>
      <c r="O526" s="53"/>
    </row>
    <row r="527" spans="1:15" ht="14.25" customHeight="1">
      <c r="A527" s="15"/>
      <c r="E527" s="18"/>
      <c r="G527" s="66"/>
      <c r="H527" s="66"/>
      <c r="I527" s="30"/>
      <c r="O527" s="53"/>
    </row>
    <row r="528" spans="1:15" ht="14.25" customHeight="1">
      <c r="A528" s="15"/>
      <c r="E528" s="18"/>
      <c r="G528" s="66"/>
      <c r="H528" s="66"/>
      <c r="I528" s="30"/>
      <c r="O528" s="53"/>
    </row>
    <row r="529" spans="1:15" ht="14.25" customHeight="1">
      <c r="A529" s="15"/>
      <c r="E529" s="18"/>
      <c r="G529" s="66"/>
      <c r="H529" s="66"/>
      <c r="I529" s="30"/>
      <c r="O529" s="53"/>
    </row>
    <row r="530" spans="1:15" ht="14.25" customHeight="1">
      <c r="A530" s="15"/>
      <c r="E530" s="18"/>
      <c r="G530" s="66"/>
      <c r="H530" s="66"/>
      <c r="I530" s="30"/>
      <c r="O530" s="53"/>
    </row>
    <row r="531" spans="1:15" ht="14.25" customHeight="1">
      <c r="A531" s="15"/>
      <c r="E531" s="18"/>
      <c r="G531" s="66"/>
      <c r="H531" s="66"/>
      <c r="I531" s="30"/>
      <c r="O531" s="53"/>
    </row>
    <row r="532" spans="1:15" ht="14.25" customHeight="1">
      <c r="A532" s="15"/>
      <c r="E532" s="18"/>
      <c r="G532" s="66"/>
      <c r="H532" s="66"/>
      <c r="I532" s="30"/>
      <c r="O532" s="53"/>
    </row>
    <row r="533" spans="1:15" ht="14.25" customHeight="1">
      <c r="A533" s="15"/>
      <c r="E533" s="18"/>
      <c r="G533" s="66"/>
      <c r="H533" s="66"/>
      <c r="I533" s="30"/>
      <c r="O533" s="53"/>
    </row>
    <row r="534" spans="1:15" ht="14.25" customHeight="1">
      <c r="A534" s="15"/>
      <c r="E534" s="18"/>
      <c r="G534" s="66"/>
      <c r="H534" s="66"/>
      <c r="I534" s="30"/>
      <c r="O534" s="53"/>
    </row>
    <row r="535" spans="1:15" ht="14.25" customHeight="1">
      <c r="A535" s="15"/>
      <c r="E535" s="18"/>
      <c r="G535" s="66"/>
      <c r="H535" s="66"/>
      <c r="I535" s="30"/>
      <c r="O535" s="53"/>
    </row>
    <row r="536" spans="1:15" ht="14.25" customHeight="1">
      <c r="A536" s="15"/>
      <c r="E536" s="18"/>
      <c r="G536" s="66"/>
      <c r="H536" s="66"/>
      <c r="I536" s="30"/>
      <c r="O536" s="53"/>
    </row>
    <row r="537" spans="1:15" ht="14.25" customHeight="1">
      <c r="A537" s="15"/>
      <c r="E537" s="18"/>
      <c r="G537" s="66"/>
      <c r="H537" s="66"/>
      <c r="I537" s="30"/>
      <c r="O537" s="53"/>
    </row>
    <row r="538" spans="1:15" ht="14.25" customHeight="1">
      <c r="A538" s="15"/>
      <c r="E538" s="18"/>
      <c r="G538" s="66"/>
      <c r="H538" s="66"/>
      <c r="I538" s="30"/>
      <c r="O538" s="53"/>
    </row>
    <row r="539" spans="1:15" ht="14.25" customHeight="1">
      <c r="A539" s="15"/>
      <c r="E539" s="18"/>
      <c r="G539" s="66"/>
      <c r="H539" s="66"/>
      <c r="I539" s="30"/>
      <c r="O539" s="53"/>
    </row>
    <row r="540" spans="1:15" ht="14.25" customHeight="1">
      <c r="A540" s="15"/>
      <c r="E540" s="18"/>
      <c r="G540" s="66"/>
      <c r="H540" s="66"/>
      <c r="I540" s="30"/>
      <c r="O540" s="53"/>
    </row>
    <row r="541" spans="1:15" ht="14.25" customHeight="1">
      <c r="A541" s="15"/>
      <c r="E541" s="18"/>
      <c r="G541" s="66"/>
      <c r="H541" s="66"/>
      <c r="I541" s="30"/>
      <c r="O541" s="53"/>
    </row>
    <row r="542" spans="1:15" ht="14.25" customHeight="1">
      <c r="A542" s="15"/>
      <c r="E542" s="18"/>
      <c r="G542" s="66"/>
      <c r="H542" s="66"/>
      <c r="I542" s="30"/>
      <c r="O542" s="53"/>
    </row>
    <row r="543" spans="1:15" ht="14.25" customHeight="1">
      <c r="A543" s="15"/>
      <c r="E543" s="18"/>
      <c r="G543" s="66"/>
      <c r="H543" s="66"/>
      <c r="I543" s="30"/>
      <c r="O543" s="53"/>
    </row>
    <row r="544" spans="1:15" ht="14.25" customHeight="1">
      <c r="A544" s="15"/>
      <c r="E544" s="18"/>
      <c r="G544" s="66"/>
      <c r="H544" s="66"/>
      <c r="I544" s="30"/>
      <c r="O544" s="53"/>
    </row>
    <row r="545" spans="1:15" ht="14.25" customHeight="1">
      <c r="A545" s="15"/>
      <c r="E545" s="18"/>
      <c r="G545" s="66"/>
      <c r="H545" s="66"/>
      <c r="I545" s="30"/>
      <c r="O545" s="53"/>
    </row>
    <row r="546" spans="1:15" ht="14.25" customHeight="1">
      <c r="A546" s="15"/>
      <c r="E546" s="18"/>
      <c r="G546" s="66"/>
      <c r="H546" s="66"/>
      <c r="I546" s="30"/>
      <c r="O546" s="53"/>
    </row>
    <row r="547" spans="1:15" ht="14.25" customHeight="1">
      <c r="A547" s="15"/>
      <c r="E547" s="18"/>
      <c r="G547" s="66"/>
      <c r="H547" s="66"/>
      <c r="I547" s="30"/>
      <c r="O547" s="53"/>
    </row>
    <row r="548" spans="1:15" ht="14.25" customHeight="1">
      <c r="A548" s="15"/>
      <c r="E548" s="18"/>
      <c r="G548" s="66"/>
      <c r="H548" s="66"/>
      <c r="I548" s="30"/>
      <c r="O548" s="53"/>
    </row>
    <row r="549" spans="1:15" ht="14.25" customHeight="1">
      <c r="A549" s="15"/>
      <c r="E549" s="18"/>
      <c r="G549" s="66"/>
      <c r="H549" s="66"/>
      <c r="I549" s="30"/>
      <c r="O549" s="53"/>
    </row>
    <row r="550" spans="1:15" ht="14.25" customHeight="1">
      <c r="A550" s="15"/>
      <c r="E550" s="18"/>
      <c r="G550" s="66"/>
      <c r="H550" s="66"/>
      <c r="I550" s="30"/>
      <c r="O550" s="53"/>
    </row>
    <row r="551" spans="1:15" ht="14.25" customHeight="1">
      <c r="A551" s="15"/>
      <c r="E551" s="18"/>
      <c r="G551" s="66"/>
      <c r="H551" s="66"/>
      <c r="I551" s="30"/>
      <c r="O551" s="53"/>
    </row>
    <row r="552" spans="1:15" ht="14.25" customHeight="1">
      <c r="A552" s="15"/>
      <c r="E552" s="18"/>
      <c r="G552" s="66"/>
      <c r="H552" s="66"/>
      <c r="I552" s="30"/>
      <c r="O552" s="53"/>
    </row>
    <row r="553" spans="1:15" ht="14.25" customHeight="1">
      <c r="A553" s="15"/>
      <c r="E553" s="18"/>
      <c r="G553" s="66"/>
      <c r="H553" s="66"/>
      <c r="I553" s="30"/>
      <c r="O553" s="53"/>
    </row>
    <row r="554" spans="1:15" ht="14.25" customHeight="1">
      <c r="A554" s="15"/>
      <c r="E554" s="18"/>
      <c r="G554" s="66"/>
      <c r="H554" s="66"/>
      <c r="I554" s="30"/>
      <c r="O554" s="53"/>
    </row>
    <row r="555" spans="1:15" ht="14.25" customHeight="1">
      <c r="A555" s="15"/>
      <c r="E555" s="18"/>
      <c r="G555" s="66"/>
      <c r="H555" s="66"/>
      <c r="I555" s="30"/>
      <c r="O555" s="53"/>
    </row>
    <row r="556" spans="1:15" ht="14.25" customHeight="1">
      <c r="A556" s="15"/>
      <c r="E556" s="18"/>
      <c r="G556" s="66"/>
      <c r="H556" s="66"/>
      <c r="I556" s="30"/>
      <c r="O556" s="53"/>
    </row>
    <row r="557" spans="1:15" ht="14.25" customHeight="1">
      <c r="A557" s="15"/>
      <c r="E557" s="18"/>
      <c r="G557" s="66"/>
      <c r="H557" s="66"/>
      <c r="I557" s="30"/>
      <c r="O557" s="53"/>
    </row>
    <row r="558" spans="1:15" ht="14.25" customHeight="1">
      <c r="A558" s="15"/>
      <c r="E558" s="18"/>
      <c r="G558" s="66"/>
      <c r="H558" s="66"/>
      <c r="I558" s="30"/>
      <c r="O558" s="53"/>
    </row>
    <row r="559" spans="1:15" ht="14.25" customHeight="1">
      <c r="A559" s="15"/>
      <c r="E559" s="18"/>
      <c r="G559" s="66"/>
      <c r="H559" s="66"/>
      <c r="I559" s="30"/>
      <c r="O559" s="53"/>
    </row>
    <row r="560" spans="1:15" ht="14.25" customHeight="1">
      <c r="A560" s="15"/>
      <c r="E560" s="18"/>
      <c r="G560" s="66"/>
      <c r="H560" s="66"/>
      <c r="I560" s="30"/>
      <c r="O560" s="53"/>
    </row>
    <row r="561" spans="1:15" ht="14.25" customHeight="1">
      <c r="A561" s="15"/>
      <c r="E561" s="18"/>
      <c r="G561" s="66"/>
      <c r="H561" s="66"/>
      <c r="I561" s="30"/>
      <c r="O561" s="53"/>
    </row>
    <row r="562" spans="1:15" ht="14.25" customHeight="1">
      <c r="A562" s="15"/>
      <c r="E562" s="18"/>
      <c r="G562" s="66"/>
      <c r="H562" s="66"/>
      <c r="I562" s="30"/>
      <c r="O562" s="53"/>
    </row>
    <row r="563" spans="1:15" ht="14.25" customHeight="1">
      <c r="A563" s="15"/>
      <c r="E563" s="18"/>
      <c r="G563" s="66"/>
      <c r="H563" s="66"/>
      <c r="I563" s="30"/>
      <c r="O563" s="53"/>
    </row>
    <row r="564" spans="1:15" ht="14.25" customHeight="1">
      <c r="A564" s="15"/>
      <c r="E564" s="18"/>
      <c r="G564" s="66"/>
      <c r="H564" s="66"/>
      <c r="I564" s="30"/>
      <c r="O564" s="53"/>
    </row>
    <row r="565" spans="1:15" ht="14.25" customHeight="1">
      <c r="A565" s="15"/>
      <c r="E565" s="18"/>
      <c r="G565" s="66"/>
      <c r="H565" s="66"/>
      <c r="I565" s="30"/>
      <c r="O565" s="53"/>
    </row>
    <row r="566" spans="1:15" ht="14.25" customHeight="1">
      <c r="A566" s="15"/>
      <c r="E566" s="18"/>
      <c r="G566" s="66"/>
      <c r="H566" s="66"/>
      <c r="I566" s="30"/>
      <c r="O566" s="53"/>
    </row>
    <row r="567" spans="1:15" ht="14.25" customHeight="1">
      <c r="A567" s="15"/>
      <c r="E567" s="18"/>
      <c r="G567" s="66"/>
      <c r="H567" s="66"/>
      <c r="I567" s="30"/>
      <c r="O567" s="53"/>
    </row>
    <row r="568" spans="1:15" ht="14.25" customHeight="1">
      <c r="A568" s="15"/>
      <c r="E568" s="18"/>
      <c r="G568" s="66"/>
      <c r="H568" s="66"/>
      <c r="I568" s="30"/>
      <c r="O568" s="53"/>
    </row>
    <row r="569" spans="1:15" ht="14.25" customHeight="1">
      <c r="A569" s="15"/>
      <c r="E569" s="18"/>
      <c r="G569" s="66"/>
      <c r="H569" s="66"/>
      <c r="I569" s="30"/>
      <c r="O569" s="53"/>
    </row>
    <row r="570" spans="1:15" ht="14.25" customHeight="1">
      <c r="A570" s="15"/>
      <c r="E570" s="18"/>
      <c r="G570" s="66"/>
      <c r="H570" s="66"/>
      <c r="I570" s="30"/>
      <c r="O570" s="53"/>
    </row>
    <row r="571" spans="1:15" ht="14.25" customHeight="1">
      <c r="A571" s="15"/>
      <c r="E571" s="18"/>
      <c r="G571" s="66"/>
      <c r="H571" s="66"/>
      <c r="I571" s="30"/>
      <c r="O571" s="53"/>
    </row>
    <row r="572" spans="1:15" ht="14.25" customHeight="1">
      <c r="A572" s="15"/>
      <c r="E572" s="18"/>
      <c r="G572" s="66"/>
      <c r="H572" s="66"/>
      <c r="I572" s="30"/>
      <c r="O572" s="53"/>
    </row>
    <row r="573" spans="1:15" ht="14.25" customHeight="1">
      <c r="A573" s="15"/>
      <c r="E573" s="18"/>
      <c r="G573" s="66"/>
      <c r="H573" s="66"/>
      <c r="I573" s="30"/>
      <c r="O573" s="53"/>
    </row>
    <row r="574" spans="1:15" ht="14.25" customHeight="1">
      <c r="A574" s="15"/>
      <c r="E574" s="18"/>
      <c r="G574" s="66"/>
      <c r="H574" s="66"/>
      <c r="I574" s="30"/>
      <c r="O574" s="53"/>
    </row>
    <row r="575" spans="1:15" ht="14.25" customHeight="1">
      <c r="A575" s="15"/>
      <c r="E575" s="18"/>
      <c r="G575" s="66"/>
      <c r="H575" s="66"/>
      <c r="I575" s="30"/>
      <c r="O575" s="53"/>
    </row>
    <row r="576" spans="1:15" ht="14.25" customHeight="1">
      <c r="A576" s="15"/>
      <c r="E576" s="18"/>
      <c r="G576" s="66"/>
      <c r="H576" s="66"/>
      <c r="I576" s="30"/>
      <c r="O576" s="53"/>
    </row>
    <row r="577" spans="1:15" ht="14.25" customHeight="1">
      <c r="A577" s="15"/>
      <c r="E577" s="18"/>
      <c r="G577" s="66"/>
      <c r="H577" s="66"/>
      <c r="I577" s="30"/>
      <c r="O577" s="53"/>
    </row>
    <row r="578" spans="1:15" ht="14.25" customHeight="1">
      <c r="A578" s="15"/>
      <c r="E578" s="18"/>
      <c r="G578" s="66"/>
      <c r="H578" s="66"/>
      <c r="I578" s="30"/>
      <c r="O578" s="53"/>
    </row>
    <row r="579" spans="1:15" ht="14.25" customHeight="1">
      <c r="A579" s="15"/>
      <c r="E579" s="18"/>
      <c r="G579" s="66"/>
      <c r="H579" s="66"/>
      <c r="I579" s="30"/>
      <c r="O579" s="53"/>
    </row>
    <row r="580" spans="1:15" ht="14.25" customHeight="1">
      <c r="A580" s="15"/>
      <c r="E580" s="18"/>
      <c r="G580" s="66"/>
      <c r="H580" s="66"/>
      <c r="I580" s="30"/>
      <c r="O580" s="53"/>
    </row>
    <row r="581" spans="1:15" ht="14.25" customHeight="1">
      <c r="A581" s="15"/>
      <c r="E581" s="18"/>
      <c r="G581" s="66"/>
      <c r="H581" s="66"/>
      <c r="I581" s="30"/>
      <c r="O581" s="53"/>
    </row>
    <row r="582" spans="1:15" ht="14.25" customHeight="1">
      <c r="A582" s="15"/>
      <c r="E582" s="18"/>
      <c r="G582" s="66"/>
      <c r="H582" s="66"/>
      <c r="I582" s="30"/>
      <c r="O582" s="53"/>
    </row>
    <row r="583" spans="1:15" ht="14.25" customHeight="1">
      <c r="A583" s="15"/>
      <c r="E583" s="18"/>
      <c r="G583" s="66"/>
      <c r="H583" s="66"/>
      <c r="I583" s="30"/>
      <c r="O583" s="53"/>
    </row>
    <row r="584" spans="1:15" ht="14.25" customHeight="1">
      <c r="A584" s="15"/>
      <c r="E584" s="18"/>
      <c r="G584" s="66"/>
      <c r="H584" s="66"/>
      <c r="I584" s="30"/>
      <c r="O584" s="53"/>
    </row>
    <row r="585" spans="1:15" ht="14.25" customHeight="1">
      <c r="A585" s="15"/>
      <c r="E585" s="18"/>
      <c r="G585" s="66"/>
      <c r="H585" s="66"/>
      <c r="I585" s="30"/>
      <c r="O585" s="53"/>
    </row>
    <row r="586" spans="1:15" ht="14.25" customHeight="1">
      <c r="A586" s="15"/>
      <c r="E586" s="18"/>
      <c r="G586" s="66"/>
      <c r="H586" s="66"/>
      <c r="I586" s="30"/>
      <c r="O586" s="53"/>
    </row>
    <row r="587" spans="1:15" ht="14.25" customHeight="1">
      <c r="A587" s="15"/>
      <c r="E587" s="18"/>
      <c r="G587" s="66"/>
      <c r="H587" s="66"/>
      <c r="I587" s="30"/>
      <c r="O587" s="53"/>
    </row>
    <row r="588" spans="1:15" ht="14.25" customHeight="1">
      <c r="A588" s="15"/>
      <c r="E588" s="18"/>
      <c r="G588" s="66"/>
      <c r="H588" s="66"/>
      <c r="I588" s="30"/>
      <c r="O588" s="53"/>
    </row>
    <row r="589" spans="1:15" ht="14.25" customHeight="1">
      <c r="A589" s="15"/>
      <c r="E589" s="18"/>
      <c r="G589" s="66"/>
      <c r="H589" s="66"/>
      <c r="I589" s="30"/>
      <c r="O589" s="53"/>
    </row>
    <row r="590" spans="1:15" ht="14.25" customHeight="1">
      <c r="A590" s="15"/>
      <c r="E590" s="18"/>
      <c r="G590" s="66"/>
      <c r="H590" s="66"/>
      <c r="I590" s="30"/>
      <c r="O590" s="53"/>
    </row>
    <row r="591" spans="1:15" ht="14.25" customHeight="1">
      <c r="A591" s="15"/>
      <c r="E591" s="18"/>
      <c r="G591" s="66"/>
      <c r="H591" s="66"/>
      <c r="I591" s="30"/>
      <c r="O591" s="53"/>
    </row>
    <row r="592" spans="1:15" ht="14.25" customHeight="1">
      <c r="A592" s="15"/>
      <c r="E592" s="18"/>
      <c r="G592" s="66"/>
      <c r="H592" s="66"/>
      <c r="I592" s="30"/>
      <c r="O592" s="53"/>
    </row>
    <row r="593" spans="1:15" ht="14.25" customHeight="1">
      <c r="A593" s="15"/>
      <c r="E593" s="18"/>
      <c r="G593" s="66"/>
      <c r="H593" s="66"/>
      <c r="I593" s="30"/>
      <c r="O593" s="53"/>
    </row>
    <row r="594" spans="1:15" ht="14.25" customHeight="1">
      <c r="A594" s="15"/>
      <c r="E594" s="18"/>
      <c r="G594" s="66"/>
      <c r="H594" s="66"/>
      <c r="I594" s="30"/>
      <c r="O594" s="53"/>
    </row>
    <row r="595" spans="1:15" ht="14.25" customHeight="1">
      <c r="A595" s="15"/>
      <c r="E595" s="18"/>
      <c r="G595" s="66"/>
      <c r="H595" s="66"/>
      <c r="I595" s="30"/>
      <c r="O595" s="53"/>
    </row>
    <row r="596" spans="1:15" ht="14.25" customHeight="1">
      <c r="A596" s="15"/>
      <c r="E596" s="18"/>
      <c r="G596" s="66"/>
      <c r="H596" s="66"/>
      <c r="I596" s="30"/>
      <c r="O596" s="53"/>
    </row>
    <row r="597" spans="1:15" ht="14.25" customHeight="1">
      <c r="A597" s="15"/>
      <c r="E597" s="18"/>
      <c r="G597" s="66"/>
      <c r="H597" s="66"/>
      <c r="I597" s="30"/>
      <c r="O597" s="53"/>
    </row>
    <row r="598" spans="1:15" ht="14.25" customHeight="1">
      <c r="A598" s="15"/>
      <c r="E598" s="18"/>
      <c r="G598" s="66"/>
      <c r="H598" s="66"/>
      <c r="I598" s="30"/>
      <c r="O598" s="53"/>
    </row>
    <row r="599" spans="1:15" ht="14.25" customHeight="1">
      <c r="A599" s="15"/>
      <c r="E599" s="18"/>
      <c r="G599" s="66"/>
      <c r="H599" s="66"/>
      <c r="I599" s="30"/>
      <c r="O599" s="53"/>
    </row>
    <row r="600" spans="1:15" ht="14.25" customHeight="1">
      <c r="A600" s="15"/>
      <c r="E600" s="18"/>
      <c r="G600" s="66"/>
      <c r="H600" s="66"/>
      <c r="I600" s="30"/>
      <c r="O600" s="53"/>
    </row>
    <row r="601" spans="1:15" ht="14.25" customHeight="1">
      <c r="A601" s="15"/>
      <c r="E601" s="18"/>
      <c r="G601" s="66"/>
      <c r="H601" s="66"/>
      <c r="I601" s="30"/>
      <c r="O601" s="53"/>
    </row>
    <row r="602" spans="1:15" ht="14.25" customHeight="1">
      <c r="A602" s="15"/>
      <c r="E602" s="18"/>
      <c r="G602" s="66"/>
      <c r="H602" s="66"/>
      <c r="I602" s="30"/>
      <c r="O602" s="53"/>
    </row>
    <row r="603" spans="1:15" ht="14.25" customHeight="1">
      <c r="A603" s="15"/>
      <c r="E603" s="18"/>
      <c r="G603" s="66"/>
      <c r="H603" s="66"/>
      <c r="I603" s="30"/>
      <c r="O603" s="53"/>
    </row>
    <row r="604" spans="1:15" ht="14.25" customHeight="1">
      <c r="A604" s="15"/>
      <c r="E604" s="18"/>
      <c r="G604" s="66"/>
      <c r="H604" s="66"/>
      <c r="I604" s="30"/>
      <c r="O604" s="53"/>
    </row>
    <row r="605" spans="1:15" ht="14.25" customHeight="1">
      <c r="A605" s="15"/>
      <c r="E605" s="18"/>
      <c r="G605" s="66"/>
      <c r="H605" s="66"/>
      <c r="I605" s="30"/>
      <c r="O605" s="53"/>
    </row>
    <row r="606" spans="1:15" ht="14.25" customHeight="1">
      <c r="A606" s="15"/>
      <c r="E606" s="18"/>
      <c r="G606" s="66"/>
      <c r="H606" s="66"/>
      <c r="I606" s="30"/>
      <c r="O606" s="53"/>
    </row>
    <row r="607" spans="1:15" ht="14.25" customHeight="1">
      <c r="A607" s="15"/>
      <c r="E607" s="18"/>
      <c r="G607" s="66"/>
      <c r="H607" s="66"/>
      <c r="I607" s="30"/>
      <c r="O607" s="53"/>
    </row>
    <row r="608" spans="1:15" ht="14.25" customHeight="1">
      <c r="A608" s="15"/>
      <c r="E608" s="18"/>
      <c r="G608" s="66"/>
      <c r="H608" s="66"/>
      <c r="I608" s="30"/>
      <c r="O608" s="53"/>
    </row>
    <row r="609" spans="1:15" ht="14.25" customHeight="1">
      <c r="A609" s="15"/>
      <c r="E609" s="18"/>
      <c r="G609" s="66"/>
      <c r="H609" s="66"/>
      <c r="I609" s="30"/>
      <c r="O609" s="53"/>
    </row>
    <row r="610" spans="1:15" ht="14.25" customHeight="1">
      <c r="A610" s="15"/>
      <c r="E610" s="18"/>
      <c r="G610" s="66"/>
      <c r="H610" s="66"/>
      <c r="I610" s="30"/>
      <c r="O610" s="53"/>
    </row>
    <row r="611" spans="1:15" ht="14.25" customHeight="1">
      <c r="A611" s="15"/>
      <c r="E611" s="18"/>
      <c r="G611" s="66"/>
      <c r="H611" s="66"/>
      <c r="I611" s="30"/>
      <c r="O611" s="53"/>
    </row>
    <row r="612" spans="1:15" ht="14.25" customHeight="1">
      <c r="A612" s="15"/>
      <c r="E612" s="18"/>
      <c r="G612" s="66"/>
      <c r="H612" s="66"/>
      <c r="I612" s="30"/>
      <c r="O612" s="53"/>
    </row>
    <row r="613" spans="1:15" ht="14.25" customHeight="1">
      <c r="A613" s="15"/>
      <c r="E613" s="18"/>
      <c r="G613" s="66"/>
      <c r="H613" s="66"/>
      <c r="I613" s="30"/>
      <c r="O613" s="53"/>
    </row>
    <row r="614" spans="1:15" ht="14.25" customHeight="1">
      <c r="A614" s="15"/>
      <c r="E614" s="18"/>
      <c r="G614" s="66"/>
      <c r="H614" s="66"/>
      <c r="I614" s="30"/>
      <c r="O614" s="53"/>
    </row>
    <row r="615" spans="1:15" ht="14.25" customHeight="1">
      <c r="A615" s="15"/>
      <c r="E615" s="18"/>
      <c r="G615" s="66"/>
      <c r="H615" s="66"/>
      <c r="I615" s="30"/>
      <c r="O615" s="53"/>
    </row>
    <row r="616" spans="1:15" ht="14.25" customHeight="1">
      <c r="A616" s="15"/>
      <c r="E616" s="18"/>
      <c r="G616" s="66"/>
      <c r="H616" s="66"/>
      <c r="I616" s="30"/>
      <c r="O616" s="53"/>
    </row>
    <row r="617" spans="1:15" ht="14.25" customHeight="1">
      <c r="A617" s="15"/>
      <c r="E617" s="18"/>
      <c r="G617" s="66"/>
      <c r="H617" s="66"/>
      <c r="I617" s="30"/>
      <c r="O617" s="53"/>
    </row>
    <row r="618" spans="1:15" ht="14.25" customHeight="1">
      <c r="A618" s="15"/>
      <c r="E618" s="18"/>
      <c r="G618" s="66"/>
      <c r="H618" s="66"/>
      <c r="I618" s="30"/>
      <c r="O618" s="53"/>
    </row>
    <row r="619" spans="1:15" ht="14.25" customHeight="1">
      <c r="A619" s="15"/>
      <c r="E619" s="18"/>
      <c r="G619" s="66"/>
      <c r="H619" s="66"/>
      <c r="I619" s="30"/>
      <c r="O619" s="53"/>
    </row>
    <row r="620" spans="1:15" ht="14.25" customHeight="1">
      <c r="A620" s="15"/>
      <c r="E620" s="18"/>
      <c r="G620" s="66"/>
      <c r="H620" s="66"/>
      <c r="I620" s="30"/>
      <c r="O620" s="53"/>
    </row>
    <row r="621" spans="1:15" ht="14.25" customHeight="1">
      <c r="A621" s="15"/>
      <c r="E621" s="18"/>
      <c r="G621" s="66"/>
      <c r="H621" s="66"/>
      <c r="I621" s="30"/>
      <c r="O621" s="53"/>
    </row>
    <row r="622" spans="1:15" ht="14.25" customHeight="1">
      <c r="A622" s="15"/>
      <c r="E622" s="18"/>
      <c r="G622" s="66"/>
      <c r="H622" s="66"/>
      <c r="I622" s="30"/>
      <c r="O622" s="53"/>
    </row>
    <row r="623" spans="1:15" ht="14.25" customHeight="1">
      <c r="A623" s="15"/>
      <c r="E623" s="18"/>
      <c r="G623" s="66"/>
      <c r="H623" s="66"/>
      <c r="I623" s="30"/>
      <c r="O623" s="53"/>
    </row>
    <row r="624" spans="1:15" ht="14.25" customHeight="1">
      <c r="A624" s="15"/>
      <c r="E624" s="18"/>
      <c r="G624" s="66"/>
      <c r="H624" s="66"/>
      <c r="I624" s="30"/>
      <c r="O624" s="53"/>
    </row>
    <row r="625" spans="1:15" ht="14.25" customHeight="1">
      <c r="A625" s="15"/>
      <c r="E625" s="18"/>
      <c r="G625" s="66"/>
      <c r="H625" s="66"/>
      <c r="I625" s="30"/>
      <c r="O625" s="53"/>
    </row>
    <row r="626" spans="1:15" ht="14.25" customHeight="1">
      <c r="A626" s="15"/>
      <c r="E626" s="18"/>
      <c r="G626" s="66"/>
      <c r="H626" s="66"/>
      <c r="I626" s="30"/>
      <c r="O626" s="53"/>
    </row>
    <row r="627" spans="1:15" ht="14.25" customHeight="1">
      <c r="A627" s="15"/>
      <c r="E627" s="18"/>
      <c r="G627" s="66"/>
      <c r="H627" s="66"/>
      <c r="I627" s="30"/>
      <c r="O627" s="53"/>
    </row>
    <row r="628" spans="1:15" ht="14.25" customHeight="1">
      <c r="A628" s="15"/>
      <c r="E628" s="18"/>
      <c r="G628" s="66"/>
      <c r="H628" s="66"/>
      <c r="I628" s="30"/>
      <c r="O628" s="53"/>
    </row>
    <row r="629" spans="1:15" ht="14.25" customHeight="1">
      <c r="A629" s="15"/>
      <c r="E629" s="18"/>
      <c r="G629" s="66"/>
      <c r="H629" s="66"/>
      <c r="I629" s="30"/>
      <c r="O629" s="53"/>
    </row>
    <row r="630" spans="1:15" ht="14.25" customHeight="1">
      <c r="A630" s="15"/>
      <c r="E630" s="18"/>
      <c r="G630" s="66"/>
      <c r="H630" s="66"/>
      <c r="I630" s="30"/>
      <c r="O630" s="53"/>
    </row>
    <row r="631" spans="1:15" ht="14.25" customHeight="1">
      <c r="A631" s="15"/>
      <c r="E631" s="18"/>
      <c r="G631" s="66"/>
      <c r="H631" s="66"/>
      <c r="I631" s="30"/>
      <c r="O631" s="53"/>
    </row>
    <row r="632" spans="1:15" ht="14.25" customHeight="1">
      <c r="A632" s="15"/>
      <c r="E632" s="18"/>
      <c r="G632" s="66"/>
      <c r="H632" s="66"/>
      <c r="I632" s="30"/>
      <c r="O632" s="53"/>
    </row>
    <row r="633" spans="1:15" ht="14.25" customHeight="1">
      <c r="A633" s="15"/>
      <c r="E633" s="18"/>
      <c r="G633" s="66"/>
      <c r="H633" s="66"/>
      <c r="I633" s="30"/>
      <c r="O633" s="53"/>
    </row>
    <row r="634" spans="1:15" ht="14.25" customHeight="1">
      <c r="A634" s="15"/>
      <c r="E634" s="18"/>
      <c r="G634" s="66"/>
      <c r="H634" s="66"/>
      <c r="I634" s="30"/>
      <c r="O634" s="53"/>
    </row>
    <row r="635" spans="1:15" ht="14.25" customHeight="1">
      <c r="A635" s="15"/>
      <c r="E635" s="18"/>
      <c r="G635" s="66"/>
      <c r="H635" s="66"/>
      <c r="I635" s="30"/>
      <c r="O635" s="53"/>
    </row>
    <row r="636" spans="1:15" ht="14.25" customHeight="1">
      <c r="A636" s="15"/>
      <c r="E636" s="18"/>
      <c r="G636" s="66"/>
      <c r="H636" s="66"/>
      <c r="I636" s="30"/>
      <c r="O636" s="53"/>
    </row>
    <row r="637" spans="1:15" ht="14.25" customHeight="1">
      <c r="A637" s="15"/>
      <c r="E637" s="18"/>
      <c r="G637" s="66"/>
      <c r="H637" s="66"/>
      <c r="I637" s="30"/>
      <c r="O637" s="53"/>
    </row>
    <row r="638" spans="1:15" ht="14.25" customHeight="1">
      <c r="A638" s="15"/>
      <c r="E638" s="18"/>
      <c r="G638" s="66"/>
      <c r="H638" s="66"/>
      <c r="I638" s="30"/>
      <c r="O638" s="53"/>
    </row>
    <row r="639" spans="1:15" ht="14.25" customHeight="1">
      <c r="A639" s="15"/>
      <c r="E639" s="18"/>
      <c r="G639" s="66"/>
      <c r="H639" s="66"/>
      <c r="I639" s="30"/>
      <c r="O639" s="53"/>
    </row>
    <row r="640" spans="1:15" ht="14.25" customHeight="1">
      <c r="A640" s="15"/>
      <c r="E640" s="18"/>
      <c r="G640" s="66"/>
      <c r="H640" s="66"/>
      <c r="I640" s="30"/>
      <c r="O640" s="53"/>
    </row>
    <row r="641" spans="1:15" ht="14.25" customHeight="1">
      <c r="A641" s="15"/>
      <c r="E641" s="18"/>
      <c r="G641" s="66"/>
      <c r="H641" s="66"/>
      <c r="I641" s="30"/>
      <c r="O641" s="53"/>
    </row>
    <row r="642" spans="1:15" ht="14.25" customHeight="1">
      <c r="A642" s="15"/>
      <c r="E642" s="18"/>
      <c r="G642" s="66"/>
      <c r="H642" s="66"/>
      <c r="I642" s="30"/>
      <c r="O642" s="53"/>
    </row>
    <row r="643" spans="1:15" ht="14.25" customHeight="1">
      <c r="A643" s="15"/>
      <c r="E643" s="18"/>
      <c r="G643" s="66"/>
      <c r="H643" s="66"/>
      <c r="I643" s="30"/>
      <c r="O643" s="53"/>
    </row>
    <row r="644" spans="1:15" ht="14.25" customHeight="1">
      <c r="A644" s="15"/>
      <c r="E644" s="18"/>
      <c r="G644" s="66"/>
      <c r="H644" s="66"/>
      <c r="I644" s="30"/>
      <c r="O644" s="53"/>
    </row>
    <row r="645" spans="1:15" ht="14.25" customHeight="1">
      <c r="A645" s="15"/>
      <c r="E645" s="18"/>
      <c r="G645" s="66"/>
      <c r="H645" s="66"/>
      <c r="I645" s="30"/>
      <c r="O645" s="53"/>
    </row>
    <row r="646" spans="1:15" ht="14.25" customHeight="1">
      <c r="A646" s="15"/>
      <c r="E646" s="18"/>
      <c r="G646" s="66"/>
      <c r="H646" s="66"/>
      <c r="I646" s="30"/>
      <c r="O646" s="53"/>
    </row>
    <row r="647" spans="1:15" ht="14.25" customHeight="1">
      <c r="A647" s="15"/>
      <c r="E647" s="18"/>
      <c r="G647" s="66"/>
      <c r="H647" s="66"/>
      <c r="I647" s="30"/>
      <c r="O647" s="53"/>
    </row>
    <row r="648" spans="1:15" ht="14.25" customHeight="1">
      <c r="A648" s="15"/>
      <c r="E648" s="18"/>
      <c r="G648" s="66"/>
      <c r="H648" s="66"/>
      <c r="I648" s="30"/>
      <c r="O648" s="53"/>
    </row>
    <row r="649" spans="1:15" ht="14.25" customHeight="1">
      <c r="A649" s="15"/>
      <c r="E649" s="18"/>
      <c r="G649" s="66"/>
      <c r="H649" s="66"/>
      <c r="I649" s="30"/>
      <c r="O649" s="53"/>
    </row>
    <row r="650" spans="1:15" ht="14.25" customHeight="1">
      <c r="A650" s="15"/>
      <c r="E650" s="18"/>
      <c r="G650" s="66"/>
      <c r="H650" s="66"/>
      <c r="I650" s="30"/>
      <c r="O650" s="53"/>
    </row>
    <row r="651" spans="1:15" ht="14.25" customHeight="1">
      <c r="A651" s="15"/>
      <c r="E651" s="18"/>
      <c r="G651" s="66"/>
      <c r="H651" s="66"/>
      <c r="I651" s="30"/>
      <c r="O651" s="53"/>
    </row>
    <row r="652" spans="1:15" ht="14.25" customHeight="1">
      <c r="A652" s="15"/>
      <c r="E652" s="18"/>
      <c r="G652" s="66"/>
      <c r="H652" s="66"/>
      <c r="I652" s="30"/>
      <c r="O652" s="53"/>
    </row>
    <row r="653" spans="1:15" ht="14.25" customHeight="1">
      <c r="A653" s="15"/>
      <c r="E653" s="18"/>
      <c r="G653" s="66"/>
      <c r="H653" s="66"/>
      <c r="I653" s="30"/>
      <c r="O653" s="53"/>
    </row>
    <row r="654" spans="1:15" ht="14.25" customHeight="1">
      <c r="A654" s="15"/>
      <c r="E654" s="18"/>
      <c r="G654" s="66"/>
      <c r="H654" s="66"/>
      <c r="I654" s="30"/>
      <c r="O654" s="53"/>
    </row>
    <row r="655" spans="1:15" ht="14.25" customHeight="1">
      <c r="A655" s="15"/>
      <c r="E655" s="18"/>
      <c r="G655" s="66"/>
      <c r="H655" s="66"/>
      <c r="I655" s="30"/>
      <c r="O655" s="53"/>
    </row>
    <row r="656" spans="1:15" ht="14.25" customHeight="1">
      <c r="A656" s="15"/>
      <c r="E656" s="18"/>
      <c r="G656" s="66"/>
      <c r="H656" s="66"/>
      <c r="I656" s="30"/>
      <c r="O656" s="53"/>
    </row>
    <row r="657" spans="1:15" ht="14.25" customHeight="1">
      <c r="A657" s="15"/>
      <c r="E657" s="18"/>
      <c r="G657" s="66"/>
      <c r="H657" s="66"/>
      <c r="I657" s="30"/>
      <c r="O657" s="53"/>
    </row>
    <row r="658" spans="1:15" ht="14.25" customHeight="1">
      <c r="A658" s="15"/>
      <c r="E658" s="18"/>
      <c r="G658" s="66"/>
      <c r="H658" s="66"/>
      <c r="I658" s="30"/>
      <c r="O658" s="53"/>
    </row>
    <row r="659" spans="1:15" ht="14.25" customHeight="1">
      <c r="A659" s="15"/>
      <c r="E659" s="18"/>
      <c r="G659" s="66"/>
      <c r="H659" s="66"/>
      <c r="I659" s="30"/>
      <c r="O659" s="53"/>
    </row>
    <row r="660" spans="1:15" ht="14.25" customHeight="1">
      <c r="A660" s="15"/>
      <c r="E660" s="18"/>
      <c r="G660" s="66"/>
      <c r="H660" s="66"/>
      <c r="I660" s="30"/>
      <c r="O660" s="53"/>
    </row>
    <row r="661" spans="1:15" ht="14.25" customHeight="1">
      <c r="A661" s="15"/>
      <c r="E661" s="18"/>
      <c r="G661" s="66"/>
      <c r="H661" s="66"/>
      <c r="I661" s="30"/>
      <c r="O661" s="53"/>
    </row>
    <row r="662" spans="1:15" ht="14.25" customHeight="1">
      <c r="A662" s="15"/>
      <c r="E662" s="18"/>
      <c r="G662" s="66"/>
      <c r="H662" s="66"/>
      <c r="I662" s="30"/>
      <c r="O662" s="53"/>
    </row>
    <row r="663" spans="1:15" ht="14.25" customHeight="1">
      <c r="A663" s="15"/>
      <c r="E663" s="18"/>
      <c r="G663" s="66"/>
      <c r="H663" s="66"/>
      <c r="I663" s="30"/>
      <c r="O663" s="53"/>
    </row>
    <row r="664" spans="1:15" ht="14.25" customHeight="1">
      <c r="A664" s="15"/>
      <c r="E664" s="18"/>
      <c r="G664" s="66"/>
      <c r="H664" s="66"/>
      <c r="I664" s="30"/>
      <c r="O664" s="53"/>
    </row>
    <row r="665" spans="1:15" ht="14.25" customHeight="1">
      <c r="A665" s="15"/>
      <c r="E665" s="18"/>
      <c r="G665" s="66"/>
      <c r="H665" s="66"/>
      <c r="I665" s="30"/>
      <c r="O665" s="53"/>
    </row>
    <row r="666" spans="1:15" ht="14.25" customHeight="1">
      <c r="A666" s="15"/>
      <c r="E666" s="18"/>
      <c r="G666" s="66"/>
      <c r="H666" s="66"/>
      <c r="I666" s="30"/>
      <c r="O666" s="53"/>
    </row>
    <row r="667" spans="1:15" ht="14.25" customHeight="1">
      <c r="A667" s="15"/>
      <c r="E667" s="18"/>
      <c r="G667" s="66"/>
      <c r="H667" s="66"/>
      <c r="I667" s="30"/>
      <c r="O667" s="53"/>
    </row>
    <row r="668" spans="1:15" ht="14.25" customHeight="1">
      <c r="A668" s="15"/>
      <c r="E668" s="18"/>
      <c r="G668" s="66"/>
      <c r="H668" s="66"/>
      <c r="I668" s="30"/>
      <c r="O668" s="53"/>
    </row>
    <row r="669" spans="1:15" ht="14.25" customHeight="1">
      <c r="A669" s="15"/>
      <c r="E669" s="18"/>
      <c r="G669" s="66"/>
      <c r="H669" s="66"/>
      <c r="I669" s="30"/>
      <c r="O669" s="53"/>
    </row>
    <row r="670" spans="1:15" ht="14.25" customHeight="1">
      <c r="A670" s="15"/>
      <c r="E670" s="18"/>
      <c r="G670" s="66"/>
      <c r="H670" s="66"/>
      <c r="I670" s="30"/>
      <c r="O670" s="53"/>
    </row>
    <row r="671" spans="1:15" ht="14.25" customHeight="1">
      <c r="A671" s="15"/>
      <c r="E671" s="18"/>
      <c r="G671" s="66"/>
      <c r="H671" s="66"/>
      <c r="I671" s="30"/>
      <c r="O671" s="53"/>
    </row>
    <row r="672" spans="1:15" ht="14.25" customHeight="1">
      <c r="A672" s="15"/>
      <c r="E672" s="18"/>
      <c r="G672" s="66"/>
      <c r="H672" s="66"/>
      <c r="I672" s="30"/>
      <c r="O672" s="53"/>
    </row>
    <row r="673" spans="1:15" ht="14.25" customHeight="1">
      <c r="A673" s="15"/>
      <c r="E673" s="18"/>
      <c r="G673" s="66"/>
      <c r="H673" s="66"/>
      <c r="I673" s="30"/>
      <c r="O673" s="53"/>
    </row>
    <row r="674" spans="1:15" ht="14.25" customHeight="1">
      <c r="A674" s="15"/>
      <c r="E674" s="18"/>
      <c r="G674" s="66"/>
      <c r="H674" s="66"/>
      <c r="I674" s="30"/>
      <c r="O674" s="53"/>
    </row>
    <row r="675" spans="1:15" ht="14.25" customHeight="1">
      <c r="A675" s="15"/>
      <c r="E675" s="18"/>
      <c r="G675" s="66"/>
      <c r="H675" s="66"/>
      <c r="I675" s="30"/>
      <c r="O675" s="53"/>
    </row>
    <row r="676" spans="1:15" ht="14.25" customHeight="1">
      <c r="A676" s="15"/>
      <c r="E676" s="18"/>
      <c r="G676" s="66"/>
      <c r="H676" s="66"/>
      <c r="I676" s="30"/>
      <c r="O676" s="53"/>
    </row>
    <row r="677" spans="1:15" ht="14.25" customHeight="1">
      <c r="A677" s="15"/>
      <c r="E677" s="18"/>
      <c r="G677" s="66"/>
      <c r="H677" s="66"/>
      <c r="I677" s="30"/>
      <c r="O677" s="53"/>
    </row>
    <row r="678" spans="1:15" ht="14.25" customHeight="1">
      <c r="A678" s="15"/>
      <c r="E678" s="18"/>
      <c r="G678" s="66"/>
      <c r="H678" s="66"/>
      <c r="I678" s="30"/>
      <c r="O678" s="53"/>
    </row>
    <row r="679" spans="1:15" ht="14.25" customHeight="1">
      <c r="A679" s="15"/>
      <c r="E679" s="18"/>
      <c r="G679" s="66"/>
      <c r="H679" s="66"/>
      <c r="I679" s="30"/>
      <c r="O679" s="53"/>
    </row>
    <row r="680" spans="1:15" ht="14.25" customHeight="1">
      <c r="A680" s="15"/>
      <c r="E680" s="18"/>
      <c r="G680" s="66"/>
      <c r="H680" s="66"/>
      <c r="I680" s="30"/>
      <c r="O680" s="53"/>
    </row>
    <row r="681" spans="1:15" ht="14.25" customHeight="1">
      <c r="A681" s="15"/>
      <c r="E681" s="18"/>
      <c r="G681" s="66"/>
      <c r="H681" s="66"/>
      <c r="I681" s="30"/>
      <c r="O681" s="53"/>
    </row>
    <row r="682" spans="1:15" ht="14.25" customHeight="1">
      <c r="A682" s="15"/>
      <c r="E682" s="18"/>
      <c r="G682" s="66"/>
      <c r="H682" s="66"/>
      <c r="I682" s="30"/>
      <c r="O682" s="53"/>
    </row>
    <row r="683" spans="1:15" ht="14.25" customHeight="1">
      <c r="A683" s="15"/>
      <c r="E683" s="18"/>
      <c r="G683" s="66"/>
      <c r="H683" s="66"/>
      <c r="I683" s="30"/>
      <c r="O683" s="53"/>
    </row>
    <row r="684" spans="1:15" ht="14.25" customHeight="1">
      <c r="A684" s="15"/>
      <c r="E684" s="18"/>
      <c r="G684" s="66"/>
      <c r="H684" s="66"/>
      <c r="I684" s="30"/>
      <c r="O684" s="53"/>
    </row>
    <row r="685" spans="1:15" ht="14.25" customHeight="1">
      <c r="A685" s="15"/>
      <c r="E685" s="18"/>
      <c r="G685" s="66"/>
      <c r="H685" s="66"/>
      <c r="I685" s="30"/>
      <c r="O685" s="53"/>
    </row>
    <row r="686" spans="1:15" ht="14.25" customHeight="1">
      <c r="A686" s="15"/>
      <c r="E686" s="18"/>
      <c r="G686" s="66"/>
      <c r="H686" s="66"/>
      <c r="I686" s="30"/>
      <c r="O686" s="53"/>
    </row>
    <row r="687" spans="1:15" ht="14.25" customHeight="1">
      <c r="A687" s="15"/>
      <c r="E687" s="18"/>
      <c r="G687" s="66"/>
      <c r="H687" s="66"/>
      <c r="I687" s="30"/>
      <c r="O687" s="53"/>
    </row>
    <row r="688" spans="1:15" ht="14.25" customHeight="1">
      <c r="A688" s="15"/>
      <c r="E688" s="18"/>
      <c r="G688" s="66"/>
      <c r="H688" s="66"/>
      <c r="I688" s="30"/>
      <c r="O688" s="53"/>
    </row>
    <row r="689" spans="1:15" ht="14.25" customHeight="1">
      <c r="A689" s="15"/>
      <c r="E689" s="18"/>
      <c r="G689" s="66"/>
      <c r="H689" s="66"/>
      <c r="I689" s="30"/>
      <c r="O689" s="53"/>
    </row>
    <row r="690" spans="1:15" ht="14.25" customHeight="1">
      <c r="A690" s="15"/>
      <c r="E690" s="18"/>
      <c r="G690" s="66"/>
      <c r="H690" s="66"/>
      <c r="I690" s="30"/>
      <c r="O690" s="53"/>
    </row>
    <row r="691" spans="1:15" ht="14.25" customHeight="1">
      <c r="A691" s="15"/>
      <c r="E691" s="18"/>
      <c r="G691" s="66"/>
      <c r="H691" s="66"/>
      <c r="I691" s="30"/>
      <c r="O691" s="53"/>
    </row>
    <row r="692" spans="1:15" ht="14.25" customHeight="1">
      <c r="A692" s="15"/>
      <c r="E692" s="18"/>
      <c r="G692" s="66"/>
      <c r="H692" s="66"/>
      <c r="I692" s="30"/>
      <c r="O692" s="53"/>
    </row>
    <row r="693" spans="1:15" ht="14.25" customHeight="1">
      <c r="A693" s="15"/>
      <c r="E693" s="18"/>
      <c r="G693" s="66"/>
      <c r="H693" s="66"/>
      <c r="I693" s="30"/>
      <c r="O693" s="53"/>
    </row>
    <row r="694" spans="1:15" ht="14.25" customHeight="1">
      <c r="A694" s="15"/>
      <c r="E694" s="18"/>
      <c r="G694" s="66"/>
      <c r="H694" s="66"/>
      <c r="I694" s="30"/>
      <c r="O694" s="53"/>
    </row>
    <row r="695" spans="1:15" ht="14.25" customHeight="1">
      <c r="A695" s="15"/>
      <c r="E695" s="18"/>
      <c r="G695" s="66"/>
      <c r="H695" s="66"/>
      <c r="I695" s="30"/>
      <c r="O695" s="53"/>
    </row>
    <row r="696" spans="1:15" ht="14.25" customHeight="1">
      <c r="A696" s="15"/>
      <c r="E696" s="18"/>
      <c r="G696" s="66"/>
      <c r="H696" s="66"/>
      <c r="I696" s="30"/>
      <c r="O696" s="53"/>
    </row>
    <row r="697" spans="1:15" ht="14.25" customHeight="1">
      <c r="A697" s="15"/>
      <c r="E697" s="18"/>
      <c r="G697" s="66"/>
      <c r="H697" s="66"/>
      <c r="I697" s="30"/>
      <c r="O697" s="53"/>
    </row>
    <row r="698" spans="1:15" ht="14.25" customHeight="1">
      <c r="A698" s="15"/>
      <c r="E698" s="18"/>
      <c r="G698" s="66"/>
      <c r="H698" s="66"/>
      <c r="I698" s="30"/>
      <c r="O698" s="53"/>
    </row>
    <row r="699" spans="1:15" ht="14.25" customHeight="1">
      <c r="A699" s="15"/>
      <c r="E699" s="18"/>
      <c r="G699" s="66"/>
      <c r="H699" s="66"/>
      <c r="I699" s="30"/>
      <c r="O699" s="53"/>
    </row>
    <row r="700" spans="1:15" ht="14.25" customHeight="1">
      <c r="A700" s="15"/>
      <c r="E700" s="18"/>
      <c r="G700" s="66"/>
      <c r="H700" s="66"/>
      <c r="I700" s="30"/>
      <c r="O700" s="53"/>
    </row>
    <row r="701" spans="1:15" ht="14.25" customHeight="1">
      <c r="A701" s="15"/>
      <c r="E701" s="18"/>
      <c r="G701" s="66"/>
      <c r="H701" s="66"/>
      <c r="I701" s="30"/>
      <c r="O701" s="53"/>
    </row>
    <row r="702" spans="1:15" ht="14.25" customHeight="1">
      <c r="A702" s="15"/>
      <c r="E702" s="18"/>
      <c r="G702" s="66"/>
      <c r="H702" s="66"/>
      <c r="I702" s="30"/>
      <c r="O702" s="53"/>
    </row>
    <row r="703" spans="1:15" ht="14.25" customHeight="1">
      <c r="A703" s="15"/>
      <c r="E703" s="18"/>
      <c r="G703" s="66"/>
      <c r="H703" s="66"/>
      <c r="I703" s="30"/>
      <c r="O703" s="53"/>
    </row>
    <row r="704" spans="1:15" ht="14.25" customHeight="1">
      <c r="A704" s="15"/>
      <c r="E704" s="18"/>
      <c r="G704" s="66"/>
      <c r="H704" s="66"/>
      <c r="I704" s="30"/>
      <c r="O704" s="53"/>
    </row>
    <row r="705" spans="1:15" ht="14.25" customHeight="1">
      <c r="A705" s="15"/>
      <c r="E705" s="18"/>
      <c r="G705" s="66"/>
      <c r="H705" s="66"/>
      <c r="I705" s="30"/>
      <c r="O705" s="53"/>
    </row>
    <row r="706" spans="1:15" ht="14.25" customHeight="1">
      <c r="A706" s="15"/>
      <c r="E706" s="18"/>
      <c r="G706" s="66"/>
      <c r="H706" s="66"/>
      <c r="I706" s="30"/>
      <c r="O706" s="53"/>
    </row>
    <row r="707" spans="1:15" ht="14.25" customHeight="1">
      <c r="A707" s="15"/>
      <c r="E707" s="18"/>
      <c r="G707" s="66"/>
      <c r="H707" s="66"/>
      <c r="I707" s="30"/>
      <c r="O707" s="53"/>
    </row>
    <row r="708" spans="1:15" ht="14.25" customHeight="1">
      <c r="A708" s="15"/>
      <c r="E708" s="18"/>
      <c r="G708" s="66"/>
      <c r="H708" s="66"/>
      <c r="I708" s="30"/>
      <c r="O708" s="53"/>
    </row>
    <row r="709" spans="1:15" ht="14.25" customHeight="1">
      <c r="A709" s="15"/>
      <c r="E709" s="18"/>
      <c r="G709" s="66"/>
      <c r="H709" s="66"/>
      <c r="I709" s="30"/>
      <c r="O709" s="53"/>
    </row>
    <row r="710" spans="1:15" ht="14.25" customHeight="1">
      <c r="A710" s="15"/>
      <c r="E710" s="18"/>
      <c r="G710" s="66"/>
      <c r="H710" s="66"/>
      <c r="I710" s="30"/>
      <c r="O710" s="53"/>
    </row>
    <row r="711" spans="1:15" ht="14.25" customHeight="1">
      <c r="A711" s="15"/>
      <c r="E711" s="18"/>
      <c r="G711" s="66"/>
      <c r="H711" s="66"/>
      <c r="I711" s="30"/>
      <c r="O711" s="53"/>
    </row>
    <row r="712" spans="1:15" ht="14.25" customHeight="1">
      <c r="A712" s="15"/>
      <c r="E712" s="18"/>
      <c r="G712" s="66"/>
      <c r="H712" s="66"/>
      <c r="I712" s="30"/>
      <c r="O712" s="53"/>
    </row>
    <row r="713" spans="1:15" ht="14.25" customHeight="1">
      <c r="A713" s="15"/>
      <c r="E713" s="18"/>
      <c r="G713" s="66"/>
      <c r="H713" s="66"/>
      <c r="I713" s="30"/>
      <c r="O713" s="53"/>
    </row>
    <row r="714" spans="1:15" ht="14.25" customHeight="1">
      <c r="A714" s="15"/>
      <c r="E714" s="18"/>
      <c r="G714" s="66"/>
      <c r="H714" s="66"/>
      <c r="I714" s="30"/>
      <c r="O714" s="53"/>
    </row>
    <row r="715" spans="1:15" ht="14.25" customHeight="1">
      <c r="A715" s="15"/>
      <c r="E715" s="18"/>
      <c r="G715" s="66"/>
      <c r="H715" s="66"/>
      <c r="I715" s="30"/>
      <c r="O715" s="53"/>
    </row>
    <row r="716" spans="1:15" ht="14.25" customHeight="1">
      <c r="A716" s="15"/>
      <c r="E716" s="18"/>
      <c r="G716" s="66"/>
      <c r="H716" s="66"/>
      <c r="I716" s="30"/>
      <c r="O716" s="53"/>
    </row>
    <row r="717" spans="1:15" ht="14.25" customHeight="1">
      <c r="A717" s="15"/>
      <c r="E717" s="18"/>
      <c r="G717" s="66"/>
      <c r="H717" s="66"/>
      <c r="I717" s="30"/>
      <c r="O717" s="53"/>
    </row>
    <row r="718" spans="1:15" ht="14.25" customHeight="1">
      <c r="A718" s="15"/>
      <c r="E718" s="18"/>
      <c r="G718" s="66"/>
      <c r="H718" s="66"/>
      <c r="I718" s="30"/>
      <c r="O718" s="53"/>
    </row>
    <row r="719" spans="1:15" ht="14.25" customHeight="1">
      <c r="A719" s="15"/>
      <c r="E719" s="18"/>
      <c r="G719" s="66"/>
      <c r="H719" s="66"/>
      <c r="I719" s="30"/>
      <c r="O719" s="53"/>
    </row>
    <row r="720" spans="1:15" ht="14.25" customHeight="1">
      <c r="A720" s="15"/>
      <c r="E720" s="18"/>
      <c r="G720" s="66"/>
      <c r="H720" s="66"/>
      <c r="I720" s="30"/>
      <c r="O720" s="53"/>
    </row>
    <row r="721" spans="1:15" ht="14.25" customHeight="1">
      <c r="A721" s="15"/>
      <c r="E721" s="18"/>
      <c r="G721" s="66"/>
      <c r="H721" s="66"/>
      <c r="I721" s="30"/>
      <c r="O721" s="53"/>
    </row>
    <row r="722" spans="1:15" ht="14.25" customHeight="1">
      <c r="A722" s="15"/>
      <c r="E722" s="18"/>
      <c r="G722" s="66"/>
      <c r="H722" s="66"/>
      <c r="I722" s="30"/>
      <c r="O722" s="53"/>
    </row>
    <row r="723" spans="1:15" ht="14.25" customHeight="1">
      <c r="A723" s="15"/>
      <c r="E723" s="18"/>
      <c r="G723" s="66"/>
      <c r="H723" s="66"/>
      <c r="I723" s="30"/>
      <c r="O723" s="53"/>
    </row>
    <row r="724" spans="1:15" ht="14.25" customHeight="1">
      <c r="A724" s="15"/>
      <c r="E724" s="18"/>
      <c r="G724" s="66"/>
      <c r="H724" s="66"/>
      <c r="I724" s="30"/>
      <c r="O724" s="53"/>
    </row>
    <row r="725" spans="1:15" ht="14.25" customHeight="1">
      <c r="A725" s="15"/>
      <c r="E725" s="18"/>
      <c r="G725" s="66"/>
      <c r="H725" s="66"/>
      <c r="I725" s="30"/>
      <c r="O725" s="53"/>
    </row>
    <row r="726" spans="1:15" ht="14.25" customHeight="1">
      <c r="A726" s="15"/>
      <c r="E726" s="18"/>
      <c r="G726" s="66"/>
      <c r="H726" s="66"/>
      <c r="I726" s="30"/>
      <c r="O726" s="53"/>
    </row>
    <row r="727" spans="1:15" ht="14.25" customHeight="1">
      <c r="A727" s="15"/>
      <c r="E727" s="18"/>
      <c r="G727" s="66"/>
      <c r="H727" s="66"/>
      <c r="I727" s="30"/>
      <c r="O727" s="53"/>
    </row>
    <row r="728" spans="1:15" ht="14.25" customHeight="1">
      <c r="A728" s="15"/>
      <c r="E728" s="18"/>
      <c r="G728" s="66"/>
      <c r="H728" s="66"/>
      <c r="I728" s="30"/>
      <c r="O728" s="53"/>
    </row>
    <row r="729" spans="1:15" ht="14.25" customHeight="1">
      <c r="A729" s="15"/>
      <c r="E729" s="18"/>
      <c r="G729" s="66"/>
      <c r="H729" s="66"/>
      <c r="I729" s="30"/>
      <c r="O729" s="53"/>
    </row>
    <row r="730" spans="1:15" ht="14.25" customHeight="1">
      <c r="A730" s="15"/>
      <c r="E730" s="18"/>
      <c r="G730" s="66"/>
      <c r="H730" s="66"/>
      <c r="I730" s="30"/>
      <c r="O730" s="53"/>
    </row>
    <row r="731" spans="1:15" ht="14.25" customHeight="1">
      <c r="A731" s="15"/>
      <c r="E731" s="18"/>
      <c r="G731" s="66"/>
      <c r="H731" s="66"/>
      <c r="I731" s="30"/>
      <c r="O731" s="53"/>
    </row>
    <row r="732" spans="1:15" ht="14.25" customHeight="1">
      <c r="A732" s="15"/>
      <c r="E732" s="18"/>
      <c r="G732" s="66"/>
      <c r="H732" s="66"/>
      <c r="I732" s="30"/>
      <c r="O732" s="53"/>
    </row>
    <row r="733" spans="1:15" ht="14.25" customHeight="1">
      <c r="A733" s="15"/>
      <c r="E733" s="18"/>
      <c r="G733" s="66"/>
      <c r="H733" s="66"/>
      <c r="I733" s="30"/>
      <c r="O733" s="53"/>
    </row>
    <row r="734" spans="1:15" ht="14.25" customHeight="1">
      <c r="A734" s="15"/>
      <c r="E734" s="18"/>
      <c r="G734" s="66"/>
      <c r="H734" s="66"/>
      <c r="I734" s="30"/>
      <c r="O734" s="53"/>
    </row>
    <row r="735" spans="1:15" ht="14.25" customHeight="1">
      <c r="A735" s="15"/>
      <c r="E735" s="18"/>
      <c r="G735" s="66"/>
      <c r="H735" s="66"/>
      <c r="I735" s="30"/>
      <c r="O735" s="53"/>
    </row>
    <row r="736" spans="1:15" ht="14.25" customHeight="1">
      <c r="A736" s="15"/>
      <c r="E736" s="18"/>
      <c r="G736" s="66"/>
      <c r="H736" s="66"/>
      <c r="I736" s="30"/>
      <c r="O736" s="53"/>
    </row>
    <row r="737" spans="1:15" ht="14.25" customHeight="1">
      <c r="A737" s="15"/>
      <c r="E737" s="18"/>
      <c r="G737" s="66"/>
      <c r="H737" s="66"/>
      <c r="I737" s="30"/>
      <c r="O737" s="53"/>
    </row>
    <row r="738" spans="1:15" ht="14.25" customHeight="1">
      <c r="A738" s="15"/>
      <c r="E738" s="18"/>
      <c r="G738" s="66"/>
      <c r="H738" s="66"/>
      <c r="I738" s="30"/>
      <c r="O738" s="53"/>
    </row>
    <row r="739" spans="1:15" ht="14.25" customHeight="1">
      <c r="A739" s="15"/>
      <c r="E739" s="18"/>
      <c r="G739" s="66"/>
      <c r="H739" s="66"/>
      <c r="I739" s="30"/>
      <c r="O739" s="53"/>
    </row>
    <row r="740" spans="1:15" ht="14.25" customHeight="1">
      <c r="A740" s="15"/>
      <c r="E740" s="18"/>
      <c r="G740" s="66"/>
      <c r="H740" s="66"/>
      <c r="I740" s="30"/>
      <c r="O740" s="53"/>
    </row>
    <row r="741" spans="1:15" ht="14.25" customHeight="1">
      <c r="A741" s="15"/>
      <c r="E741" s="18"/>
      <c r="G741" s="66"/>
      <c r="H741" s="66"/>
      <c r="I741" s="30"/>
      <c r="O741" s="53"/>
    </row>
    <row r="742" spans="1:15" ht="14.25" customHeight="1">
      <c r="A742" s="15"/>
      <c r="E742" s="18"/>
      <c r="G742" s="66"/>
      <c r="H742" s="66"/>
      <c r="I742" s="30"/>
      <c r="O742" s="53"/>
    </row>
    <row r="743" spans="1:15" ht="14.25" customHeight="1">
      <c r="A743" s="15"/>
      <c r="E743" s="18"/>
      <c r="G743" s="66"/>
      <c r="H743" s="66"/>
      <c r="I743" s="30"/>
      <c r="O743" s="53"/>
    </row>
    <row r="744" spans="1:15" ht="14.25" customHeight="1">
      <c r="A744" s="15"/>
      <c r="E744" s="18"/>
      <c r="G744" s="66"/>
      <c r="H744" s="66"/>
      <c r="I744" s="30"/>
      <c r="O744" s="53"/>
    </row>
    <row r="745" spans="1:15" ht="14.25" customHeight="1">
      <c r="A745" s="15"/>
      <c r="E745" s="18"/>
      <c r="G745" s="66"/>
      <c r="H745" s="66"/>
      <c r="I745" s="30"/>
      <c r="O745" s="53"/>
    </row>
    <row r="746" spans="1:15" ht="14.25" customHeight="1">
      <c r="A746" s="15"/>
      <c r="E746" s="18"/>
      <c r="G746" s="66"/>
      <c r="H746" s="66"/>
      <c r="I746" s="30"/>
      <c r="O746" s="53"/>
    </row>
    <row r="747" spans="1:15" ht="14.25" customHeight="1">
      <c r="A747" s="15"/>
      <c r="E747" s="18"/>
      <c r="G747" s="66"/>
      <c r="H747" s="66"/>
      <c r="I747" s="30"/>
      <c r="O747" s="53"/>
    </row>
    <row r="748" spans="1:15" ht="14.25" customHeight="1">
      <c r="A748" s="15"/>
      <c r="E748" s="18"/>
      <c r="G748" s="66"/>
      <c r="H748" s="66"/>
      <c r="I748" s="30"/>
      <c r="O748" s="53"/>
    </row>
    <row r="749" spans="1:15" ht="14.25" customHeight="1">
      <c r="A749" s="15"/>
      <c r="E749" s="18"/>
      <c r="G749" s="66"/>
      <c r="H749" s="66"/>
      <c r="I749" s="30"/>
      <c r="O749" s="53"/>
    </row>
    <row r="750" spans="1:15" ht="14.25" customHeight="1">
      <c r="A750" s="15"/>
      <c r="E750" s="18"/>
      <c r="G750" s="66"/>
      <c r="H750" s="66"/>
      <c r="I750" s="30"/>
      <c r="O750" s="53"/>
    </row>
    <row r="751" spans="1:15" ht="14.25" customHeight="1">
      <c r="A751" s="15"/>
      <c r="E751" s="18"/>
      <c r="G751" s="66"/>
      <c r="H751" s="66"/>
      <c r="I751" s="30"/>
      <c r="O751" s="53"/>
    </row>
    <row r="752" spans="1:15" ht="14.25" customHeight="1">
      <c r="A752" s="15"/>
      <c r="E752" s="18"/>
      <c r="G752" s="66"/>
      <c r="H752" s="66"/>
      <c r="I752" s="30"/>
      <c r="O752" s="53"/>
    </row>
    <row r="753" spans="1:15" ht="14.25" customHeight="1">
      <c r="A753" s="15"/>
      <c r="E753" s="18"/>
      <c r="G753" s="66"/>
      <c r="H753" s="66"/>
      <c r="I753" s="30"/>
      <c r="O753" s="53"/>
    </row>
    <row r="754" spans="1:15" ht="14.25" customHeight="1">
      <c r="A754" s="15"/>
      <c r="E754" s="18"/>
      <c r="G754" s="66"/>
      <c r="H754" s="66"/>
      <c r="I754" s="30"/>
      <c r="O754" s="53"/>
    </row>
    <row r="755" spans="1:15" ht="14.25" customHeight="1">
      <c r="A755" s="15"/>
      <c r="E755" s="18"/>
      <c r="G755" s="66"/>
      <c r="H755" s="66"/>
      <c r="I755" s="30"/>
      <c r="O755" s="53"/>
    </row>
    <row r="756" spans="1:15" ht="14.25" customHeight="1">
      <c r="A756" s="15"/>
      <c r="E756" s="18"/>
      <c r="G756" s="66"/>
      <c r="H756" s="66"/>
      <c r="I756" s="30"/>
      <c r="O756" s="53"/>
    </row>
    <row r="757" spans="1:15" ht="14.25" customHeight="1">
      <c r="A757" s="15"/>
      <c r="E757" s="18"/>
      <c r="G757" s="66"/>
      <c r="H757" s="66"/>
      <c r="I757" s="30"/>
      <c r="O757" s="53"/>
    </row>
    <row r="758" spans="1:15" ht="14.25" customHeight="1">
      <c r="A758" s="15"/>
      <c r="E758" s="18"/>
      <c r="G758" s="66"/>
      <c r="H758" s="66"/>
      <c r="I758" s="30"/>
      <c r="O758" s="53"/>
    </row>
    <row r="759" spans="1:15" ht="14.25" customHeight="1">
      <c r="A759" s="15"/>
      <c r="E759" s="18"/>
      <c r="G759" s="66"/>
      <c r="H759" s="66"/>
      <c r="I759" s="30"/>
      <c r="O759" s="53"/>
    </row>
    <row r="760" spans="1:15" ht="14.25" customHeight="1">
      <c r="A760" s="15"/>
      <c r="E760" s="18"/>
      <c r="G760" s="66"/>
      <c r="H760" s="66"/>
      <c r="I760" s="30"/>
      <c r="O760" s="53"/>
    </row>
    <row r="761" spans="1:15" ht="14.25" customHeight="1">
      <c r="A761" s="15"/>
      <c r="E761" s="18"/>
      <c r="G761" s="66"/>
      <c r="H761" s="66"/>
      <c r="I761" s="30"/>
      <c r="O761" s="53"/>
    </row>
    <row r="762" spans="1:15" ht="14.25" customHeight="1">
      <c r="A762" s="15"/>
      <c r="E762" s="18"/>
      <c r="G762" s="66"/>
      <c r="H762" s="66"/>
      <c r="I762" s="30"/>
      <c r="O762" s="53"/>
    </row>
    <row r="763" spans="1:15" ht="14.25" customHeight="1">
      <c r="A763" s="15"/>
      <c r="E763" s="18"/>
      <c r="G763" s="66"/>
      <c r="H763" s="66"/>
      <c r="I763" s="30"/>
      <c r="O763" s="53"/>
    </row>
    <row r="764" spans="1:15" ht="14.25" customHeight="1">
      <c r="A764" s="15"/>
      <c r="E764" s="18"/>
      <c r="G764" s="66"/>
      <c r="H764" s="66"/>
      <c r="I764" s="30"/>
      <c r="O764" s="53"/>
    </row>
    <row r="765" spans="1:15" ht="14.25" customHeight="1">
      <c r="A765" s="15"/>
      <c r="E765" s="18"/>
      <c r="G765" s="66"/>
      <c r="H765" s="66"/>
      <c r="I765" s="30"/>
      <c r="O765" s="53"/>
    </row>
    <row r="766" spans="1:15" ht="14.25" customHeight="1">
      <c r="A766" s="15"/>
      <c r="E766" s="18"/>
      <c r="G766" s="66"/>
      <c r="H766" s="66"/>
      <c r="I766" s="30"/>
      <c r="O766" s="53"/>
    </row>
    <row r="767" spans="1:15" ht="14.25" customHeight="1">
      <c r="A767" s="15"/>
      <c r="E767" s="18"/>
      <c r="G767" s="66"/>
      <c r="H767" s="66"/>
      <c r="I767" s="30"/>
      <c r="O767" s="53"/>
    </row>
    <row r="768" spans="1:15" ht="14.25" customHeight="1">
      <c r="A768" s="15"/>
      <c r="E768" s="18"/>
      <c r="G768" s="66"/>
      <c r="H768" s="66"/>
      <c r="I768" s="30"/>
      <c r="O768" s="53"/>
    </row>
    <row r="769" spans="1:15" ht="14.25" customHeight="1">
      <c r="A769" s="15"/>
      <c r="E769" s="18"/>
      <c r="G769" s="66"/>
      <c r="H769" s="66"/>
      <c r="I769" s="30"/>
      <c r="O769" s="53"/>
    </row>
    <row r="770" spans="1:15" ht="14.25" customHeight="1">
      <c r="A770" s="15"/>
      <c r="E770" s="18"/>
      <c r="G770" s="66"/>
      <c r="H770" s="66"/>
      <c r="I770" s="30"/>
      <c r="O770" s="53"/>
    </row>
    <row r="771" spans="1:15" ht="14.25" customHeight="1">
      <c r="A771" s="15"/>
      <c r="E771" s="18"/>
      <c r="G771" s="66"/>
      <c r="H771" s="66"/>
      <c r="I771" s="30"/>
      <c r="O771" s="53"/>
    </row>
    <row r="772" spans="1:15" ht="14.25" customHeight="1">
      <c r="A772" s="15"/>
      <c r="E772" s="18"/>
      <c r="G772" s="66"/>
      <c r="H772" s="66"/>
      <c r="I772" s="30"/>
      <c r="O772" s="53"/>
    </row>
    <row r="773" spans="1:15" ht="14.25" customHeight="1">
      <c r="A773" s="15"/>
      <c r="E773" s="18"/>
      <c r="G773" s="66"/>
      <c r="H773" s="66"/>
      <c r="I773" s="30"/>
      <c r="O773" s="53"/>
    </row>
    <row r="774" spans="1:15" ht="14.25" customHeight="1">
      <c r="A774" s="15"/>
      <c r="E774" s="18"/>
      <c r="G774" s="66"/>
      <c r="H774" s="66"/>
      <c r="I774" s="30"/>
      <c r="O774" s="53"/>
    </row>
    <row r="775" spans="1:15" ht="14.25" customHeight="1">
      <c r="A775" s="15"/>
      <c r="E775" s="18"/>
      <c r="G775" s="66"/>
      <c r="H775" s="66"/>
      <c r="I775" s="30"/>
      <c r="O775" s="53"/>
    </row>
    <row r="776" spans="1:15" ht="14.25" customHeight="1">
      <c r="A776" s="15"/>
      <c r="E776" s="18"/>
      <c r="G776" s="66"/>
      <c r="H776" s="66"/>
      <c r="I776" s="30"/>
      <c r="O776" s="53"/>
    </row>
    <row r="777" spans="1:15" ht="14.25" customHeight="1">
      <c r="A777" s="15"/>
      <c r="E777" s="18"/>
      <c r="G777" s="66"/>
      <c r="H777" s="66"/>
      <c r="I777" s="30"/>
      <c r="O777" s="53"/>
    </row>
    <row r="778" spans="1:15" ht="14.25" customHeight="1">
      <c r="A778" s="15"/>
      <c r="E778" s="18"/>
      <c r="G778" s="66"/>
      <c r="H778" s="66"/>
      <c r="I778" s="30"/>
      <c r="O778" s="53"/>
    </row>
    <row r="779" spans="1:15" ht="14.25" customHeight="1">
      <c r="A779" s="15"/>
      <c r="E779" s="18"/>
      <c r="G779" s="66"/>
      <c r="H779" s="66"/>
      <c r="I779" s="30"/>
      <c r="O779" s="53"/>
    </row>
    <row r="780" spans="1:15" ht="14.25" customHeight="1">
      <c r="A780" s="15"/>
      <c r="E780" s="18"/>
      <c r="G780" s="66"/>
      <c r="H780" s="66"/>
      <c r="I780" s="30"/>
      <c r="O780" s="53"/>
    </row>
    <row r="781" spans="1:15" ht="14.25" customHeight="1">
      <c r="A781" s="15"/>
      <c r="E781" s="18"/>
      <c r="G781" s="66"/>
      <c r="H781" s="66"/>
      <c r="I781" s="30"/>
      <c r="O781" s="53"/>
    </row>
    <row r="782" spans="1:15" ht="14.25" customHeight="1">
      <c r="A782" s="15"/>
      <c r="E782" s="18"/>
      <c r="G782" s="66"/>
      <c r="H782" s="66"/>
      <c r="I782" s="30"/>
      <c r="O782" s="53"/>
    </row>
    <row r="783" spans="1:15" ht="14.25" customHeight="1">
      <c r="A783" s="15"/>
      <c r="E783" s="18"/>
      <c r="G783" s="66"/>
      <c r="H783" s="66"/>
      <c r="I783" s="30"/>
      <c r="O783" s="53"/>
    </row>
    <row r="784" spans="1:15" ht="14.25" customHeight="1">
      <c r="A784" s="15"/>
      <c r="E784" s="18"/>
      <c r="G784" s="66"/>
      <c r="H784" s="66"/>
      <c r="I784" s="30"/>
      <c r="O784" s="53"/>
    </row>
    <row r="785" spans="1:15" ht="14.25" customHeight="1">
      <c r="A785" s="15"/>
      <c r="E785" s="18"/>
      <c r="G785" s="66"/>
      <c r="H785" s="66"/>
      <c r="I785" s="30"/>
      <c r="O785" s="53"/>
    </row>
    <row r="786" spans="1:15" ht="14.25" customHeight="1">
      <c r="A786" s="15"/>
      <c r="E786" s="18"/>
      <c r="G786" s="66"/>
      <c r="H786" s="66"/>
      <c r="I786" s="30"/>
      <c r="O786" s="53"/>
    </row>
    <row r="787" spans="1:15" ht="14.25" customHeight="1">
      <c r="A787" s="15"/>
      <c r="E787" s="18"/>
      <c r="G787" s="66"/>
      <c r="H787" s="66"/>
      <c r="I787" s="30"/>
      <c r="O787" s="53"/>
    </row>
    <row r="788" spans="1:15" ht="14.25" customHeight="1">
      <c r="A788" s="15"/>
      <c r="E788" s="18"/>
      <c r="G788" s="66"/>
      <c r="H788" s="66"/>
      <c r="I788" s="30"/>
      <c r="O788" s="53"/>
    </row>
    <row r="789" spans="1:15" ht="14.25" customHeight="1">
      <c r="A789" s="15"/>
      <c r="E789" s="18"/>
      <c r="G789" s="66"/>
      <c r="H789" s="66"/>
      <c r="I789" s="30"/>
      <c r="O789" s="53"/>
    </row>
    <row r="790" spans="1:15" ht="14.25" customHeight="1">
      <c r="A790" s="15"/>
      <c r="E790" s="18"/>
      <c r="G790" s="66"/>
      <c r="H790" s="66"/>
      <c r="I790" s="30"/>
      <c r="O790" s="53"/>
    </row>
    <row r="791" spans="1:15" ht="14.25" customHeight="1">
      <c r="A791" s="15"/>
      <c r="E791" s="18"/>
      <c r="G791" s="66"/>
      <c r="H791" s="66"/>
      <c r="I791" s="30"/>
      <c r="O791" s="53"/>
    </row>
    <row r="792" spans="1:15" ht="14.25" customHeight="1">
      <c r="A792" s="15"/>
      <c r="E792" s="18"/>
      <c r="G792" s="66"/>
      <c r="H792" s="66"/>
      <c r="I792" s="30"/>
      <c r="O792" s="53"/>
    </row>
    <row r="793" spans="1:15" ht="14.25" customHeight="1">
      <c r="A793" s="15"/>
      <c r="E793" s="18"/>
      <c r="G793" s="66"/>
      <c r="H793" s="66"/>
      <c r="I793" s="30"/>
      <c r="O793" s="53"/>
    </row>
    <row r="794" spans="1:15" ht="14.25" customHeight="1">
      <c r="A794" s="15"/>
      <c r="E794" s="18"/>
      <c r="G794" s="66"/>
      <c r="H794" s="66"/>
      <c r="I794" s="30"/>
      <c r="O794" s="53"/>
    </row>
    <row r="795" spans="1:15" ht="14.25" customHeight="1">
      <c r="A795" s="15"/>
      <c r="E795" s="18"/>
      <c r="G795" s="66"/>
      <c r="H795" s="66"/>
      <c r="I795" s="30"/>
      <c r="O795" s="53"/>
    </row>
    <row r="796" spans="1:15" ht="14.25" customHeight="1">
      <c r="A796" s="15"/>
      <c r="E796" s="18"/>
      <c r="G796" s="66"/>
      <c r="H796" s="66"/>
      <c r="I796" s="30"/>
      <c r="O796" s="53"/>
    </row>
    <row r="797" spans="1:15" ht="14.25" customHeight="1">
      <c r="A797" s="15"/>
      <c r="E797" s="18"/>
      <c r="G797" s="66"/>
      <c r="H797" s="66"/>
      <c r="I797" s="30"/>
      <c r="O797" s="53"/>
    </row>
    <row r="798" spans="1:15" ht="14.25" customHeight="1">
      <c r="A798" s="15"/>
      <c r="E798" s="18"/>
      <c r="G798" s="66"/>
      <c r="H798" s="66"/>
      <c r="I798" s="30"/>
      <c r="O798" s="53"/>
    </row>
    <row r="799" spans="1:15" ht="14.25" customHeight="1">
      <c r="A799" s="15"/>
      <c r="E799" s="18"/>
      <c r="G799" s="66"/>
      <c r="H799" s="66"/>
      <c r="I799" s="30"/>
      <c r="O799" s="53"/>
    </row>
    <row r="800" spans="1:15" ht="14.25" customHeight="1">
      <c r="A800" s="15"/>
      <c r="E800" s="18"/>
      <c r="G800" s="66"/>
      <c r="H800" s="66"/>
      <c r="I800" s="30"/>
      <c r="O800" s="53"/>
    </row>
    <row r="801" spans="1:15" ht="14.25" customHeight="1">
      <c r="A801" s="15"/>
      <c r="E801" s="18"/>
      <c r="G801" s="66"/>
      <c r="H801" s="66"/>
      <c r="I801" s="30"/>
      <c r="O801" s="53"/>
    </row>
    <row r="802" spans="1:15" ht="14.25" customHeight="1">
      <c r="A802" s="15"/>
      <c r="E802" s="18"/>
      <c r="G802" s="66"/>
      <c r="H802" s="66"/>
      <c r="I802" s="30"/>
      <c r="O802" s="53"/>
    </row>
    <row r="803" spans="1:15" ht="14.25" customHeight="1">
      <c r="A803" s="15"/>
      <c r="E803" s="18"/>
      <c r="G803" s="66"/>
      <c r="H803" s="66"/>
      <c r="I803" s="30"/>
      <c r="O803" s="53"/>
    </row>
    <row r="804" spans="1:15" ht="14.25" customHeight="1">
      <c r="A804" s="15"/>
      <c r="E804" s="18"/>
      <c r="G804" s="66"/>
      <c r="H804" s="66"/>
      <c r="I804" s="30"/>
      <c r="O804" s="53"/>
    </row>
    <row r="805" spans="1:15" ht="14.25" customHeight="1">
      <c r="A805" s="15"/>
      <c r="E805" s="18"/>
      <c r="G805" s="66"/>
      <c r="H805" s="66"/>
      <c r="I805" s="30"/>
      <c r="O805" s="53"/>
    </row>
    <row r="806" spans="1:15" ht="14.25" customHeight="1">
      <c r="A806" s="15"/>
      <c r="E806" s="18"/>
      <c r="G806" s="66"/>
      <c r="H806" s="66"/>
      <c r="I806" s="30"/>
      <c r="O806" s="53"/>
    </row>
    <row r="807" spans="1:15" ht="14.25" customHeight="1">
      <c r="A807" s="15"/>
      <c r="E807" s="18"/>
      <c r="G807" s="66"/>
      <c r="H807" s="66"/>
      <c r="I807" s="30"/>
      <c r="O807" s="53"/>
    </row>
    <row r="808" spans="1:15" ht="14.25" customHeight="1">
      <c r="A808" s="15"/>
      <c r="E808" s="18"/>
      <c r="G808" s="66"/>
      <c r="H808" s="66"/>
      <c r="I808" s="30"/>
      <c r="O808" s="53"/>
    </row>
    <row r="809" spans="1:15" ht="14.25" customHeight="1">
      <c r="A809" s="15"/>
      <c r="E809" s="18"/>
      <c r="G809" s="66"/>
      <c r="H809" s="66"/>
      <c r="I809" s="30"/>
      <c r="O809" s="53"/>
    </row>
    <row r="810" spans="1:15" ht="14.25" customHeight="1">
      <c r="A810" s="15"/>
      <c r="E810" s="18"/>
      <c r="G810" s="66"/>
      <c r="H810" s="66"/>
      <c r="I810" s="30"/>
      <c r="O810" s="53"/>
    </row>
    <row r="811" spans="1:15" ht="14.25" customHeight="1">
      <c r="A811" s="15"/>
      <c r="E811" s="18"/>
      <c r="G811" s="66"/>
      <c r="H811" s="66"/>
      <c r="I811" s="30"/>
      <c r="O811" s="53"/>
    </row>
    <row r="812" spans="1:15" ht="14.25" customHeight="1">
      <c r="A812" s="15"/>
      <c r="E812" s="18"/>
      <c r="G812" s="66"/>
      <c r="H812" s="66"/>
      <c r="I812" s="30"/>
      <c r="O812" s="53"/>
    </row>
    <row r="813" spans="1:15" ht="14.25" customHeight="1">
      <c r="A813" s="15"/>
      <c r="E813" s="18"/>
      <c r="G813" s="66"/>
      <c r="H813" s="66"/>
      <c r="I813" s="30"/>
      <c r="O813" s="53"/>
    </row>
    <row r="814" spans="1:15" ht="14.25" customHeight="1">
      <c r="A814" s="15"/>
      <c r="E814" s="18"/>
      <c r="G814" s="66"/>
      <c r="H814" s="66"/>
      <c r="I814" s="30"/>
      <c r="O814" s="53"/>
    </row>
    <row r="815" spans="1:15" ht="14.25" customHeight="1">
      <c r="A815" s="15"/>
      <c r="E815" s="18"/>
      <c r="G815" s="66"/>
      <c r="H815" s="66"/>
      <c r="I815" s="30"/>
      <c r="O815" s="53"/>
    </row>
    <row r="816" spans="1:15" ht="14.25" customHeight="1">
      <c r="A816" s="15"/>
      <c r="E816" s="18"/>
      <c r="G816" s="66"/>
      <c r="H816" s="66"/>
      <c r="I816" s="30"/>
      <c r="O816" s="53"/>
    </row>
    <row r="817" spans="1:15" ht="14.25" customHeight="1">
      <c r="A817" s="15"/>
      <c r="E817" s="18"/>
      <c r="G817" s="66"/>
      <c r="H817" s="66"/>
      <c r="I817" s="30"/>
      <c r="O817" s="53"/>
    </row>
    <row r="818" spans="1:15" ht="14.25" customHeight="1">
      <c r="A818" s="15"/>
      <c r="E818" s="18"/>
      <c r="G818" s="66"/>
      <c r="H818" s="66"/>
      <c r="I818" s="30"/>
      <c r="O818" s="53"/>
    </row>
    <row r="819" spans="1:15" ht="14.25" customHeight="1">
      <c r="A819" s="15"/>
      <c r="E819" s="18"/>
      <c r="G819" s="66"/>
      <c r="H819" s="66"/>
      <c r="I819" s="30"/>
      <c r="O819" s="53"/>
    </row>
    <row r="820" spans="1:15" ht="14.25" customHeight="1">
      <c r="A820" s="15"/>
      <c r="E820" s="18"/>
      <c r="G820" s="66"/>
      <c r="H820" s="66"/>
      <c r="I820" s="30"/>
      <c r="O820" s="53"/>
    </row>
    <row r="821" spans="1:15" ht="14.25" customHeight="1">
      <c r="A821" s="15"/>
      <c r="E821" s="18"/>
      <c r="G821" s="66"/>
      <c r="H821" s="66"/>
      <c r="I821" s="30"/>
      <c r="O821" s="53"/>
    </row>
    <row r="822" spans="1:15" ht="14.25" customHeight="1">
      <c r="A822" s="15"/>
      <c r="E822" s="18"/>
      <c r="G822" s="66"/>
      <c r="H822" s="66"/>
      <c r="I822" s="30"/>
      <c r="O822" s="53"/>
    </row>
    <row r="823" spans="1:15" ht="14.25" customHeight="1">
      <c r="A823" s="15"/>
      <c r="E823" s="18"/>
      <c r="G823" s="66"/>
      <c r="H823" s="66"/>
      <c r="I823" s="30"/>
      <c r="O823" s="53"/>
    </row>
    <row r="824" spans="1:15" ht="14.25" customHeight="1">
      <c r="A824" s="15"/>
      <c r="E824" s="18"/>
      <c r="G824" s="66"/>
      <c r="H824" s="66"/>
      <c r="I824" s="30"/>
      <c r="O824" s="53"/>
    </row>
    <row r="825" spans="1:15" ht="14.25" customHeight="1">
      <c r="A825" s="15"/>
      <c r="E825" s="18"/>
      <c r="G825" s="66"/>
      <c r="H825" s="66"/>
      <c r="I825" s="30"/>
      <c r="O825" s="53"/>
    </row>
    <row r="826" spans="1:15" ht="14.25" customHeight="1">
      <c r="A826" s="15"/>
      <c r="E826" s="18"/>
      <c r="G826" s="66"/>
      <c r="H826" s="66"/>
      <c r="I826" s="30"/>
      <c r="O826" s="53"/>
    </row>
    <row r="827" spans="1:15" ht="14.25" customHeight="1">
      <c r="A827" s="15"/>
      <c r="E827" s="18"/>
      <c r="G827" s="66"/>
      <c r="H827" s="66"/>
      <c r="I827" s="30"/>
      <c r="O827" s="53"/>
    </row>
    <row r="828" spans="1:15" ht="14.25" customHeight="1">
      <c r="A828" s="15"/>
      <c r="E828" s="18"/>
      <c r="G828" s="66"/>
      <c r="H828" s="66"/>
      <c r="I828" s="30"/>
      <c r="O828" s="53"/>
    </row>
    <row r="829" spans="1:15" ht="14.25" customHeight="1">
      <c r="A829" s="15"/>
      <c r="E829" s="18"/>
      <c r="G829" s="66"/>
      <c r="H829" s="66"/>
      <c r="I829" s="30"/>
      <c r="O829" s="53"/>
    </row>
    <row r="830" spans="1:15" ht="14.25" customHeight="1">
      <c r="A830" s="15"/>
      <c r="E830" s="18"/>
      <c r="G830" s="66"/>
      <c r="H830" s="66"/>
      <c r="I830" s="30"/>
      <c r="O830" s="53"/>
    </row>
    <row r="831" spans="1:15" ht="14.25" customHeight="1">
      <c r="A831" s="15"/>
      <c r="E831" s="18"/>
      <c r="G831" s="66"/>
      <c r="H831" s="66"/>
      <c r="I831" s="30"/>
      <c r="O831" s="53"/>
    </row>
    <row r="832" spans="1:15" ht="14.25" customHeight="1">
      <c r="A832" s="15"/>
      <c r="E832" s="18"/>
      <c r="G832" s="66"/>
      <c r="H832" s="66"/>
      <c r="I832" s="30"/>
      <c r="O832" s="53"/>
    </row>
    <row r="833" spans="1:15" ht="14.25" customHeight="1">
      <c r="A833" s="15"/>
      <c r="E833" s="18"/>
      <c r="G833" s="66"/>
      <c r="H833" s="66"/>
      <c r="I833" s="30"/>
      <c r="O833" s="53"/>
    </row>
    <row r="834" spans="1:15" ht="14.25" customHeight="1">
      <c r="A834" s="15"/>
      <c r="E834" s="18"/>
      <c r="G834" s="66"/>
      <c r="H834" s="66"/>
      <c r="I834" s="30"/>
      <c r="O834" s="53"/>
    </row>
    <row r="835" spans="1:15" ht="14.25" customHeight="1">
      <c r="A835" s="15"/>
      <c r="E835" s="18"/>
      <c r="G835" s="66"/>
      <c r="H835" s="66"/>
      <c r="I835" s="30"/>
      <c r="O835" s="53"/>
    </row>
    <row r="836" spans="1:15" ht="14.25" customHeight="1">
      <c r="A836" s="15"/>
      <c r="E836" s="18"/>
      <c r="G836" s="66"/>
      <c r="H836" s="66"/>
      <c r="I836" s="30"/>
      <c r="O836" s="53"/>
    </row>
    <row r="837" spans="1:15" ht="14.25" customHeight="1">
      <c r="A837" s="15"/>
      <c r="E837" s="18"/>
      <c r="G837" s="66"/>
      <c r="H837" s="66"/>
      <c r="I837" s="30"/>
      <c r="O837" s="53"/>
    </row>
    <row r="838" spans="1:15" ht="14.25" customHeight="1">
      <c r="A838" s="15"/>
      <c r="E838" s="18"/>
      <c r="G838" s="66"/>
      <c r="H838" s="66"/>
      <c r="I838" s="30"/>
      <c r="O838" s="53"/>
    </row>
    <row r="839" spans="1:15" ht="14.25" customHeight="1">
      <c r="A839" s="15"/>
      <c r="E839" s="18"/>
      <c r="G839" s="66"/>
      <c r="H839" s="66"/>
      <c r="I839" s="30"/>
      <c r="O839" s="53"/>
    </row>
    <row r="840" spans="1:15" ht="14.25" customHeight="1">
      <c r="A840" s="15"/>
      <c r="E840" s="18"/>
      <c r="G840" s="66"/>
      <c r="H840" s="66"/>
      <c r="I840" s="30"/>
      <c r="O840" s="53"/>
    </row>
    <row r="841" spans="1:15" ht="14.25" customHeight="1">
      <c r="A841" s="15"/>
      <c r="E841" s="18"/>
      <c r="G841" s="66"/>
      <c r="H841" s="66"/>
      <c r="I841" s="30"/>
      <c r="O841" s="53"/>
    </row>
    <row r="842" spans="1:15" ht="14.25" customHeight="1">
      <c r="A842" s="15"/>
      <c r="E842" s="18"/>
      <c r="G842" s="66"/>
      <c r="H842" s="66"/>
      <c r="I842" s="30"/>
      <c r="O842" s="53"/>
    </row>
    <row r="843" spans="1:15" ht="14.25" customHeight="1">
      <c r="A843" s="15"/>
      <c r="E843" s="18"/>
      <c r="G843" s="66"/>
      <c r="H843" s="66"/>
      <c r="I843" s="30"/>
      <c r="O843" s="53"/>
    </row>
    <row r="844" spans="1:15" ht="14.25" customHeight="1">
      <c r="A844" s="15"/>
      <c r="E844" s="18"/>
      <c r="G844" s="66"/>
      <c r="H844" s="66"/>
      <c r="I844" s="30"/>
      <c r="O844" s="53"/>
    </row>
    <row r="845" spans="1:15" ht="14.25" customHeight="1">
      <c r="A845" s="15"/>
      <c r="E845" s="18"/>
      <c r="G845" s="66"/>
      <c r="H845" s="66"/>
      <c r="I845" s="30"/>
      <c r="O845" s="53"/>
    </row>
    <row r="846" spans="1:15" ht="14.25" customHeight="1">
      <c r="A846" s="15"/>
      <c r="E846" s="18"/>
      <c r="G846" s="66"/>
      <c r="H846" s="66"/>
      <c r="I846" s="30"/>
      <c r="O846" s="53"/>
    </row>
    <row r="847" spans="1:15" ht="14.25" customHeight="1">
      <c r="A847" s="15"/>
      <c r="E847" s="18"/>
      <c r="G847" s="66"/>
      <c r="H847" s="66"/>
      <c r="I847" s="30"/>
      <c r="O847" s="53"/>
    </row>
    <row r="848" spans="1:15" ht="14.25" customHeight="1">
      <c r="A848" s="15"/>
      <c r="E848" s="18"/>
      <c r="G848" s="66"/>
      <c r="H848" s="66"/>
      <c r="I848" s="30"/>
      <c r="O848" s="53"/>
    </row>
    <row r="849" spans="1:15" ht="14.25" customHeight="1">
      <c r="A849" s="15"/>
      <c r="E849" s="18"/>
      <c r="G849" s="66"/>
      <c r="H849" s="66"/>
      <c r="I849" s="30"/>
      <c r="O849" s="53"/>
    </row>
    <row r="850" spans="1:15" ht="14.25" customHeight="1">
      <c r="A850" s="15"/>
      <c r="E850" s="18"/>
      <c r="G850" s="66"/>
      <c r="H850" s="66"/>
      <c r="I850" s="30"/>
      <c r="O850" s="53"/>
    </row>
    <row r="851" spans="1:15" ht="14.25" customHeight="1">
      <c r="A851" s="15"/>
      <c r="E851" s="18"/>
      <c r="G851" s="66"/>
      <c r="H851" s="66"/>
      <c r="I851" s="30"/>
      <c r="O851" s="53"/>
    </row>
    <row r="852" spans="1:15" ht="14.25" customHeight="1">
      <c r="A852" s="15"/>
      <c r="E852" s="18"/>
      <c r="G852" s="66"/>
      <c r="H852" s="66"/>
      <c r="I852" s="30"/>
      <c r="O852" s="53"/>
    </row>
    <row r="853" spans="1:15" ht="14.25" customHeight="1">
      <c r="A853" s="15"/>
      <c r="E853" s="18"/>
      <c r="G853" s="66"/>
      <c r="H853" s="66"/>
      <c r="I853" s="30"/>
      <c r="O853" s="53"/>
    </row>
    <row r="854" spans="1:15" ht="14.25" customHeight="1">
      <c r="A854" s="15"/>
      <c r="E854" s="18"/>
      <c r="G854" s="66"/>
      <c r="H854" s="66"/>
      <c r="I854" s="30"/>
      <c r="O854" s="53"/>
    </row>
    <row r="855" spans="1:15" ht="14.25" customHeight="1">
      <c r="A855" s="15"/>
      <c r="E855" s="18"/>
      <c r="G855" s="66"/>
      <c r="H855" s="66"/>
      <c r="I855" s="30"/>
      <c r="O855" s="53"/>
    </row>
    <row r="856" spans="1:15" ht="14.25" customHeight="1">
      <c r="A856" s="15"/>
      <c r="E856" s="18"/>
      <c r="G856" s="66"/>
      <c r="H856" s="66"/>
      <c r="I856" s="30"/>
      <c r="O856" s="53"/>
    </row>
    <row r="857" spans="1:15" ht="14.25" customHeight="1">
      <c r="A857" s="15"/>
      <c r="E857" s="18"/>
      <c r="G857" s="66"/>
      <c r="H857" s="66"/>
      <c r="I857" s="30"/>
      <c r="O857" s="53"/>
    </row>
    <row r="858" spans="1:15" ht="14.25" customHeight="1">
      <c r="A858" s="15"/>
      <c r="E858" s="18"/>
      <c r="G858" s="66"/>
      <c r="H858" s="66"/>
      <c r="I858" s="30"/>
      <c r="O858" s="53"/>
    </row>
    <row r="859" spans="1:15" ht="14.25" customHeight="1">
      <c r="A859" s="15"/>
      <c r="E859" s="18"/>
      <c r="G859" s="66"/>
      <c r="H859" s="66"/>
      <c r="I859" s="30"/>
      <c r="O859" s="53"/>
    </row>
    <row r="860" spans="1:15" ht="14.25" customHeight="1">
      <c r="A860" s="15"/>
      <c r="E860" s="18"/>
      <c r="G860" s="66"/>
      <c r="H860" s="66"/>
      <c r="I860" s="30"/>
      <c r="O860" s="53"/>
    </row>
    <row r="861" spans="1:15" ht="14.25" customHeight="1">
      <c r="A861" s="15"/>
      <c r="E861" s="18"/>
      <c r="G861" s="66"/>
      <c r="H861" s="66"/>
      <c r="I861" s="30"/>
      <c r="O861" s="53"/>
    </row>
    <row r="862" spans="1:15" ht="14.25" customHeight="1">
      <c r="A862" s="15"/>
      <c r="E862" s="18"/>
      <c r="G862" s="66"/>
      <c r="H862" s="66"/>
      <c r="I862" s="30"/>
      <c r="O862" s="53"/>
    </row>
    <row r="863" spans="1:15" ht="14.25" customHeight="1">
      <c r="A863" s="15"/>
      <c r="E863" s="18"/>
      <c r="G863" s="66"/>
      <c r="H863" s="66"/>
      <c r="I863" s="30"/>
      <c r="O863" s="53"/>
    </row>
    <row r="864" spans="1:15" ht="14.25" customHeight="1">
      <c r="A864" s="15"/>
      <c r="E864" s="18"/>
      <c r="G864" s="66"/>
      <c r="H864" s="66"/>
      <c r="I864" s="30"/>
      <c r="O864" s="53"/>
    </row>
    <row r="865" spans="1:15" ht="14.25" customHeight="1">
      <c r="A865" s="15"/>
      <c r="E865" s="18"/>
      <c r="G865" s="66"/>
      <c r="H865" s="66"/>
      <c r="I865" s="30"/>
      <c r="O865" s="53"/>
    </row>
    <row r="866" spans="1:15" ht="14.25" customHeight="1">
      <c r="A866" s="15"/>
      <c r="E866" s="18"/>
      <c r="G866" s="66"/>
      <c r="H866" s="66"/>
      <c r="I866" s="30"/>
      <c r="O866" s="53"/>
    </row>
    <row r="867" spans="1:15" ht="14.25" customHeight="1">
      <c r="A867" s="15"/>
      <c r="E867" s="18"/>
      <c r="G867" s="66"/>
      <c r="H867" s="66"/>
      <c r="I867" s="30"/>
      <c r="O867" s="53"/>
    </row>
    <row r="868" spans="1:15" ht="14.25" customHeight="1">
      <c r="A868" s="15"/>
      <c r="E868" s="18"/>
      <c r="G868" s="66"/>
      <c r="H868" s="66"/>
      <c r="I868" s="30"/>
      <c r="O868" s="53"/>
    </row>
    <row r="869" spans="1:15" ht="14.25" customHeight="1">
      <c r="A869" s="15"/>
      <c r="E869" s="18"/>
      <c r="G869" s="66"/>
      <c r="H869" s="66"/>
      <c r="I869" s="30"/>
      <c r="O869" s="53"/>
    </row>
    <row r="870" spans="1:15" ht="14.25" customHeight="1">
      <c r="A870" s="15"/>
      <c r="E870" s="18"/>
      <c r="G870" s="66"/>
      <c r="H870" s="66"/>
      <c r="I870" s="30"/>
      <c r="O870" s="53"/>
    </row>
    <row r="871" spans="1:15" ht="14.25" customHeight="1">
      <c r="A871" s="15"/>
      <c r="E871" s="18"/>
      <c r="G871" s="66"/>
      <c r="H871" s="66"/>
      <c r="I871" s="30"/>
      <c r="O871" s="53"/>
    </row>
    <row r="872" spans="1:15" ht="14.25" customHeight="1">
      <c r="A872" s="15"/>
      <c r="E872" s="18"/>
      <c r="G872" s="66"/>
      <c r="H872" s="66"/>
      <c r="I872" s="30"/>
      <c r="O872" s="53"/>
    </row>
    <row r="873" spans="1:15" ht="14.25" customHeight="1">
      <c r="A873" s="15"/>
      <c r="E873" s="18"/>
      <c r="G873" s="66"/>
      <c r="H873" s="66"/>
      <c r="I873" s="30"/>
      <c r="O873" s="53"/>
    </row>
    <row r="874" spans="1:15" ht="14.25" customHeight="1">
      <c r="A874" s="15"/>
      <c r="E874" s="18"/>
      <c r="G874" s="66"/>
      <c r="H874" s="66"/>
      <c r="I874" s="30"/>
      <c r="O874" s="53"/>
    </row>
    <row r="875" spans="1:15" ht="14.25" customHeight="1">
      <c r="A875" s="15"/>
      <c r="E875" s="18"/>
      <c r="G875" s="66"/>
      <c r="H875" s="66"/>
      <c r="I875" s="30"/>
      <c r="O875" s="53"/>
    </row>
    <row r="876" spans="1:15" ht="14.25" customHeight="1">
      <c r="A876" s="15"/>
      <c r="E876" s="18"/>
      <c r="G876" s="66"/>
      <c r="H876" s="66"/>
      <c r="I876" s="30"/>
      <c r="O876" s="53"/>
    </row>
    <row r="877" spans="1:15" ht="14.25" customHeight="1">
      <c r="A877" s="15"/>
      <c r="E877" s="18"/>
      <c r="G877" s="66"/>
      <c r="H877" s="66"/>
      <c r="I877" s="30"/>
      <c r="O877" s="53"/>
    </row>
    <row r="878" spans="1:15" ht="14.25" customHeight="1">
      <c r="A878" s="15"/>
      <c r="E878" s="18"/>
      <c r="G878" s="66"/>
      <c r="H878" s="66"/>
      <c r="I878" s="30"/>
      <c r="O878" s="53"/>
    </row>
    <row r="879" spans="1:15" ht="14.25" customHeight="1">
      <c r="A879" s="15"/>
      <c r="E879" s="18"/>
      <c r="G879" s="66"/>
      <c r="H879" s="66"/>
      <c r="I879" s="30"/>
      <c r="O879" s="53"/>
    </row>
    <row r="880" spans="1:15" ht="14.25" customHeight="1">
      <c r="A880" s="15"/>
      <c r="E880" s="18"/>
      <c r="G880" s="66"/>
      <c r="H880" s="66"/>
      <c r="I880" s="30"/>
      <c r="O880" s="53"/>
    </row>
    <row r="881" spans="1:15" ht="14.25" customHeight="1">
      <c r="A881" s="15"/>
      <c r="E881" s="18"/>
      <c r="G881" s="66"/>
      <c r="H881" s="66"/>
      <c r="I881" s="30"/>
      <c r="O881" s="53"/>
    </row>
    <row r="882" spans="1:15" ht="14.25" customHeight="1">
      <c r="A882" s="15"/>
      <c r="E882" s="18"/>
      <c r="G882" s="66"/>
      <c r="H882" s="66"/>
      <c r="I882" s="30"/>
      <c r="O882" s="53"/>
    </row>
    <row r="883" spans="1:15" ht="14.25" customHeight="1">
      <c r="A883" s="15"/>
      <c r="E883" s="18"/>
      <c r="G883" s="66"/>
      <c r="H883" s="66"/>
      <c r="I883" s="30"/>
      <c r="O883" s="53"/>
    </row>
    <row r="884" spans="1:15" ht="14.25" customHeight="1">
      <c r="A884" s="15"/>
      <c r="E884" s="18"/>
      <c r="G884" s="66"/>
      <c r="H884" s="66"/>
      <c r="I884" s="30"/>
      <c r="O884" s="53"/>
    </row>
    <row r="885" spans="1:15" ht="14.25" customHeight="1">
      <c r="A885" s="15"/>
      <c r="E885" s="18"/>
      <c r="G885" s="66"/>
      <c r="H885" s="66"/>
      <c r="I885" s="30"/>
      <c r="O885" s="53"/>
    </row>
    <row r="886" spans="1:15" ht="14.25" customHeight="1">
      <c r="A886" s="15"/>
      <c r="E886" s="18"/>
      <c r="G886" s="66"/>
      <c r="H886" s="66"/>
      <c r="I886" s="30"/>
      <c r="O886" s="53"/>
    </row>
    <row r="887" spans="1:15" ht="14.25" customHeight="1">
      <c r="A887" s="15"/>
      <c r="E887" s="18"/>
      <c r="G887" s="66"/>
      <c r="H887" s="66"/>
      <c r="I887" s="30"/>
      <c r="O887" s="53"/>
    </row>
    <row r="888" spans="1:15" ht="14.25" customHeight="1">
      <c r="A888" s="15"/>
      <c r="E888" s="18"/>
      <c r="G888" s="66"/>
      <c r="H888" s="66"/>
      <c r="I888" s="30"/>
      <c r="O888" s="53"/>
    </row>
    <row r="889" spans="1:15" ht="14.25" customHeight="1">
      <c r="A889" s="15"/>
      <c r="E889" s="18"/>
      <c r="G889" s="66"/>
      <c r="H889" s="66"/>
      <c r="I889" s="30"/>
      <c r="O889" s="53"/>
    </row>
    <row r="890" spans="1:15" ht="14.25" customHeight="1">
      <c r="A890" s="15"/>
      <c r="E890" s="18"/>
      <c r="G890" s="66"/>
      <c r="H890" s="66"/>
      <c r="I890" s="30"/>
      <c r="O890" s="53"/>
    </row>
    <row r="891" spans="1:15" ht="14.25" customHeight="1">
      <c r="A891" s="15"/>
      <c r="E891" s="18"/>
      <c r="G891" s="66"/>
      <c r="H891" s="66"/>
      <c r="I891" s="30"/>
      <c r="O891" s="53"/>
    </row>
    <row r="892" spans="1:15" ht="14.25" customHeight="1">
      <c r="A892" s="15"/>
      <c r="E892" s="18"/>
      <c r="G892" s="66"/>
      <c r="H892" s="66"/>
      <c r="I892" s="30"/>
      <c r="O892" s="53"/>
    </row>
    <row r="893" spans="1:15" ht="14.25" customHeight="1">
      <c r="A893" s="15"/>
      <c r="E893" s="18"/>
      <c r="G893" s="66"/>
      <c r="H893" s="66"/>
      <c r="I893" s="30"/>
      <c r="O893" s="53"/>
    </row>
    <row r="894" spans="1:15" ht="14.25" customHeight="1">
      <c r="A894" s="15"/>
      <c r="E894" s="18"/>
      <c r="G894" s="66"/>
      <c r="H894" s="66"/>
      <c r="I894" s="30"/>
      <c r="O894" s="53"/>
    </row>
    <row r="895" spans="1:15" ht="14.25" customHeight="1">
      <c r="A895" s="15"/>
      <c r="E895" s="18"/>
      <c r="G895" s="66"/>
      <c r="H895" s="66"/>
      <c r="I895" s="30"/>
      <c r="O895" s="53"/>
    </row>
    <row r="896" spans="1:15" ht="14.25" customHeight="1">
      <c r="A896" s="15"/>
      <c r="E896" s="18"/>
      <c r="G896" s="66"/>
      <c r="H896" s="66"/>
      <c r="I896" s="30"/>
      <c r="O896" s="53"/>
    </row>
    <row r="897" spans="1:15" ht="14.25" customHeight="1">
      <c r="A897" s="15"/>
      <c r="E897" s="18"/>
      <c r="G897" s="66"/>
      <c r="H897" s="66"/>
      <c r="I897" s="30"/>
      <c r="O897" s="53"/>
    </row>
    <row r="898" spans="1:15" ht="14.25" customHeight="1">
      <c r="A898" s="15"/>
      <c r="E898" s="18"/>
      <c r="G898" s="66"/>
      <c r="H898" s="66"/>
      <c r="I898" s="30"/>
      <c r="O898" s="53"/>
    </row>
    <row r="899" spans="1:15" ht="14.25" customHeight="1">
      <c r="A899" s="15"/>
      <c r="E899" s="18"/>
      <c r="G899" s="66"/>
      <c r="H899" s="66"/>
      <c r="I899" s="30"/>
      <c r="O899" s="53"/>
    </row>
    <row r="900" spans="1:15" ht="14.25" customHeight="1">
      <c r="A900" s="15"/>
      <c r="E900" s="18"/>
      <c r="G900" s="66"/>
      <c r="H900" s="66"/>
      <c r="I900" s="30"/>
      <c r="O900" s="53"/>
    </row>
    <row r="901" spans="1:15" ht="14.25" customHeight="1">
      <c r="A901" s="15"/>
      <c r="E901" s="18"/>
      <c r="G901" s="66"/>
      <c r="H901" s="66"/>
      <c r="I901" s="30"/>
      <c r="O901" s="53"/>
    </row>
    <row r="902" spans="1:15" ht="14.25" customHeight="1">
      <c r="A902" s="15"/>
      <c r="E902" s="18"/>
      <c r="G902" s="66"/>
      <c r="H902" s="66"/>
      <c r="I902" s="30"/>
      <c r="O902" s="53"/>
    </row>
    <row r="903" spans="1:15" ht="14.25" customHeight="1">
      <c r="A903" s="15"/>
      <c r="E903" s="18"/>
      <c r="G903" s="66"/>
      <c r="H903" s="66"/>
      <c r="I903" s="30"/>
      <c r="O903" s="53"/>
    </row>
    <row r="904" spans="1:15" ht="14.25" customHeight="1">
      <c r="A904" s="15"/>
      <c r="E904" s="18"/>
      <c r="G904" s="66"/>
      <c r="H904" s="66"/>
      <c r="I904" s="30"/>
      <c r="O904" s="53"/>
    </row>
    <row r="905" spans="1:15" ht="14.25" customHeight="1">
      <c r="A905" s="15"/>
      <c r="E905" s="18"/>
      <c r="G905" s="66"/>
      <c r="H905" s="66"/>
      <c r="I905" s="30"/>
      <c r="O905" s="53"/>
    </row>
    <row r="906" spans="1:15" ht="14.25" customHeight="1">
      <c r="A906" s="15"/>
      <c r="E906" s="18"/>
      <c r="G906" s="66"/>
      <c r="H906" s="66"/>
      <c r="I906" s="30"/>
      <c r="O906" s="53"/>
    </row>
    <row r="907" spans="1:15" ht="14.25" customHeight="1">
      <c r="A907" s="15"/>
      <c r="E907" s="18"/>
      <c r="G907" s="66"/>
      <c r="H907" s="66"/>
      <c r="I907" s="30"/>
      <c r="O907" s="53"/>
    </row>
    <row r="908" spans="1:15" ht="14.25" customHeight="1">
      <c r="A908" s="15"/>
      <c r="E908" s="18"/>
      <c r="G908" s="66"/>
      <c r="H908" s="66"/>
      <c r="I908" s="30"/>
      <c r="O908" s="53"/>
    </row>
    <row r="909" spans="1:15" ht="14.25" customHeight="1">
      <c r="A909" s="15"/>
      <c r="E909" s="18"/>
      <c r="G909" s="66"/>
      <c r="H909" s="66"/>
      <c r="I909" s="30"/>
      <c r="O909" s="53"/>
    </row>
    <row r="910" spans="1:15" ht="14.25" customHeight="1">
      <c r="A910" s="15"/>
      <c r="E910" s="18"/>
      <c r="G910" s="66"/>
      <c r="H910" s="66"/>
      <c r="I910" s="30"/>
      <c r="O910" s="53"/>
    </row>
    <row r="911" spans="1:15" ht="14.25" customHeight="1">
      <c r="A911" s="15"/>
      <c r="E911" s="18"/>
      <c r="G911" s="66"/>
      <c r="H911" s="66"/>
      <c r="I911" s="30"/>
      <c r="O911" s="53"/>
    </row>
    <row r="912" spans="1:15" ht="14.25" customHeight="1">
      <c r="A912" s="15"/>
      <c r="E912" s="18"/>
      <c r="G912" s="66"/>
      <c r="H912" s="66"/>
      <c r="I912" s="30"/>
      <c r="O912" s="53"/>
    </row>
    <row r="913" spans="1:15" ht="14.25" customHeight="1">
      <c r="A913" s="15"/>
      <c r="E913" s="18"/>
      <c r="G913" s="66"/>
      <c r="H913" s="66"/>
      <c r="I913" s="30"/>
      <c r="O913" s="53"/>
    </row>
    <row r="914" spans="1:15" ht="14.25" customHeight="1">
      <c r="A914" s="15"/>
      <c r="E914" s="18"/>
      <c r="G914" s="66"/>
      <c r="H914" s="66"/>
      <c r="I914" s="30"/>
      <c r="O914" s="53"/>
    </row>
    <row r="915" spans="1:15" ht="14.25" customHeight="1">
      <c r="A915" s="15"/>
      <c r="E915" s="18"/>
      <c r="G915" s="66"/>
      <c r="H915" s="66"/>
      <c r="I915" s="30"/>
      <c r="O915" s="53"/>
    </row>
    <row r="916" spans="1:15" ht="14.25" customHeight="1">
      <c r="A916" s="15"/>
      <c r="E916" s="18"/>
      <c r="G916" s="66"/>
      <c r="H916" s="66"/>
      <c r="I916" s="30"/>
      <c r="O916" s="53"/>
    </row>
    <row r="917" spans="1:15" ht="14.25" customHeight="1">
      <c r="A917" s="15"/>
      <c r="E917" s="18"/>
      <c r="G917" s="66"/>
      <c r="H917" s="66"/>
      <c r="I917" s="30"/>
      <c r="O917" s="53"/>
    </row>
    <row r="918" spans="1:15" ht="14.25" customHeight="1">
      <c r="A918" s="15"/>
      <c r="E918" s="18"/>
      <c r="G918" s="66"/>
      <c r="H918" s="66"/>
      <c r="I918" s="30"/>
      <c r="O918" s="53"/>
    </row>
    <row r="919" spans="1:15" ht="14.25" customHeight="1">
      <c r="A919" s="15"/>
      <c r="E919" s="18"/>
      <c r="G919" s="66"/>
      <c r="H919" s="66"/>
      <c r="I919" s="30"/>
      <c r="O919" s="53"/>
    </row>
    <row r="920" spans="1:15" ht="14.25" customHeight="1">
      <c r="A920" s="15"/>
      <c r="E920" s="18"/>
      <c r="G920" s="66"/>
      <c r="H920" s="66"/>
      <c r="I920" s="30"/>
      <c r="O920" s="53"/>
    </row>
    <row r="921" spans="1:15" ht="14.25" customHeight="1">
      <c r="A921" s="15"/>
      <c r="E921" s="18"/>
      <c r="G921" s="66"/>
      <c r="H921" s="66"/>
      <c r="I921" s="30"/>
      <c r="O921" s="53"/>
    </row>
    <row r="922" spans="1:15" ht="14.25" customHeight="1">
      <c r="A922" s="15"/>
      <c r="E922" s="18"/>
      <c r="G922" s="66"/>
      <c r="H922" s="66"/>
      <c r="I922" s="30"/>
      <c r="O922" s="53"/>
    </row>
    <row r="923" spans="1:15" ht="14.25" customHeight="1">
      <c r="A923" s="15"/>
      <c r="E923" s="18"/>
      <c r="G923" s="66"/>
      <c r="H923" s="66"/>
      <c r="I923" s="30"/>
      <c r="O923" s="53"/>
    </row>
    <row r="924" spans="1:15" ht="14.25" customHeight="1">
      <c r="A924" s="15"/>
      <c r="E924" s="18"/>
      <c r="G924" s="66"/>
      <c r="H924" s="66"/>
      <c r="I924" s="30"/>
      <c r="O924" s="53"/>
    </row>
  </sheetData>
  <sortState xmlns:xlrd2="http://schemas.microsoft.com/office/spreadsheetml/2017/richdata2" ref="A2:AN924">
    <sortCondition ref="G1:G924"/>
  </sortState>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6:A65"/>
  <sheetViews>
    <sheetView workbookViewId="0"/>
  </sheetViews>
  <sheetFormatPr defaultColWidth="12.6640625" defaultRowHeight="15" customHeight="1"/>
  <cols>
    <col min="1" max="1" width="40.6640625" customWidth="1"/>
  </cols>
  <sheetData>
    <row r="6" spans="1:1" ht="14.4">
      <c r="A6" s="28" t="s">
        <v>226</v>
      </c>
    </row>
    <row r="8" spans="1:1" ht="14.4">
      <c r="A8" s="28" t="s">
        <v>227</v>
      </c>
    </row>
    <row r="10" spans="1:1" ht="14.4">
      <c r="A10" s="28" t="s">
        <v>228</v>
      </c>
    </row>
    <row r="18" spans="1:1" ht="14.4">
      <c r="A18" s="28" t="s">
        <v>229</v>
      </c>
    </row>
    <row r="19" spans="1:1" ht="14.4">
      <c r="A19" s="28" t="s">
        <v>230</v>
      </c>
    </row>
    <row r="21" spans="1:1" ht="14.4">
      <c r="A21" s="67" t="s">
        <v>231</v>
      </c>
    </row>
    <row r="22" spans="1:1" ht="14.4">
      <c r="A22" s="15" t="s">
        <v>232</v>
      </c>
    </row>
    <row r="23" spans="1:1" ht="14.4">
      <c r="A23" s="15" t="s">
        <v>233</v>
      </c>
    </row>
    <row r="24" spans="1:1" ht="14.4">
      <c r="A24" s="28" t="s">
        <v>234</v>
      </c>
    </row>
    <row r="25" spans="1:1" ht="14.4">
      <c r="A25" s="28" t="s">
        <v>235</v>
      </c>
    </row>
    <row r="27" spans="1:1" ht="14.4">
      <c r="A27" s="28" t="s">
        <v>236</v>
      </c>
    </row>
    <row r="29" spans="1:1" ht="14.4">
      <c r="A29" s="15" t="s">
        <v>237</v>
      </c>
    </row>
    <row r="30" spans="1:1" ht="14.4">
      <c r="A30" s="45" t="s">
        <v>238</v>
      </c>
    </row>
    <row r="31" spans="1:1" ht="14.4">
      <c r="A31" s="15" t="s">
        <v>239</v>
      </c>
    </row>
    <row r="32" spans="1:1" ht="14.4">
      <c r="A32" s="15"/>
    </row>
    <row r="33" spans="1:1" ht="14.4">
      <c r="A33" s="15" t="s">
        <v>240</v>
      </c>
    </row>
    <row r="36" spans="1:1" ht="14.4">
      <c r="A36" s="28" t="s">
        <v>241</v>
      </c>
    </row>
    <row r="37" spans="1:1" ht="14.4">
      <c r="A37" s="46" t="s">
        <v>242</v>
      </c>
    </row>
    <row r="38" spans="1:1" ht="14.4">
      <c r="A38" s="28" t="s">
        <v>243</v>
      </c>
    </row>
    <row r="39" spans="1:1" ht="14.4">
      <c r="A39" s="28" t="s">
        <v>244</v>
      </c>
    </row>
    <row r="40" spans="1:1" ht="14.4">
      <c r="A40" s="38" t="s">
        <v>245</v>
      </c>
    </row>
    <row r="41" spans="1:1" ht="14.4">
      <c r="A41" s="38" t="s">
        <v>246</v>
      </c>
    </row>
    <row r="42" spans="1:1" ht="14.4">
      <c r="A42" s="15" t="s">
        <v>247</v>
      </c>
    </row>
    <row r="43" spans="1:1" ht="14.4">
      <c r="A43" s="15" t="s">
        <v>248</v>
      </c>
    </row>
    <row r="44" spans="1:1" ht="14.4">
      <c r="A44" s="15" t="s">
        <v>249</v>
      </c>
    </row>
    <row r="45" spans="1:1" ht="14.4">
      <c r="A45" s="15" t="s">
        <v>250</v>
      </c>
    </row>
    <row r="46" spans="1:1" ht="14.4">
      <c r="A46" s="15" t="s">
        <v>251</v>
      </c>
    </row>
    <row r="47" spans="1:1" ht="18" customHeight="1">
      <c r="A47" s="54" t="s">
        <v>252</v>
      </c>
    </row>
    <row r="48" spans="1:1" ht="14.4">
      <c r="A48" s="15" t="s">
        <v>253</v>
      </c>
    </row>
    <row r="49" spans="1:1" ht="14.4">
      <c r="A49" s="15" t="s">
        <v>254</v>
      </c>
    </row>
    <row r="50" spans="1:1" ht="14.4">
      <c r="A50" s="28" t="s">
        <v>255</v>
      </c>
    </row>
    <row r="51" spans="1:1" ht="14.4">
      <c r="A51" s="15" t="s">
        <v>256</v>
      </c>
    </row>
    <row r="52" spans="1:1" ht="14.4">
      <c r="A52" s="15" t="s">
        <v>257</v>
      </c>
    </row>
    <row r="53" spans="1:1" ht="14.4">
      <c r="A53" s="15" t="s">
        <v>258</v>
      </c>
    </row>
    <row r="54" spans="1:1" ht="14.4">
      <c r="A54" s="15" t="s">
        <v>259</v>
      </c>
    </row>
    <row r="55" spans="1:1" ht="14.4">
      <c r="A55" s="15" t="s">
        <v>260</v>
      </c>
    </row>
    <row r="56" spans="1:1" ht="14.4">
      <c r="A56" s="15" t="s">
        <v>261</v>
      </c>
    </row>
    <row r="57" spans="1:1" ht="14.4">
      <c r="A57" s="15" t="s">
        <v>262</v>
      </c>
    </row>
    <row r="58" spans="1:1" ht="14.4">
      <c r="A58" s="15" t="s">
        <v>263</v>
      </c>
    </row>
    <row r="59" spans="1:1" ht="14.4">
      <c r="A59" s="15" t="s">
        <v>264</v>
      </c>
    </row>
    <row r="60" spans="1:1" ht="14.4">
      <c r="A60" s="15" t="s">
        <v>265</v>
      </c>
    </row>
    <row r="61" spans="1:1" ht="14.4">
      <c r="A61" s="15" t="s">
        <v>266</v>
      </c>
    </row>
    <row r="62" spans="1:1" ht="14.4">
      <c r="A62" s="51" t="s">
        <v>267</v>
      </c>
    </row>
    <row r="63" spans="1:1" ht="14.4">
      <c r="A63" s="15" t="s">
        <v>268</v>
      </c>
    </row>
    <row r="64" spans="1:1" ht="14.4">
      <c r="A64" s="15" t="s">
        <v>269</v>
      </c>
    </row>
    <row r="65" spans="1:1" ht="14.4">
      <c r="A65" s="15" t="s">
        <v>270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23"/>
  <sheetViews>
    <sheetView workbookViewId="0"/>
  </sheetViews>
  <sheetFormatPr defaultColWidth="12.6640625" defaultRowHeight="15" customHeight="1"/>
  <sheetData>
    <row r="1" spans="1:2">
      <c r="A1" s="57"/>
      <c r="B1" s="17" t="s">
        <v>271</v>
      </c>
    </row>
    <row r="4" spans="1:2">
      <c r="A4" s="17" t="s">
        <v>272</v>
      </c>
    </row>
    <row r="6" spans="1:2">
      <c r="A6" s="17" t="s">
        <v>273</v>
      </c>
    </row>
    <row r="8" spans="1:2">
      <c r="A8" s="17" t="s">
        <v>274</v>
      </c>
    </row>
    <row r="9" spans="1:2">
      <c r="A9" s="28" t="s">
        <v>275</v>
      </c>
    </row>
    <row r="11" spans="1:2">
      <c r="A11" s="57" t="s">
        <v>276</v>
      </c>
    </row>
    <row r="12" spans="1:2">
      <c r="A12" s="68" t="s">
        <v>277</v>
      </c>
    </row>
    <row r="13" spans="1:2">
      <c r="A13" s="68" t="s">
        <v>278</v>
      </c>
    </row>
    <row r="14" spans="1:2">
      <c r="A14" s="68" t="s">
        <v>279</v>
      </c>
    </row>
    <row r="15" spans="1:2">
      <c r="A15" s="68" t="s">
        <v>280</v>
      </c>
    </row>
    <row r="16" spans="1:2">
      <c r="A16" s="68" t="s">
        <v>281</v>
      </c>
    </row>
    <row r="17" spans="1:1">
      <c r="A17" s="68"/>
    </row>
    <row r="18" spans="1:1">
      <c r="A18" s="68" t="s">
        <v>282</v>
      </c>
    </row>
    <row r="19" spans="1:1">
      <c r="A19" s="68" t="s">
        <v>283</v>
      </c>
    </row>
    <row r="23" spans="1:1">
      <c r="A23" s="68" t="s">
        <v>284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E300A-25C0-43A0-ACA0-EE2702422162}">
  <dimension ref="A1:AK111"/>
  <sheetViews>
    <sheetView tabSelected="1" workbookViewId="0">
      <selection activeCell="A4" sqref="A4"/>
    </sheetView>
  </sheetViews>
  <sheetFormatPr defaultRowHeight="14.4"/>
  <cols>
    <col min="1" max="1" width="46" customWidth="1"/>
    <col min="2" max="2" width="34.44140625" customWidth="1"/>
    <col min="11" max="11" width="23.21875" customWidth="1"/>
    <col min="15" max="15" width="19.33203125" customWidth="1"/>
    <col min="36" max="36" width="89.109375" customWidth="1"/>
    <col min="37" max="37" width="21.5546875" customWidth="1"/>
  </cols>
  <sheetData>
    <row r="1" spans="1:37" ht="39.75" customHeight="1">
      <c r="A1" s="1" t="s">
        <v>0</v>
      </c>
      <c r="B1" s="2" t="s">
        <v>1</v>
      </c>
      <c r="C1" s="3" t="s">
        <v>2</v>
      </c>
      <c r="D1" s="1" t="s">
        <v>3</v>
      </c>
      <c r="E1" s="4" t="s">
        <v>4</v>
      </c>
      <c r="F1" s="3" t="s">
        <v>5</v>
      </c>
      <c r="G1" s="5" t="s">
        <v>6</v>
      </c>
      <c r="H1" s="5" t="s">
        <v>7</v>
      </c>
      <c r="I1" s="6" t="s">
        <v>2</v>
      </c>
      <c r="K1" s="8" t="s">
        <v>10</v>
      </c>
      <c r="L1" s="9" t="s">
        <v>11</v>
      </c>
      <c r="M1" s="3" t="s">
        <v>12</v>
      </c>
      <c r="N1" s="10" t="s">
        <v>13</v>
      </c>
      <c r="O1" s="2" t="s">
        <v>14</v>
      </c>
      <c r="P1" s="3" t="s">
        <v>15</v>
      </c>
      <c r="Q1" s="3" t="s">
        <v>16</v>
      </c>
      <c r="R1" s="2" t="s">
        <v>17</v>
      </c>
      <c r="S1" s="3" t="s">
        <v>18</v>
      </c>
      <c r="T1" s="3" t="s">
        <v>19</v>
      </c>
      <c r="U1" s="1" t="s">
        <v>20</v>
      </c>
      <c r="V1" s="3" t="s">
        <v>21</v>
      </c>
      <c r="W1" s="11" t="s">
        <v>22</v>
      </c>
      <c r="X1" s="11" t="s">
        <v>23</v>
      </c>
      <c r="Y1" s="11" t="s">
        <v>24</v>
      </c>
      <c r="Z1" s="1" t="s">
        <v>25</v>
      </c>
      <c r="AA1" s="12" t="s">
        <v>26</v>
      </c>
      <c r="AB1" s="13" t="s">
        <v>27</v>
      </c>
      <c r="AC1" s="12" t="s">
        <v>28</v>
      </c>
      <c r="AD1" s="13" t="s">
        <v>29</v>
      </c>
      <c r="AE1" s="12" t="s">
        <v>30</v>
      </c>
      <c r="AF1" s="13" t="s">
        <v>31</v>
      </c>
      <c r="AG1" s="12" t="s">
        <v>32</v>
      </c>
      <c r="AH1" s="13" t="s">
        <v>33</v>
      </c>
      <c r="AI1" s="14" t="s">
        <v>34</v>
      </c>
      <c r="AJ1" s="7" t="s">
        <v>8</v>
      </c>
      <c r="AK1" s="7" t="s">
        <v>9</v>
      </c>
    </row>
    <row r="2" spans="1:37" ht="14.25" customHeight="1">
      <c r="A2" s="51" t="s">
        <v>216</v>
      </c>
      <c r="B2" s="35">
        <v>200</v>
      </c>
      <c r="C2" s="28" t="s">
        <v>40</v>
      </c>
      <c r="D2" s="15" t="s">
        <v>41</v>
      </c>
      <c r="E2" s="38" t="s">
        <v>42</v>
      </c>
      <c r="F2" s="28">
        <v>15</v>
      </c>
      <c r="G2" s="19">
        <v>1</v>
      </c>
      <c r="H2" s="19">
        <f>F2*G2</f>
        <v>15</v>
      </c>
      <c r="I2" s="38" t="s">
        <v>42</v>
      </c>
      <c r="K2" s="23">
        <v>0.24</v>
      </c>
      <c r="L2" t="s">
        <v>44</v>
      </c>
      <c r="M2" s="24">
        <v>38</v>
      </c>
      <c r="N2" s="25">
        <v>84</v>
      </c>
      <c r="T2" s="21"/>
      <c r="U2" s="21">
        <v>4</v>
      </c>
      <c r="V2" s="21">
        <v>5</v>
      </c>
      <c r="W2" s="22">
        <v>20</v>
      </c>
      <c r="X2" s="22">
        <v>24</v>
      </c>
      <c r="Y2" s="22">
        <v>28</v>
      </c>
      <c r="Z2" s="22">
        <v>39</v>
      </c>
      <c r="AA2" s="26">
        <f t="shared" ref="AA2:AA33" si="0">V2+(W2-U2-V2)*0.3</f>
        <v>8.3000000000000007</v>
      </c>
      <c r="AB2" s="27">
        <f t="shared" ref="AB2:AB33" si="1">(W2-U2-V2)*0.7</f>
        <v>7.6999999999999993</v>
      </c>
      <c r="AC2" s="26">
        <f t="shared" ref="AC2:AC33" si="2">V2+(X2-U2-V2)*0.3</f>
        <v>9.5</v>
      </c>
      <c r="AD2" s="27">
        <f t="shared" ref="AD2:AD33" si="3">(X2-U2-V2)*0.7</f>
        <v>10.5</v>
      </c>
      <c r="AE2" s="26">
        <f t="shared" ref="AE2:AE33" si="4">V2+(Y2-U2-V2)*0.3</f>
        <v>10.7</v>
      </c>
      <c r="AF2" s="27">
        <f t="shared" ref="AF2:AF33" si="5">(Y2-U2-V2)*0.7</f>
        <v>13.299999999999999</v>
      </c>
      <c r="AG2" s="26">
        <f t="shared" ref="AG2:AG33" si="6">V2+(Z2-U2-V2)*0.3</f>
        <v>14</v>
      </c>
      <c r="AH2" s="27">
        <f t="shared" ref="AH2:AH33" si="7">(Z2-U2-V2)*0.7</f>
        <v>21</v>
      </c>
      <c r="AI2" s="28" t="s">
        <v>45</v>
      </c>
      <c r="AJ2" s="21" t="s">
        <v>43</v>
      </c>
      <c r="AK2" s="22"/>
    </row>
    <row r="3" spans="1:37" ht="14.25" customHeight="1">
      <c r="A3" s="38" t="s">
        <v>216</v>
      </c>
      <c r="B3" s="35">
        <v>400</v>
      </c>
      <c r="C3" s="17" t="s">
        <v>40</v>
      </c>
      <c r="D3" s="15" t="s">
        <v>41</v>
      </c>
      <c r="E3" s="38" t="s">
        <v>42</v>
      </c>
      <c r="F3" s="28">
        <v>15</v>
      </c>
      <c r="G3" s="19">
        <v>1</v>
      </c>
      <c r="H3" s="19">
        <f>F3*G3</f>
        <v>15</v>
      </c>
      <c r="I3" s="38" t="s">
        <v>42</v>
      </c>
      <c r="K3" s="23">
        <v>0.28000000000000003</v>
      </c>
      <c r="L3" t="s">
        <v>44</v>
      </c>
      <c r="M3" s="24">
        <v>38</v>
      </c>
      <c r="N3" s="25">
        <v>84</v>
      </c>
      <c r="T3" s="21"/>
      <c r="U3" s="21">
        <v>4</v>
      </c>
      <c r="V3" s="21">
        <v>5</v>
      </c>
      <c r="W3" s="22">
        <v>20</v>
      </c>
      <c r="X3" s="21">
        <v>24</v>
      </c>
      <c r="Y3" s="21">
        <v>28</v>
      </c>
      <c r="Z3" s="21">
        <v>39</v>
      </c>
      <c r="AA3" s="26">
        <f t="shared" si="0"/>
        <v>8.3000000000000007</v>
      </c>
      <c r="AB3" s="27">
        <f t="shared" si="1"/>
        <v>7.6999999999999993</v>
      </c>
      <c r="AC3" s="26">
        <f t="shared" si="2"/>
        <v>9.5</v>
      </c>
      <c r="AD3" s="27">
        <f t="shared" si="3"/>
        <v>10.5</v>
      </c>
      <c r="AE3" s="26">
        <f t="shared" si="4"/>
        <v>10.7</v>
      </c>
      <c r="AF3" s="27">
        <f t="shared" si="5"/>
        <v>13.299999999999999</v>
      </c>
      <c r="AG3" s="26">
        <f t="shared" si="6"/>
        <v>14</v>
      </c>
      <c r="AH3" s="27">
        <f t="shared" si="7"/>
        <v>21</v>
      </c>
      <c r="AI3" s="28" t="s">
        <v>45</v>
      </c>
      <c r="AJ3" s="21" t="s">
        <v>43</v>
      </c>
      <c r="AK3" s="22"/>
    </row>
    <row r="4" spans="1:37" ht="14.25" customHeight="1">
      <c r="A4" s="15" t="s">
        <v>191</v>
      </c>
      <c r="B4" s="35">
        <v>0.1</v>
      </c>
      <c r="C4" s="17" t="s">
        <v>54</v>
      </c>
      <c r="D4" s="15" t="s">
        <v>41</v>
      </c>
      <c r="E4" s="38" t="s">
        <v>55</v>
      </c>
      <c r="F4" s="15">
        <v>45</v>
      </c>
      <c r="G4" s="19">
        <v>1</v>
      </c>
      <c r="H4" s="19">
        <f>F4*G4</f>
        <v>45</v>
      </c>
      <c r="I4" s="38" t="s">
        <v>56</v>
      </c>
      <c r="K4" s="23">
        <v>0.26</v>
      </c>
      <c r="L4" t="s">
        <v>44</v>
      </c>
      <c r="M4" s="24">
        <v>38</v>
      </c>
      <c r="N4" s="25">
        <v>84</v>
      </c>
      <c r="T4" s="21"/>
      <c r="U4" s="21">
        <v>4</v>
      </c>
      <c r="V4" s="21">
        <v>5</v>
      </c>
      <c r="W4" s="21">
        <v>20</v>
      </c>
      <c r="X4" s="21">
        <v>24</v>
      </c>
      <c r="Y4" s="21">
        <v>28</v>
      </c>
      <c r="Z4" s="21">
        <v>39</v>
      </c>
      <c r="AA4" s="26">
        <f t="shared" si="0"/>
        <v>8.3000000000000007</v>
      </c>
      <c r="AB4" s="27">
        <f t="shared" si="1"/>
        <v>7.6999999999999993</v>
      </c>
      <c r="AC4" s="26">
        <f t="shared" si="2"/>
        <v>9.5</v>
      </c>
      <c r="AD4" s="27">
        <f t="shared" si="3"/>
        <v>10.5</v>
      </c>
      <c r="AE4" s="26">
        <f t="shared" si="4"/>
        <v>10.7</v>
      </c>
      <c r="AF4" s="27">
        <f t="shared" si="5"/>
        <v>13.299999999999999</v>
      </c>
      <c r="AG4" s="26">
        <f t="shared" si="6"/>
        <v>14</v>
      </c>
      <c r="AH4" s="27">
        <f t="shared" si="7"/>
        <v>21</v>
      </c>
      <c r="AI4" s="28" t="s">
        <v>45</v>
      </c>
      <c r="AJ4" s="21" t="s">
        <v>43</v>
      </c>
      <c r="AK4" s="22"/>
    </row>
    <row r="5" spans="1:37" ht="14.25" customHeight="1">
      <c r="A5" s="15" t="s">
        <v>188</v>
      </c>
      <c r="B5" s="35">
        <v>0.1</v>
      </c>
      <c r="C5" s="17" t="s">
        <v>54</v>
      </c>
      <c r="D5" s="15" t="s">
        <v>41</v>
      </c>
      <c r="E5" s="38" t="s">
        <v>135</v>
      </c>
      <c r="F5" s="15">
        <v>45</v>
      </c>
      <c r="G5" s="19">
        <v>1</v>
      </c>
      <c r="H5" s="19">
        <f>F5*G5</f>
        <v>45</v>
      </c>
      <c r="I5" s="38" t="s">
        <v>56</v>
      </c>
      <c r="K5" s="23">
        <v>0.27</v>
      </c>
      <c r="L5" t="s">
        <v>44</v>
      </c>
      <c r="M5" s="30">
        <v>112</v>
      </c>
      <c r="N5" s="25">
        <v>84</v>
      </c>
      <c r="T5" s="21"/>
      <c r="U5" s="22">
        <v>4</v>
      </c>
      <c r="V5" s="22">
        <v>5</v>
      </c>
      <c r="W5" s="22">
        <v>20</v>
      </c>
      <c r="X5" s="22">
        <v>24</v>
      </c>
      <c r="Y5" s="22">
        <v>28</v>
      </c>
      <c r="Z5" s="22">
        <v>39</v>
      </c>
      <c r="AA5" s="26">
        <f t="shared" si="0"/>
        <v>8.3000000000000007</v>
      </c>
      <c r="AB5" s="27">
        <f t="shared" si="1"/>
        <v>7.6999999999999993</v>
      </c>
      <c r="AC5" s="26">
        <f t="shared" si="2"/>
        <v>9.5</v>
      </c>
      <c r="AD5" s="27">
        <f t="shared" si="3"/>
        <v>10.5</v>
      </c>
      <c r="AE5" s="26">
        <f t="shared" si="4"/>
        <v>10.7</v>
      </c>
      <c r="AF5" s="27">
        <f t="shared" si="5"/>
        <v>13.299999999999999</v>
      </c>
      <c r="AG5" s="26">
        <f t="shared" si="6"/>
        <v>14</v>
      </c>
      <c r="AH5" s="27">
        <f t="shared" si="7"/>
        <v>21</v>
      </c>
      <c r="AI5" s="28" t="s">
        <v>45</v>
      </c>
      <c r="AJ5" s="21" t="s">
        <v>48</v>
      </c>
      <c r="AK5" s="22"/>
    </row>
    <row r="6" spans="1:37" ht="14.25" customHeight="1">
      <c r="A6" s="76" t="s">
        <v>124</v>
      </c>
      <c r="B6" s="35">
        <v>27.5</v>
      </c>
      <c r="C6" s="17" t="s">
        <v>70</v>
      </c>
      <c r="D6" s="15" t="s">
        <v>41</v>
      </c>
      <c r="E6" s="33" t="s">
        <v>125</v>
      </c>
      <c r="F6" s="17">
        <v>1</v>
      </c>
      <c r="G6" s="19">
        <v>1</v>
      </c>
      <c r="H6" s="19">
        <f>F6*G6</f>
        <v>1</v>
      </c>
      <c r="I6" s="38" t="s">
        <v>126</v>
      </c>
      <c r="K6" s="26">
        <v>0.27</v>
      </c>
      <c r="L6" t="s">
        <v>44</v>
      </c>
      <c r="M6" s="30">
        <v>112</v>
      </c>
      <c r="N6" s="25">
        <v>84</v>
      </c>
      <c r="T6" s="21"/>
      <c r="U6" s="21">
        <v>4</v>
      </c>
      <c r="V6" s="21">
        <v>5</v>
      </c>
      <c r="W6" s="21">
        <v>20</v>
      </c>
      <c r="X6" s="21">
        <v>24</v>
      </c>
      <c r="Y6" s="21">
        <v>28</v>
      </c>
      <c r="Z6" s="21">
        <v>39</v>
      </c>
      <c r="AA6" s="26">
        <f t="shared" si="0"/>
        <v>8.3000000000000007</v>
      </c>
      <c r="AB6" s="27">
        <f t="shared" si="1"/>
        <v>7.6999999999999993</v>
      </c>
      <c r="AC6" s="26">
        <f t="shared" si="2"/>
        <v>9.5</v>
      </c>
      <c r="AD6" s="27">
        <f t="shared" si="3"/>
        <v>10.5</v>
      </c>
      <c r="AE6" s="26">
        <f t="shared" si="4"/>
        <v>10.7</v>
      </c>
      <c r="AF6" s="27">
        <f t="shared" si="5"/>
        <v>13.299999999999999</v>
      </c>
      <c r="AG6" s="26">
        <f t="shared" si="6"/>
        <v>14</v>
      </c>
      <c r="AH6" s="27">
        <f t="shared" si="7"/>
        <v>21</v>
      </c>
      <c r="AI6" s="28" t="s">
        <v>45</v>
      </c>
      <c r="AJ6" s="21" t="s">
        <v>48</v>
      </c>
      <c r="AK6" s="21"/>
    </row>
    <row r="7" spans="1:37" ht="14.25" customHeight="1">
      <c r="A7" s="15" t="s">
        <v>184</v>
      </c>
      <c r="B7" s="35">
        <v>15</v>
      </c>
      <c r="C7" s="17" t="s">
        <v>54</v>
      </c>
      <c r="D7" s="15" t="s">
        <v>41</v>
      </c>
      <c r="E7" s="38" t="s">
        <v>135</v>
      </c>
      <c r="F7" s="15">
        <v>30</v>
      </c>
      <c r="G7" s="19">
        <v>1</v>
      </c>
      <c r="H7" s="19">
        <f>F7*G7</f>
        <v>30</v>
      </c>
      <c r="I7" s="38" t="s">
        <v>56</v>
      </c>
      <c r="K7" s="26">
        <v>0.27</v>
      </c>
      <c r="L7" t="s">
        <v>44</v>
      </c>
      <c r="M7" s="28">
        <v>38</v>
      </c>
      <c r="N7" s="25">
        <v>84</v>
      </c>
      <c r="T7" s="21"/>
      <c r="U7" s="21">
        <v>4</v>
      </c>
      <c r="V7" s="21">
        <v>5</v>
      </c>
      <c r="W7" s="21">
        <v>20</v>
      </c>
      <c r="X7" s="21">
        <v>24</v>
      </c>
      <c r="Y7" s="21">
        <v>28</v>
      </c>
      <c r="Z7" s="21">
        <v>39</v>
      </c>
      <c r="AA7" s="26">
        <f t="shared" si="0"/>
        <v>8.3000000000000007</v>
      </c>
      <c r="AB7" s="27">
        <f t="shared" si="1"/>
        <v>7.6999999999999993</v>
      </c>
      <c r="AC7" s="26">
        <f t="shared" si="2"/>
        <v>9.5</v>
      </c>
      <c r="AD7" s="27">
        <f t="shared" si="3"/>
        <v>10.5</v>
      </c>
      <c r="AE7" s="26">
        <f t="shared" si="4"/>
        <v>10.7</v>
      </c>
      <c r="AF7" s="27">
        <f t="shared" si="5"/>
        <v>13.299999999999999</v>
      </c>
      <c r="AG7" s="26">
        <f t="shared" si="6"/>
        <v>14</v>
      </c>
      <c r="AH7" s="27">
        <f t="shared" si="7"/>
        <v>21</v>
      </c>
      <c r="AI7" s="28" t="s">
        <v>45</v>
      </c>
      <c r="AJ7" s="22" t="s">
        <v>49</v>
      </c>
      <c r="AK7" s="21"/>
    </row>
    <row r="8" spans="1:37" ht="14.25" customHeight="1">
      <c r="A8" s="74" t="s">
        <v>131</v>
      </c>
      <c r="B8" s="35">
        <v>0.5</v>
      </c>
      <c r="C8" s="17" t="s">
        <v>121</v>
      </c>
      <c r="D8" s="15" t="s">
        <v>41</v>
      </c>
      <c r="E8" s="33" t="s">
        <v>122</v>
      </c>
      <c r="F8" s="15">
        <v>8</v>
      </c>
      <c r="G8" s="19">
        <v>1</v>
      </c>
      <c r="H8" s="19">
        <f>F8*G8</f>
        <v>8</v>
      </c>
      <c r="I8" s="38" t="s">
        <v>106</v>
      </c>
      <c r="K8" s="26">
        <v>0.27</v>
      </c>
      <c r="L8" t="s">
        <v>44</v>
      </c>
      <c r="M8" s="28">
        <v>38</v>
      </c>
      <c r="N8" s="25">
        <v>84</v>
      </c>
      <c r="T8" s="21"/>
      <c r="U8" s="21">
        <v>4</v>
      </c>
      <c r="V8" s="21">
        <v>5</v>
      </c>
      <c r="W8" s="21">
        <v>20</v>
      </c>
      <c r="X8" s="21">
        <v>24</v>
      </c>
      <c r="Y8" s="21">
        <v>28</v>
      </c>
      <c r="Z8" s="21">
        <v>39</v>
      </c>
      <c r="AA8" s="26">
        <f t="shared" si="0"/>
        <v>8.3000000000000007</v>
      </c>
      <c r="AB8" s="27">
        <f t="shared" si="1"/>
        <v>7.6999999999999993</v>
      </c>
      <c r="AC8" s="26">
        <f t="shared" si="2"/>
        <v>9.5</v>
      </c>
      <c r="AD8" s="27">
        <f t="shared" si="3"/>
        <v>10.5</v>
      </c>
      <c r="AE8" s="26">
        <f t="shared" si="4"/>
        <v>10.7</v>
      </c>
      <c r="AF8" s="27">
        <f t="shared" si="5"/>
        <v>13.299999999999999</v>
      </c>
      <c r="AG8" s="26">
        <f t="shared" si="6"/>
        <v>14</v>
      </c>
      <c r="AH8" s="27">
        <f t="shared" si="7"/>
        <v>21</v>
      </c>
      <c r="AI8" s="28" t="s">
        <v>45</v>
      </c>
      <c r="AJ8" s="22" t="s">
        <v>49</v>
      </c>
      <c r="AK8" s="21"/>
    </row>
    <row r="9" spans="1:37" ht="14.25" customHeight="1">
      <c r="A9" s="74" t="s">
        <v>128</v>
      </c>
      <c r="B9" s="35">
        <v>0.1</v>
      </c>
      <c r="C9" s="17" t="s">
        <v>54</v>
      </c>
      <c r="D9" s="15" t="s">
        <v>41</v>
      </c>
      <c r="E9" s="33" t="s">
        <v>125</v>
      </c>
      <c r="F9" s="17">
        <v>1</v>
      </c>
      <c r="G9" s="19">
        <v>1</v>
      </c>
      <c r="H9" s="19">
        <f>F9*G9</f>
        <v>1</v>
      </c>
      <c r="I9" s="38" t="s">
        <v>126</v>
      </c>
      <c r="K9" s="26">
        <v>0.9</v>
      </c>
      <c r="L9" t="s">
        <v>44</v>
      </c>
      <c r="M9" s="28">
        <v>38</v>
      </c>
      <c r="N9" s="25">
        <v>84</v>
      </c>
      <c r="T9" s="21"/>
      <c r="U9" s="21">
        <v>4</v>
      </c>
      <c r="V9" s="21">
        <v>5</v>
      </c>
      <c r="W9" s="21">
        <v>20</v>
      </c>
      <c r="X9" s="21">
        <v>24</v>
      </c>
      <c r="Y9" s="21">
        <v>28</v>
      </c>
      <c r="Z9" s="21">
        <v>39</v>
      </c>
      <c r="AA9" s="26">
        <f t="shared" si="0"/>
        <v>8.3000000000000007</v>
      </c>
      <c r="AB9" s="27">
        <f t="shared" si="1"/>
        <v>7.6999999999999993</v>
      </c>
      <c r="AC9" s="26">
        <f t="shared" si="2"/>
        <v>9.5</v>
      </c>
      <c r="AD9" s="27">
        <f t="shared" si="3"/>
        <v>10.5</v>
      </c>
      <c r="AE9" s="26">
        <f t="shared" si="4"/>
        <v>10.7</v>
      </c>
      <c r="AF9" s="27">
        <f t="shared" si="5"/>
        <v>13.299999999999999</v>
      </c>
      <c r="AG9" s="26">
        <f t="shared" si="6"/>
        <v>14</v>
      </c>
      <c r="AH9" s="27">
        <f t="shared" si="7"/>
        <v>21</v>
      </c>
      <c r="AI9" s="28" t="s">
        <v>45</v>
      </c>
      <c r="AJ9" s="21" t="s">
        <v>43</v>
      </c>
      <c r="AK9" s="21"/>
    </row>
    <row r="10" spans="1:37" ht="14.25" customHeight="1">
      <c r="A10" s="45" t="s">
        <v>224</v>
      </c>
      <c r="B10" s="35">
        <v>250</v>
      </c>
      <c r="C10" s="17" t="s">
        <v>70</v>
      </c>
      <c r="D10" s="15" t="s">
        <v>41</v>
      </c>
      <c r="E10" s="38" t="s">
        <v>42</v>
      </c>
      <c r="F10" s="17">
        <v>4</v>
      </c>
      <c r="G10" s="19">
        <v>1</v>
      </c>
      <c r="H10" s="19">
        <f>F10*G10</f>
        <v>4</v>
      </c>
      <c r="I10" s="38" t="s">
        <v>42</v>
      </c>
      <c r="K10" s="26">
        <v>0.9</v>
      </c>
      <c r="L10" t="s">
        <v>44</v>
      </c>
      <c r="M10" s="28">
        <v>38</v>
      </c>
      <c r="N10" s="25">
        <v>84</v>
      </c>
      <c r="T10" s="21"/>
      <c r="U10" s="21">
        <v>4</v>
      </c>
      <c r="V10" s="21">
        <v>5</v>
      </c>
      <c r="W10" s="21">
        <v>20</v>
      </c>
      <c r="X10" s="21">
        <v>24</v>
      </c>
      <c r="Y10" s="21">
        <v>28</v>
      </c>
      <c r="Z10" s="21">
        <v>39</v>
      </c>
      <c r="AA10" s="26">
        <f t="shared" si="0"/>
        <v>8.3000000000000007</v>
      </c>
      <c r="AB10" s="27">
        <f t="shared" si="1"/>
        <v>7.6999999999999993</v>
      </c>
      <c r="AC10" s="26">
        <f t="shared" si="2"/>
        <v>9.5</v>
      </c>
      <c r="AD10" s="27">
        <f t="shared" si="3"/>
        <v>10.5</v>
      </c>
      <c r="AE10" s="26">
        <f t="shared" si="4"/>
        <v>10.7</v>
      </c>
      <c r="AF10" s="27">
        <f t="shared" si="5"/>
        <v>13.299999999999999</v>
      </c>
      <c r="AG10" s="26">
        <f t="shared" si="6"/>
        <v>14</v>
      </c>
      <c r="AH10" s="27">
        <f t="shared" si="7"/>
        <v>21</v>
      </c>
      <c r="AI10" s="28" t="s">
        <v>45</v>
      </c>
      <c r="AJ10" s="21" t="s">
        <v>43</v>
      </c>
      <c r="AK10" s="21"/>
    </row>
    <row r="11" spans="1:37" ht="14.25" customHeight="1">
      <c r="A11" s="45" t="s">
        <v>224</v>
      </c>
      <c r="B11" s="35">
        <v>500</v>
      </c>
      <c r="C11" s="17" t="s">
        <v>70</v>
      </c>
      <c r="D11" s="15" t="s">
        <v>41</v>
      </c>
      <c r="E11" s="38" t="s">
        <v>42</v>
      </c>
      <c r="F11" s="17">
        <v>4</v>
      </c>
      <c r="G11" s="19">
        <v>1</v>
      </c>
      <c r="H11" s="19">
        <f>F11*G11</f>
        <v>4</v>
      </c>
      <c r="I11" s="38" t="s">
        <v>42</v>
      </c>
      <c r="K11" s="34">
        <v>14.71</v>
      </c>
      <c r="L11" s="32" t="s">
        <v>53</v>
      </c>
      <c r="M11" s="17">
        <v>18</v>
      </c>
      <c r="N11" s="25">
        <v>84</v>
      </c>
      <c r="T11" s="21"/>
      <c r="U11" s="21">
        <f>K11</f>
        <v>14.71</v>
      </c>
      <c r="V11" s="21">
        <v>5</v>
      </c>
      <c r="W11" s="21">
        <f>20+(K11-4)</f>
        <v>30.71</v>
      </c>
      <c r="X11" s="21">
        <f>24+(K11-4)</f>
        <v>34.71</v>
      </c>
      <c r="Y11" s="21">
        <f>28+(K11-4)</f>
        <v>38.71</v>
      </c>
      <c r="Z11" s="21">
        <f>39+(K11-4)</f>
        <v>49.71</v>
      </c>
      <c r="AA11" s="26">
        <f t="shared" si="0"/>
        <v>8.3000000000000007</v>
      </c>
      <c r="AB11" s="27">
        <f t="shared" si="1"/>
        <v>7.6999999999999993</v>
      </c>
      <c r="AC11" s="26">
        <f t="shared" si="2"/>
        <v>9.5</v>
      </c>
      <c r="AD11" s="27">
        <f t="shared" si="3"/>
        <v>10.5</v>
      </c>
      <c r="AE11" s="26">
        <f t="shared" si="4"/>
        <v>10.7</v>
      </c>
      <c r="AF11" s="27">
        <f t="shared" si="5"/>
        <v>13.299999999999999</v>
      </c>
      <c r="AG11" s="26">
        <f t="shared" si="6"/>
        <v>14</v>
      </c>
      <c r="AH11" s="27">
        <f t="shared" si="7"/>
        <v>21</v>
      </c>
      <c r="AI11" s="28" t="s">
        <v>45</v>
      </c>
      <c r="AJ11" s="22" t="s">
        <v>52</v>
      </c>
      <c r="AK11" s="21"/>
    </row>
    <row r="12" spans="1:37" ht="14.25" customHeight="1">
      <c r="A12" s="15" t="s">
        <v>212</v>
      </c>
      <c r="B12" s="35">
        <v>2</v>
      </c>
      <c r="C12" s="17" t="s">
        <v>54</v>
      </c>
      <c r="D12" s="15" t="s">
        <v>92</v>
      </c>
      <c r="E12" s="38" t="s">
        <v>55</v>
      </c>
      <c r="F12" s="28">
        <v>15</v>
      </c>
      <c r="G12" s="19">
        <v>1</v>
      </c>
      <c r="H12" s="19">
        <f>F12*G12</f>
        <v>15</v>
      </c>
      <c r="I12" s="38" t="s">
        <v>56</v>
      </c>
      <c r="K12" s="31">
        <f>19.12/2</f>
        <v>9.56</v>
      </c>
      <c r="L12" s="32" t="s">
        <v>53</v>
      </c>
      <c r="M12" s="17">
        <v>18</v>
      </c>
      <c r="N12" s="25">
        <v>84</v>
      </c>
      <c r="T12" s="21"/>
      <c r="U12" s="21">
        <v>8</v>
      </c>
      <c r="V12" s="21">
        <v>5</v>
      </c>
      <c r="W12" s="21">
        <f>20+(U12-4)</f>
        <v>24</v>
      </c>
      <c r="X12" s="21">
        <f>24+(U12-4)</f>
        <v>28</v>
      </c>
      <c r="Y12" s="21">
        <f>28+(U12-4)</f>
        <v>32</v>
      </c>
      <c r="Z12" s="21">
        <f>39+(U12-4)</f>
        <v>43</v>
      </c>
      <c r="AA12" s="26">
        <f t="shared" si="0"/>
        <v>8.3000000000000007</v>
      </c>
      <c r="AB12" s="27">
        <f t="shared" si="1"/>
        <v>7.6999999999999993</v>
      </c>
      <c r="AC12" s="26">
        <f t="shared" si="2"/>
        <v>9.5</v>
      </c>
      <c r="AD12" s="27">
        <f t="shared" si="3"/>
        <v>10.5</v>
      </c>
      <c r="AE12" s="26">
        <f t="shared" si="4"/>
        <v>10.7</v>
      </c>
      <c r="AF12" s="27">
        <f t="shared" si="5"/>
        <v>13.299999999999999</v>
      </c>
      <c r="AG12" s="26">
        <f t="shared" si="6"/>
        <v>14</v>
      </c>
      <c r="AH12" s="27">
        <f t="shared" si="7"/>
        <v>21</v>
      </c>
      <c r="AI12" s="28" t="s">
        <v>45</v>
      </c>
      <c r="AJ12" s="22" t="s">
        <v>52</v>
      </c>
      <c r="AK12" s="21"/>
    </row>
    <row r="13" spans="1:37" ht="14.25" customHeight="1">
      <c r="A13" s="15" t="s">
        <v>214</v>
      </c>
      <c r="B13" s="35">
        <v>2</v>
      </c>
      <c r="C13" s="17" t="s">
        <v>54</v>
      </c>
      <c r="D13" s="15" t="s">
        <v>92</v>
      </c>
      <c r="E13" s="38" t="s">
        <v>156</v>
      </c>
      <c r="F13" s="17">
        <v>3</v>
      </c>
      <c r="G13" s="19">
        <v>1</v>
      </c>
      <c r="H13" s="19">
        <f>F13*G13</f>
        <v>3</v>
      </c>
      <c r="I13" s="38" t="s">
        <v>56</v>
      </c>
      <c r="K13" s="26">
        <v>5</v>
      </c>
      <c r="L13" s="32" t="s">
        <v>53</v>
      </c>
      <c r="M13" s="17">
        <v>30</v>
      </c>
      <c r="N13" s="25">
        <v>84</v>
      </c>
      <c r="T13" s="21"/>
      <c r="U13" s="21">
        <v>4</v>
      </c>
      <c r="V13" s="21">
        <v>5</v>
      </c>
      <c r="W13" s="21">
        <v>20</v>
      </c>
      <c r="X13" s="21">
        <v>24</v>
      </c>
      <c r="Y13" s="21">
        <v>28</v>
      </c>
      <c r="Z13" s="21">
        <v>39</v>
      </c>
      <c r="AA13" s="26">
        <f t="shared" si="0"/>
        <v>8.3000000000000007</v>
      </c>
      <c r="AB13" s="27">
        <f t="shared" si="1"/>
        <v>7.6999999999999993</v>
      </c>
      <c r="AC13" s="26">
        <f t="shared" si="2"/>
        <v>9.5</v>
      </c>
      <c r="AD13" s="27">
        <f t="shared" si="3"/>
        <v>10.5</v>
      </c>
      <c r="AE13" s="26">
        <f t="shared" si="4"/>
        <v>10.7</v>
      </c>
      <c r="AF13" s="27">
        <f t="shared" si="5"/>
        <v>13.299999999999999</v>
      </c>
      <c r="AG13" s="26">
        <f t="shared" si="6"/>
        <v>14</v>
      </c>
      <c r="AH13" s="27">
        <f t="shared" si="7"/>
        <v>21</v>
      </c>
      <c r="AI13" s="28" t="s">
        <v>45</v>
      </c>
      <c r="AJ13" s="21" t="s">
        <v>57</v>
      </c>
      <c r="AK13" s="21"/>
    </row>
    <row r="14" spans="1:37" ht="14.25" customHeight="1">
      <c r="A14" s="15" t="s">
        <v>213</v>
      </c>
      <c r="B14" s="35">
        <v>2</v>
      </c>
      <c r="C14" s="17" t="s">
        <v>54</v>
      </c>
      <c r="D14" s="15" t="s">
        <v>92</v>
      </c>
      <c r="E14" s="38" t="s">
        <v>156</v>
      </c>
      <c r="F14" s="17">
        <v>15</v>
      </c>
      <c r="G14" s="19">
        <v>1</v>
      </c>
      <c r="H14" s="19">
        <f>F14*G14</f>
        <v>15</v>
      </c>
      <c r="I14" s="38" t="s">
        <v>56</v>
      </c>
      <c r="K14" s="34">
        <v>11</v>
      </c>
      <c r="L14" s="32" t="s">
        <v>53</v>
      </c>
      <c r="M14" s="17">
        <v>30</v>
      </c>
      <c r="N14" s="25">
        <v>84</v>
      </c>
      <c r="T14" s="21"/>
      <c r="U14" s="21">
        <f>K14</f>
        <v>11</v>
      </c>
      <c r="V14" s="21">
        <v>5</v>
      </c>
      <c r="W14" s="21">
        <f>20+(K14-4)</f>
        <v>27</v>
      </c>
      <c r="X14" s="21">
        <f>24+(K14-4)</f>
        <v>31</v>
      </c>
      <c r="Y14" s="21">
        <f>28+(K14-4)</f>
        <v>35</v>
      </c>
      <c r="Z14" s="21">
        <f>39+(K14-4)</f>
        <v>46</v>
      </c>
      <c r="AA14" s="26">
        <f t="shared" si="0"/>
        <v>8.3000000000000007</v>
      </c>
      <c r="AB14" s="27">
        <f t="shared" si="1"/>
        <v>7.6999999999999993</v>
      </c>
      <c r="AC14" s="26">
        <f t="shared" si="2"/>
        <v>9.5</v>
      </c>
      <c r="AD14" s="27">
        <f t="shared" si="3"/>
        <v>10.5</v>
      </c>
      <c r="AE14" s="26">
        <f t="shared" si="4"/>
        <v>10.7</v>
      </c>
      <c r="AF14" s="27">
        <f t="shared" si="5"/>
        <v>13.299999999999999</v>
      </c>
      <c r="AG14" s="26">
        <f t="shared" si="6"/>
        <v>14</v>
      </c>
      <c r="AH14" s="27">
        <f t="shared" si="7"/>
        <v>21</v>
      </c>
      <c r="AI14" s="28" t="s">
        <v>45</v>
      </c>
      <c r="AJ14" s="21" t="s">
        <v>57</v>
      </c>
      <c r="AK14" s="21"/>
    </row>
    <row r="15" spans="1:37" ht="14.25" customHeight="1">
      <c r="A15" s="15" t="s">
        <v>171</v>
      </c>
      <c r="B15" s="35">
        <v>0.1</v>
      </c>
      <c r="C15" s="17" t="s">
        <v>54</v>
      </c>
      <c r="D15" s="15" t="s">
        <v>41</v>
      </c>
      <c r="E15" s="38" t="s">
        <v>55</v>
      </c>
      <c r="F15" s="15">
        <v>30</v>
      </c>
      <c r="G15" s="19">
        <v>1</v>
      </c>
      <c r="H15" s="19">
        <f>F15*G15</f>
        <v>30</v>
      </c>
      <c r="I15" s="38" t="s">
        <v>56</v>
      </c>
      <c r="K15" s="26">
        <v>1.77</v>
      </c>
      <c r="L15" s="32" t="s">
        <v>59</v>
      </c>
      <c r="M15" s="28">
        <v>112</v>
      </c>
      <c r="N15" s="25">
        <v>84</v>
      </c>
      <c r="T15" s="21"/>
      <c r="U15" s="21">
        <v>4</v>
      </c>
      <c r="V15" s="21">
        <v>5</v>
      </c>
      <c r="W15" s="21">
        <v>20</v>
      </c>
      <c r="X15" s="21">
        <v>24</v>
      </c>
      <c r="Y15" s="21">
        <v>28</v>
      </c>
      <c r="Z15" s="21">
        <v>39</v>
      </c>
      <c r="AA15" s="26">
        <f t="shared" si="0"/>
        <v>8.3000000000000007</v>
      </c>
      <c r="AB15" s="27">
        <f t="shared" si="1"/>
        <v>7.6999999999999993</v>
      </c>
      <c r="AC15" s="26">
        <f t="shared" si="2"/>
        <v>9.5</v>
      </c>
      <c r="AD15" s="27">
        <f t="shared" si="3"/>
        <v>10.5</v>
      </c>
      <c r="AE15" s="26">
        <f t="shared" si="4"/>
        <v>10.7</v>
      </c>
      <c r="AF15" s="27">
        <f t="shared" si="5"/>
        <v>13.299999999999999</v>
      </c>
      <c r="AG15" s="26">
        <f t="shared" si="6"/>
        <v>14</v>
      </c>
      <c r="AH15" s="27">
        <f t="shared" si="7"/>
        <v>21</v>
      </c>
      <c r="AI15" s="28" t="s">
        <v>45</v>
      </c>
      <c r="AJ15" s="21" t="s">
        <v>48</v>
      </c>
      <c r="AK15" s="21"/>
    </row>
    <row r="16" spans="1:37" ht="14.25" customHeight="1">
      <c r="A16" s="15" t="s">
        <v>173</v>
      </c>
      <c r="B16" s="35">
        <v>0.1</v>
      </c>
      <c r="C16" s="17" t="s">
        <v>54</v>
      </c>
      <c r="D16" s="15" t="s">
        <v>41</v>
      </c>
      <c r="E16" s="38" t="s">
        <v>156</v>
      </c>
      <c r="F16" s="15">
        <v>100</v>
      </c>
      <c r="G16" s="19">
        <v>1</v>
      </c>
      <c r="H16" s="19">
        <f>F16*G16</f>
        <v>100</v>
      </c>
      <c r="I16" s="38" t="s">
        <v>56</v>
      </c>
      <c r="K16" s="26">
        <f>9.4/3</f>
        <v>3.1333333333333333</v>
      </c>
      <c r="L16" s="32" t="s">
        <v>63</v>
      </c>
      <c r="M16" s="17">
        <v>60</v>
      </c>
      <c r="N16" s="25">
        <v>84</v>
      </c>
      <c r="T16" s="21"/>
      <c r="U16" s="21">
        <v>4</v>
      </c>
      <c r="V16" s="21">
        <v>5</v>
      </c>
      <c r="W16" s="22">
        <v>20</v>
      </c>
      <c r="X16" s="21">
        <v>24</v>
      </c>
      <c r="Y16" s="21">
        <v>28</v>
      </c>
      <c r="Z16" s="21">
        <v>39</v>
      </c>
      <c r="AA16" s="26">
        <f t="shared" si="0"/>
        <v>8.3000000000000007</v>
      </c>
      <c r="AB16" s="27">
        <f t="shared" si="1"/>
        <v>7.6999999999999993</v>
      </c>
      <c r="AC16" s="26">
        <f t="shared" si="2"/>
        <v>9.5</v>
      </c>
      <c r="AD16" s="27">
        <f t="shared" si="3"/>
        <v>10.5</v>
      </c>
      <c r="AE16" s="26">
        <f t="shared" si="4"/>
        <v>10.7</v>
      </c>
      <c r="AF16" s="27">
        <f t="shared" si="5"/>
        <v>13.299999999999999</v>
      </c>
      <c r="AG16" s="26">
        <f t="shared" si="6"/>
        <v>14</v>
      </c>
      <c r="AH16" s="27">
        <f t="shared" si="7"/>
        <v>21</v>
      </c>
      <c r="AI16" s="28" t="s">
        <v>45</v>
      </c>
      <c r="AJ16" s="21" t="s">
        <v>62</v>
      </c>
      <c r="AK16" s="21"/>
    </row>
    <row r="17" spans="1:37" ht="14.25" customHeight="1">
      <c r="A17" s="74" t="s">
        <v>144</v>
      </c>
      <c r="B17" s="35">
        <v>0.1</v>
      </c>
      <c r="C17" s="17" t="s">
        <v>54</v>
      </c>
      <c r="D17" s="15" t="s">
        <v>41</v>
      </c>
      <c r="E17" s="38" t="s">
        <v>140</v>
      </c>
      <c r="F17" s="15">
        <v>100</v>
      </c>
      <c r="G17" s="19">
        <v>1</v>
      </c>
      <c r="H17" s="19">
        <f>F17*G17</f>
        <v>100</v>
      </c>
      <c r="I17" s="38" t="s">
        <v>106</v>
      </c>
      <c r="K17" s="31">
        <f>22.16/3</f>
        <v>7.3866666666666667</v>
      </c>
      <c r="L17" s="32" t="s">
        <v>63</v>
      </c>
      <c r="M17" s="17">
        <v>60</v>
      </c>
      <c r="N17" s="25">
        <v>84</v>
      </c>
      <c r="T17" s="21"/>
      <c r="U17" s="21">
        <v>8</v>
      </c>
      <c r="V17" s="21">
        <v>5</v>
      </c>
      <c r="W17" s="21">
        <f>20+(U17-4)</f>
        <v>24</v>
      </c>
      <c r="X17" s="21">
        <f>24+(U17-4)</f>
        <v>28</v>
      </c>
      <c r="Y17" s="21">
        <f>28+(U17-4)</f>
        <v>32</v>
      </c>
      <c r="Z17" s="21">
        <f>39+(U17-4)</f>
        <v>43</v>
      </c>
      <c r="AA17" s="26">
        <f t="shared" si="0"/>
        <v>8.3000000000000007</v>
      </c>
      <c r="AB17" s="27">
        <f t="shared" si="1"/>
        <v>7.6999999999999993</v>
      </c>
      <c r="AC17" s="26">
        <f t="shared" si="2"/>
        <v>9.5</v>
      </c>
      <c r="AD17" s="27">
        <f t="shared" si="3"/>
        <v>10.5</v>
      </c>
      <c r="AE17" s="26">
        <f t="shared" si="4"/>
        <v>10.7</v>
      </c>
      <c r="AF17" s="27">
        <f t="shared" si="5"/>
        <v>13.299999999999999</v>
      </c>
      <c r="AG17" s="26">
        <f t="shared" si="6"/>
        <v>14</v>
      </c>
      <c r="AH17" s="27">
        <f t="shared" si="7"/>
        <v>21</v>
      </c>
      <c r="AI17" s="28" t="s">
        <v>45</v>
      </c>
      <c r="AJ17" s="21" t="s">
        <v>62</v>
      </c>
      <c r="AK17" s="21"/>
    </row>
    <row r="18" spans="1:37" ht="14.25" customHeight="1">
      <c r="A18" s="74" t="s">
        <v>108</v>
      </c>
      <c r="B18" s="35" t="s">
        <v>109</v>
      </c>
      <c r="C18" s="17" t="s">
        <v>54</v>
      </c>
      <c r="D18" s="15" t="s">
        <v>92</v>
      </c>
      <c r="E18" s="38" t="s">
        <v>110</v>
      </c>
      <c r="F18" s="28">
        <v>10</v>
      </c>
      <c r="G18" s="19">
        <v>1</v>
      </c>
      <c r="H18" s="19">
        <f>F18*G18</f>
        <v>10</v>
      </c>
      <c r="I18" s="38" t="s">
        <v>106</v>
      </c>
      <c r="K18" s="34">
        <v>53.17</v>
      </c>
      <c r="L18" s="32" t="s">
        <v>67</v>
      </c>
      <c r="M18" s="28">
        <v>180</v>
      </c>
      <c r="N18" s="25">
        <v>84</v>
      </c>
      <c r="T18" s="21"/>
      <c r="U18" s="21">
        <f>K18</f>
        <v>53.17</v>
      </c>
      <c r="V18" s="21">
        <v>5</v>
      </c>
      <c r="W18" s="21">
        <f>20+(U18-4)</f>
        <v>69.17</v>
      </c>
      <c r="X18" s="21">
        <f>24+(U18-4)</f>
        <v>73.17</v>
      </c>
      <c r="Y18" s="21">
        <f>28+(U18-4)</f>
        <v>77.17</v>
      </c>
      <c r="Z18" s="21">
        <f>39+(U18-4)</f>
        <v>88.17</v>
      </c>
      <c r="AA18" s="26">
        <f t="shared" si="0"/>
        <v>8.3000000000000007</v>
      </c>
      <c r="AB18" s="27">
        <f t="shared" si="1"/>
        <v>7.6999999999999993</v>
      </c>
      <c r="AC18" s="26">
        <f t="shared" si="2"/>
        <v>9.5</v>
      </c>
      <c r="AD18" s="27">
        <f t="shared" si="3"/>
        <v>10.5</v>
      </c>
      <c r="AE18" s="26">
        <f t="shared" si="4"/>
        <v>10.7</v>
      </c>
      <c r="AF18" s="27">
        <f t="shared" si="5"/>
        <v>13.299999999999999</v>
      </c>
      <c r="AG18" s="26">
        <f t="shared" si="6"/>
        <v>14</v>
      </c>
      <c r="AH18" s="27">
        <f t="shared" si="7"/>
        <v>21</v>
      </c>
      <c r="AI18" s="28" t="s">
        <v>45</v>
      </c>
      <c r="AJ18" s="21" t="s">
        <v>66</v>
      </c>
      <c r="AK18" s="21"/>
    </row>
    <row r="19" spans="1:37" ht="14.25" customHeight="1">
      <c r="A19" s="15" t="s">
        <v>208</v>
      </c>
      <c r="B19" s="35">
        <v>1</v>
      </c>
      <c r="C19" s="17" t="s">
        <v>54</v>
      </c>
      <c r="D19" s="15" t="s">
        <v>41</v>
      </c>
      <c r="E19" s="38" t="s">
        <v>55</v>
      </c>
      <c r="F19" s="15">
        <v>30</v>
      </c>
      <c r="G19" s="19">
        <v>1</v>
      </c>
      <c r="H19" s="19">
        <f>F19*G19</f>
        <v>30</v>
      </c>
      <c r="I19" s="38" t="s">
        <v>56</v>
      </c>
      <c r="K19" s="39">
        <v>2.83</v>
      </c>
      <c r="L19" s="32" t="s">
        <v>72</v>
      </c>
      <c r="M19" s="17">
        <v>252</v>
      </c>
      <c r="N19" s="28">
        <v>308</v>
      </c>
      <c r="T19" s="21"/>
      <c r="U19" s="21">
        <v>4</v>
      </c>
      <c r="V19" s="21">
        <v>5</v>
      </c>
      <c r="W19" s="21">
        <v>20</v>
      </c>
      <c r="X19" s="21">
        <v>24</v>
      </c>
      <c r="Y19" s="21">
        <v>28</v>
      </c>
      <c r="Z19" s="21">
        <v>39</v>
      </c>
      <c r="AA19" s="26">
        <f t="shared" si="0"/>
        <v>8.3000000000000007</v>
      </c>
      <c r="AB19" s="27">
        <f t="shared" si="1"/>
        <v>7.6999999999999993</v>
      </c>
      <c r="AC19" s="26">
        <f t="shared" si="2"/>
        <v>9.5</v>
      </c>
      <c r="AD19" s="27">
        <f t="shared" si="3"/>
        <v>10.5</v>
      </c>
      <c r="AE19" s="26">
        <f t="shared" si="4"/>
        <v>10.7</v>
      </c>
      <c r="AF19" s="27">
        <f t="shared" si="5"/>
        <v>13.299999999999999</v>
      </c>
      <c r="AG19" s="26">
        <f t="shared" si="6"/>
        <v>14</v>
      </c>
      <c r="AH19" s="27">
        <f t="shared" si="7"/>
        <v>21</v>
      </c>
      <c r="AI19" s="28" t="s">
        <v>45</v>
      </c>
      <c r="AJ19" s="15" t="s">
        <v>71</v>
      </c>
      <c r="AK19" s="32"/>
    </row>
    <row r="20" spans="1:37" ht="14.25" customHeight="1">
      <c r="A20" s="77" t="s">
        <v>142</v>
      </c>
      <c r="B20" s="47" t="s">
        <v>143</v>
      </c>
      <c r="C20" s="17" t="s">
        <v>54</v>
      </c>
      <c r="D20" s="15" t="s">
        <v>41</v>
      </c>
      <c r="E20" s="38" t="s">
        <v>140</v>
      </c>
      <c r="F20" s="17">
        <v>250</v>
      </c>
      <c r="G20" s="19">
        <v>1</v>
      </c>
      <c r="H20" s="19">
        <f>F20*G20</f>
        <v>250</v>
      </c>
      <c r="I20" s="15" t="s">
        <v>106</v>
      </c>
      <c r="K20" s="39">
        <v>2.57</v>
      </c>
      <c r="L20" s="32" t="s">
        <v>72</v>
      </c>
      <c r="M20" s="17">
        <v>336</v>
      </c>
      <c r="N20" s="28">
        <v>308</v>
      </c>
      <c r="T20" s="21"/>
      <c r="U20" s="21">
        <v>4</v>
      </c>
      <c r="V20" s="21">
        <v>5</v>
      </c>
      <c r="W20" s="21">
        <v>20</v>
      </c>
      <c r="X20" s="21">
        <v>24</v>
      </c>
      <c r="Y20" s="21">
        <v>28</v>
      </c>
      <c r="Z20" s="21">
        <v>39</v>
      </c>
      <c r="AA20" s="26">
        <f t="shared" si="0"/>
        <v>8.3000000000000007</v>
      </c>
      <c r="AB20" s="27">
        <f t="shared" si="1"/>
        <v>7.6999999999999993</v>
      </c>
      <c r="AC20" s="26">
        <f t="shared" si="2"/>
        <v>9.5</v>
      </c>
      <c r="AD20" s="27">
        <f t="shared" si="3"/>
        <v>10.5</v>
      </c>
      <c r="AE20" s="26">
        <f t="shared" si="4"/>
        <v>10.7</v>
      </c>
      <c r="AF20" s="27">
        <f t="shared" si="5"/>
        <v>13.299999999999999</v>
      </c>
      <c r="AG20" s="26">
        <f t="shared" si="6"/>
        <v>14</v>
      </c>
      <c r="AH20" s="27">
        <f t="shared" si="7"/>
        <v>21</v>
      </c>
      <c r="AI20" s="28" t="s">
        <v>45</v>
      </c>
      <c r="AJ20" s="32"/>
      <c r="AK20" s="32"/>
    </row>
    <row r="21" spans="1:37" ht="14.25" customHeight="1">
      <c r="A21" s="15" t="s">
        <v>83</v>
      </c>
      <c r="B21" s="35">
        <v>75</v>
      </c>
      <c r="C21" s="17" t="s">
        <v>70</v>
      </c>
      <c r="D21" s="15" t="s">
        <v>41</v>
      </c>
      <c r="E21" s="33" t="s">
        <v>42</v>
      </c>
      <c r="F21" s="17">
        <f>84*1</f>
        <v>84</v>
      </c>
      <c r="G21" s="19">
        <v>1</v>
      </c>
      <c r="H21" s="19">
        <f>F21*G21</f>
        <v>84</v>
      </c>
      <c r="I21" s="38" t="s">
        <v>42</v>
      </c>
      <c r="K21" s="39">
        <v>1.88</v>
      </c>
      <c r="L21" s="32" t="s">
        <v>72</v>
      </c>
      <c r="M21" s="17">
        <v>252</v>
      </c>
      <c r="N21" s="28">
        <v>308</v>
      </c>
      <c r="T21" s="21"/>
      <c r="U21" s="21">
        <v>4</v>
      </c>
      <c r="V21" s="21">
        <v>5</v>
      </c>
      <c r="W21" s="21">
        <v>20</v>
      </c>
      <c r="X21" s="21">
        <v>24</v>
      </c>
      <c r="Y21" s="21">
        <v>28</v>
      </c>
      <c r="Z21" s="21">
        <v>39</v>
      </c>
      <c r="AA21" s="26">
        <f t="shared" si="0"/>
        <v>8.3000000000000007</v>
      </c>
      <c r="AB21" s="27">
        <f t="shared" si="1"/>
        <v>7.6999999999999993</v>
      </c>
      <c r="AC21" s="26">
        <f t="shared" si="2"/>
        <v>9.5</v>
      </c>
      <c r="AD21" s="27">
        <f t="shared" si="3"/>
        <v>10.5</v>
      </c>
      <c r="AE21" s="26">
        <f t="shared" si="4"/>
        <v>10.7</v>
      </c>
      <c r="AF21" s="27">
        <f t="shared" si="5"/>
        <v>13.299999999999999</v>
      </c>
      <c r="AG21" s="26">
        <f t="shared" si="6"/>
        <v>14</v>
      </c>
      <c r="AH21" s="27">
        <f t="shared" si="7"/>
        <v>21</v>
      </c>
      <c r="AI21" s="28" t="s">
        <v>45</v>
      </c>
      <c r="AJ21" s="15" t="s">
        <v>71</v>
      </c>
      <c r="AK21" s="32"/>
    </row>
    <row r="22" spans="1:37" ht="14.25" customHeight="1">
      <c r="A22" s="15" t="s">
        <v>218</v>
      </c>
      <c r="B22" s="35">
        <v>0.05</v>
      </c>
      <c r="C22" s="17" t="s">
        <v>54</v>
      </c>
      <c r="D22" s="15" t="s">
        <v>41</v>
      </c>
      <c r="E22" s="38" t="s">
        <v>55</v>
      </c>
      <c r="F22" s="15">
        <v>30</v>
      </c>
      <c r="G22" s="19">
        <v>1</v>
      </c>
      <c r="H22" s="19">
        <f>F22*G22</f>
        <v>30</v>
      </c>
      <c r="I22" s="38" t="s">
        <v>56</v>
      </c>
      <c r="K22" s="39">
        <v>2.8</v>
      </c>
      <c r="L22" s="32" t="s">
        <v>72</v>
      </c>
      <c r="M22" s="17">
        <v>252</v>
      </c>
      <c r="N22" s="28">
        <v>308</v>
      </c>
      <c r="T22" s="21"/>
      <c r="U22" s="21">
        <v>4</v>
      </c>
      <c r="V22" s="21">
        <v>5</v>
      </c>
      <c r="W22" s="21">
        <v>20</v>
      </c>
      <c r="X22" s="21">
        <v>24</v>
      </c>
      <c r="Y22" s="21">
        <v>28</v>
      </c>
      <c r="Z22" s="21">
        <v>39</v>
      </c>
      <c r="AA22" s="26">
        <f t="shared" si="0"/>
        <v>8.3000000000000007</v>
      </c>
      <c r="AB22" s="27">
        <f t="shared" si="1"/>
        <v>7.6999999999999993</v>
      </c>
      <c r="AC22" s="26">
        <f t="shared" si="2"/>
        <v>9.5</v>
      </c>
      <c r="AD22" s="27">
        <f t="shared" si="3"/>
        <v>10.5</v>
      </c>
      <c r="AE22" s="26">
        <f t="shared" si="4"/>
        <v>10.7</v>
      </c>
      <c r="AF22" s="27">
        <f t="shared" si="5"/>
        <v>13.299999999999999</v>
      </c>
      <c r="AG22" s="26">
        <f t="shared" si="6"/>
        <v>14</v>
      </c>
      <c r="AH22" s="27">
        <f t="shared" si="7"/>
        <v>21</v>
      </c>
      <c r="AI22" s="28" t="s">
        <v>45</v>
      </c>
      <c r="AJ22" s="15" t="s">
        <v>71</v>
      </c>
      <c r="AK22" s="32"/>
    </row>
    <row r="23" spans="1:37" ht="14.25" customHeight="1">
      <c r="A23" s="15" t="s">
        <v>219</v>
      </c>
      <c r="B23" s="35">
        <v>0.05</v>
      </c>
      <c r="C23" s="17" t="s">
        <v>54</v>
      </c>
      <c r="D23" s="15" t="s">
        <v>41</v>
      </c>
      <c r="E23" s="38" t="s">
        <v>156</v>
      </c>
      <c r="F23" s="15">
        <v>100</v>
      </c>
      <c r="G23" s="19">
        <v>1</v>
      </c>
      <c r="H23" s="19">
        <f>F23*G23</f>
        <v>100</v>
      </c>
      <c r="I23" s="38" t="s">
        <v>56</v>
      </c>
      <c r="K23" s="39">
        <f>5.85*1</f>
        <v>5.85</v>
      </c>
      <c r="L23" s="32" t="s">
        <v>72</v>
      </c>
      <c r="M23" s="17">
        <v>252</v>
      </c>
      <c r="N23" s="28">
        <v>308</v>
      </c>
      <c r="T23" s="21"/>
      <c r="U23" s="21">
        <v>4</v>
      </c>
      <c r="V23" s="21">
        <v>5</v>
      </c>
      <c r="W23" s="21">
        <v>20</v>
      </c>
      <c r="X23" s="21">
        <v>24</v>
      </c>
      <c r="Y23" s="21">
        <v>28</v>
      </c>
      <c r="Z23" s="21">
        <v>39</v>
      </c>
      <c r="AA23" s="26">
        <f t="shared" si="0"/>
        <v>8.3000000000000007</v>
      </c>
      <c r="AB23" s="27">
        <f t="shared" si="1"/>
        <v>7.6999999999999993</v>
      </c>
      <c r="AC23" s="26">
        <f t="shared" si="2"/>
        <v>9.5</v>
      </c>
      <c r="AD23" s="27">
        <f t="shared" si="3"/>
        <v>10.5</v>
      </c>
      <c r="AE23" s="26">
        <f t="shared" si="4"/>
        <v>10.7</v>
      </c>
      <c r="AF23" s="27">
        <f t="shared" si="5"/>
        <v>13.299999999999999</v>
      </c>
      <c r="AG23" s="26">
        <f t="shared" si="6"/>
        <v>14</v>
      </c>
      <c r="AH23" s="27">
        <f t="shared" si="7"/>
        <v>21</v>
      </c>
      <c r="AI23" s="28" t="s">
        <v>45</v>
      </c>
      <c r="AJ23" s="15" t="s">
        <v>71</v>
      </c>
      <c r="AK23" s="32"/>
    </row>
    <row r="24" spans="1:37" ht="14.25" customHeight="1">
      <c r="A24" s="15" t="s">
        <v>176</v>
      </c>
      <c r="B24" s="35">
        <v>0.05</v>
      </c>
      <c r="C24" s="17" t="s">
        <v>54</v>
      </c>
      <c r="D24" s="15" t="s">
        <v>41</v>
      </c>
      <c r="E24" s="38" t="s">
        <v>55</v>
      </c>
      <c r="F24" s="15">
        <v>30</v>
      </c>
      <c r="G24" s="19">
        <v>1</v>
      </c>
      <c r="H24" s="19">
        <f>F24*G24</f>
        <v>30</v>
      </c>
      <c r="I24" s="38" t="s">
        <v>56</v>
      </c>
      <c r="K24" s="37">
        <v>14.7</v>
      </c>
      <c r="L24" s="32" t="s">
        <v>72</v>
      </c>
      <c r="M24" s="17">
        <v>252</v>
      </c>
      <c r="N24" s="28">
        <v>308</v>
      </c>
      <c r="T24" s="21"/>
      <c r="U24" s="21">
        <f>K24</f>
        <v>14.7</v>
      </c>
      <c r="V24" s="21">
        <v>5</v>
      </c>
      <c r="W24" s="21">
        <f>20+(U24-4)</f>
        <v>30.7</v>
      </c>
      <c r="X24" s="21">
        <f>24+(U24-4)</f>
        <v>34.700000000000003</v>
      </c>
      <c r="Y24" s="21">
        <f>28+(U24-4)</f>
        <v>38.700000000000003</v>
      </c>
      <c r="Z24" s="21">
        <f>39+(U24-4)</f>
        <v>49.7</v>
      </c>
      <c r="AA24" s="26">
        <f t="shared" si="0"/>
        <v>8.3000000000000007</v>
      </c>
      <c r="AB24" s="27">
        <f t="shared" si="1"/>
        <v>7.6999999999999993</v>
      </c>
      <c r="AC24" s="26">
        <f t="shared" si="2"/>
        <v>9.5</v>
      </c>
      <c r="AD24" s="27">
        <f t="shared" si="3"/>
        <v>10.500000000000002</v>
      </c>
      <c r="AE24" s="26">
        <f t="shared" si="4"/>
        <v>10.700000000000001</v>
      </c>
      <c r="AF24" s="27">
        <f t="shared" si="5"/>
        <v>13.300000000000002</v>
      </c>
      <c r="AG24" s="26">
        <f t="shared" si="6"/>
        <v>14</v>
      </c>
      <c r="AH24" s="27">
        <f t="shared" si="7"/>
        <v>21</v>
      </c>
      <c r="AI24" s="28" t="s">
        <v>45</v>
      </c>
      <c r="AJ24" s="15" t="s">
        <v>71</v>
      </c>
      <c r="AK24" s="32"/>
    </row>
    <row r="25" spans="1:37" ht="14.25" customHeight="1">
      <c r="A25" s="15" t="s">
        <v>177</v>
      </c>
      <c r="B25" s="35">
        <v>0.05</v>
      </c>
      <c r="C25" s="17" t="s">
        <v>54</v>
      </c>
      <c r="D25" s="15" t="s">
        <v>41</v>
      </c>
      <c r="E25" s="38" t="s">
        <v>156</v>
      </c>
      <c r="F25" s="15">
        <v>100</v>
      </c>
      <c r="G25" s="19">
        <v>1</v>
      </c>
      <c r="H25" s="19">
        <f>F25*G25</f>
        <v>100</v>
      </c>
      <c r="I25" s="38" t="s">
        <v>56</v>
      </c>
      <c r="K25" s="37">
        <f>19.51*1</f>
        <v>19.510000000000002</v>
      </c>
      <c r="L25" s="32" t="s">
        <v>72</v>
      </c>
      <c r="M25" s="17">
        <v>36</v>
      </c>
      <c r="N25" s="28">
        <v>308</v>
      </c>
      <c r="T25" s="21"/>
      <c r="U25" s="21">
        <f>K25</f>
        <v>19.510000000000002</v>
      </c>
      <c r="V25" s="21">
        <v>5</v>
      </c>
      <c r="W25" s="21">
        <f>20+(U25-4)</f>
        <v>35.510000000000005</v>
      </c>
      <c r="X25" s="21">
        <f>24+(U25-4)</f>
        <v>39.510000000000005</v>
      </c>
      <c r="Y25" s="21">
        <f>28+(U25-4)</f>
        <v>43.510000000000005</v>
      </c>
      <c r="Z25" s="21">
        <f>39+(U25-4)</f>
        <v>54.510000000000005</v>
      </c>
      <c r="AA25" s="26">
        <f t="shared" si="0"/>
        <v>8.3000000000000007</v>
      </c>
      <c r="AB25" s="27">
        <f t="shared" si="1"/>
        <v>7.700000000000002</v>
      </c>
      <c r="AC25" s="26">
        <f t="shared" si="2"/>
        <v>9.5</v>
      </c>
      <c r="AD25" s="27">
        <f t="shared" si="3"/>
        <v>10.500000000000002</v>
      </c>
      <c r="AE25" s="26">
        <f t="shared" si="4"/>
        <v>10.700000000000001</v>
      </c>
      <c r="AF25" s="27">
        <f t="shared" si="5"/>
        <v>13.300000000000002</v>
      </c>
      <c r="AG25" s="26">
        <f t="shared" si="6"/>
        <v>14</v>
      </c>
      <c r="AH25" s="27">
        <f t="shared" si="7"/>
        <v>21</v>
      </c>
      <c r="AI25" s="28" t="s">
        <v>45</v>
      </c>
      <c r="AJ25" s="32"/>
      <c r="AK25" s="32"/>
    </row>
    <row r="26" spans="1:37" ht="14.25" customHeight="1">
      <c r="A26" s="74" t="s">
        <v>138</v>
      </c>
      <c r="B26" s="35">
        <v>50</v>
      </c>
      <c r="C26" s="17" t="s">
        <v>40</v>
      </c>
      <c r="D26" s="15" t="s">
        <v>41</v>
      </c>
      <c r="E26" s="33" t="s">
        <v>42</v>
      </c>
      <c r="F26" s="17">
        <v>50</v>
      </c>
      <c r="G26" s="19">
        <v>1</v>
      </c>
      <c r="H26" s="19">
        <f>F26*G26</f>
        <v>50</v>
      </c>
      <c r="I26" s="38" t="s">
        <v>42</v>
      </c>
      <c r="K26" s="37">
        <f>9.55*1</f>
        <v>9.5500000000000007</v>
      </c>
      <c r="L26" s="32" t="s">
        <v>72</v>
      </c>
      <c r="M26" s="17">
        <v>336</v>
      </c>
      <c r="N26" s="28">
        <v>308</v>
      </c>
      <c r="T26" s="21"/>
      <c r="U26" s="21">
        <f>K26</f>
        <v>9.5500000000000007</v>
      </c>
      <c r="V26" s="21">
        <v>5</v>
      </c>
      <c r="W26" s="21">
        <f>20+(U26-4)</f>
        <v>25.55</v>
      </c>
      <c r="X26" s="21">
        <f>24+(U26-4)</f>
        <v>29.55</v>
      </c>
      <c r="Y26" s="21">
        <f>28+(U26-4)</f>
        <v>33.549999999999997</v>
      </c>
      <c r="Z26" s="21">
        <f>39+(U26-4)</f>
        <v>44.55</v>
      </c>
      <c r="AA26" s="26">
        <f t="shared" si="0"/>
        <v>8.3000000000000007</v>
      </c>
      <c r="AB26" s="27">
        <f t="shared" si="1"/>
        <v>7.6999999999999993</v>
      </c>
      <c r="AC26" s="26">
        <f t="shared" si="2"/>
        <v>9.5</v>
      </c>
      <c r="AD26" s="27">
        <f t="shared" si="3"/>
        <v>10.5</v>
      </c>
      <c r="AE26" s="26">
        <f t="shared" si="4"/>
        <v>10.7</v>
      </c>
      <c r="AF26" s="27">
        <f t="shared" si="5"/>
        <v>13.299999999999997</v>
      </c>
      <c r="AG26" s="26">
        <f t="shared" si="6"/>
        <v>14</v>
      </c>
      <c r="AH26" s="27">
        <f t="shared" si="7"/>
        <v>21</v>
      </c>
      <c r="AI26" s="28" t="s">
        <v>45</v>
      </c>
      <c r="AJ26" s="32"/>
      <c r="AK26" s="32"/>
    </row>
    <row r="27" spans="1:37" ht="14.25" customHeight="1">
      <c r="A27" s="55" t="s">
        <v>205</v>
      </c>
      <c r="B27" s="56">
        <v>45293</v>
      </c>
      <c r="C27" s="57" t="s">
        <v>54</v>
      </c>
      <c r="D27" s="55" t="s">
        <v>41</v>
      </c>
      <c r="E27" s="55" t="s">
        <v>55</v>
      </c>
      <c r="F27" s="55">
        <v>30</v>
      </c>
      <c r="G27" s="58">
        <v>1</v>
      </c>
      <c r="H27" s="58">
        <f>F27*G27</f>
        <v>30</v>
      </c>
      <c r="I27" s="55" t="s">
        <v>56</v>
      </c>
      <c r="K27" s="39">
        <f>12.36/100*28</f>
        <v>3.4607999999999999</v>
      </c>
      <c r="L27" s="32" t="s">
        <v>85</v>
      </c>
      <c r="M27" s="17">
        <v>112</v>
      </c>
      <c r="N27" s="25">
        <v>112</v>
      </c>
      <c r="T27" s="21"/>
      <c r="U27" s="21">
        <v>4</v>
      </c>
      <c r="V27" s="21">
        <v>5</v>
      </c>
      <c r="W27" s="21">
        <v>20</v>
      </c>
      <c r="X27" s="21">
        <v>24</v>
      </c>
      <c r="Y27" s="21">
        <v>28</v>
      </c>
      <c r="Z27" s="21">
        <v>39</v>
      </c>
      <c r="AA27" s="26">
        <f t="shared" si="0"/>
        <v>8.3000000000000007</v>
      </c>
      <c r="AB27" s="27">
        <f t="shared" si="1"/>
        <v>7.6999999999999993</v>
      </c>
      <c r="AC27" s="26">
        <f t="shared" si="2"/>
        <v>9.5</v>
      </c>
      <c r="AD27" s="27">
        <f t="shared" si="3"/>
        <v>10.5</v>
      </c>
      <c r="AE27" s="26">
        <f t="shared" si="4"/>
        <v>10.7</v>
      </c>
      <c r="AF27" s="27">
        <f t="shared" si="5"/>
        <v>13.299999999999999</v>
      </c>
      <c r="AG27" s="26">
        <f t="shared" si="6"/>
        <v>14</v>
      </c>
      <c r="AH27" s="27">
        <f t="shared" si="7"/>
        <v>21</v>
      </c>
      <c r="AI27" s="28" t="s">
        <v>45</v>
      </c>
      <c r="AJ27" s="32"/>
      <c r="AK27" s="32"/>
    </row>
    <row r="28" spans="1:37" ht="14.25" customHeight="1">
      <c r="A28" s="55" t="s">
        <v>207</v>
      </c>
      <c r="B28" s="56">
        <v>45293</v>
      </c>
      <c r="C28" s="57" t="s">
        <v>54</v>
      </c>
      <c r="D28" s="55" t="s">
        <v>41</v>
      </c>
      <c r="E28" s="55" t="s">
        <v>156</v>
      </c>
      <c r="F28" s="55">
        <v>30</v>
      </c>
      <c r="G28" s="58">
        <v>1</v>
      </c>
      <c r="H28" s="58">
        <f>F28*G28</f>
        <v>30</v>
      </c>
      <c r="I28" s="55" t="s">
        <v>56</v>
      </c>
      <c r="K28" s="40">
        <v>6.57</v>
      </c>
      <c r="L28" s="32" t="s">
        <v>85</v>
      </c>
      <c r="M28" s="17">
        <v>112</v>
      </c>
      <c r="N28" s="25">
        <v>112</v>
      </c>
      <c r="T28" s="21"/>
      <c r="U28" s="21">
        <v>8</v>
      </c>
      <c r="V28" s="21">
        <v>5</v>
      </c>
      <c r="W28" s="21">
        <f>20+(U28-4)</f>
        <v>24</v>
      </c>
      <c r="X28" s="21">
        <v>28</v>
      </c>
      <c r="Y28" s="21">
        <v>32</v>
      </c>
      <c r="Z28" s="21">
        <v>43</v>
      </c>
      <c r="AA28" s="26">
        <f t="shared" si="0"/>
        <v>8.3000000000000007</v>
      </c>
      <c r="AB28" s="27">
        <f t="shared" si="1"/>
        <v>7.6999999999999993</v>
      </c>
      <c r="AC28" s="26">
        <f t="shared" si="2"/>
        <v>9.5</v>
      </c>
      <c r="AD28" s="27">
        <f t="shared" si="3"/>
        <v>10.5</v>
      </c>
      <c r="AE28" s="26">
        <f t="shared" si="4"/>
        <v>10.7</v>
      </c>
      <c r="AF28" s="27">
        <f t="shared" si="5"/>
        <v>13.299999999999999</v>
      </c>
      <c r="AG28" s="26">
        <f t="shared" si="6"/>
        <v>14</v>
      </c>
      <c r="AH28" s="27">
        <f t="shared" si="7"/>
        <v>21</v>
      </c>
      <c r="AI28" s="28" t="s">
        <v>45</v>
      </c>
      <c r="AJ28" s="32"/>
      <c r="AK28" s="32"/>
    </row>
    <row r="29" spans="1:37" ht="14.25" customHeight="1">
      <c r="A29" s="15" t="s">
        <v>73</v>
      </c>
      <c r="B29" s="35">
        <v>75</v>
      </c>
      <c r="C29" s="17" t="s">
        <v>70</v>
      </c>
      <c r="D29" s="15" t="s">
        <v>41</v>
      </c>
      <c r="E29" s="33" t="s">
        <v>42</v>
      </c>
      <c r="F29" s="17">
        <v>84</v>
      </c>
      <c r="G29" s="19">
        <v>1</v>
      </c>
      <c r="H29" s="19">
        <f>F29*G29</f>
        <v>84</v>
      </c>
      <c r="I29" s="38" t="s">
        <v>42</v>
      </c>
      <c r="K29" s="39">
        <v>0.39</v>
      </c>
      <c r="L29" s="32" t="s">
        <v>85</v>
      </c>
      <c r="M29" s="11">
        <f>6*28</f>
        <v>168</v>
      </c>
      <c r="N29" s="42">
        <v>56</v>
      </c>
      <c r="O29" s="1" t="s">
        <v>87</v>
      </c>
      <c r="P29" s="28">
        <v>56</v>
      </c>
      <c r="Q29" s="17">
        <f>6*28</f>
        <v>168</v>
      </c>
      <c r="T29" s="21"/>
      <c r="U29" s="21">
        <v>4</v>
      </c>
      <c r="V29" s="21">
        <v>5</v>
      </c>
      <c r="W29" s="21">
        <v>20</v>
      </c>
      <c r="X29" s="21">
        <v>24</v>
      </c>
      <c r="Y29" s="21">
        <v>28</v>
      </c>
      <c r="Z29" s="21">
        <v>39</v>
      </c>
      <c r="AA29" s="26">
        <f t="shared" si="0"/>
        <v>8.3000000000000007</v>
      </c>
      <c r="AB29" s="27">
        <f t="shared" si="1"/>
        <v>7.6999999999999993</v>
      </c>
      <c r="AC29" s="26">
        <f t="shared" si="2"/>
        <v>9.5</v>
      </c>
      <c r="AD29" s="27">
        <f t="shared" si="3"/>
        <v>10.5</v>
      </c>
      <c r="AE29" s="26">
        <f t="shared" si="4"/>
        <v>10.7</v>
      </c>
      <c r="AF29" s="27">
        <f t="shared" si="5"/>
        <v>13.299999999999999</v>
      </c>
      <c r="AG29" s="26">
        <f t="shared" si="6"/>
        <v>14</v>
      </c>
      <c r="AH29" s="27">
        <f t="shared" si="7"/>
        <v>21</v>
      </c>
      <c r="AI29" s="28" t="s">
        <v>45</v>
      </c>
      <c r="AJ29" s="32"/>
      <c r="AK29" s="32"/>
    </row>
    <row r="30" spans="1:37" ht="14.25" customHeight="1">
      <c r="A30" s="15" t="s">
        <v>201</v>
      </c>
      <c r="B30" s="35" t="s">
        <v>202</v>
      </c>
      <c r="C30" s="17" t="s">
        <v>40</v>
      </c>
      <c r="D30" s="15" t="s">
        <v>41</v>
      </c>
      <c r="E30" s="38" t="s">
        <v>156</v>
      </c>
      <c r="F30" s="15">
        <v>30</v>
      </c>
      <c r="G30" s="19">
        <v>1</v>
      </c>
      <c r="H30" s="19">
        <f>F30*G30</f>
        <v>30</v>
      </c>
      <c r="I30" s="38" t="s">
        <v>56</v>
      </c>
      <c r="K30" s="39">
        <f>0.75*1</f>
        <v>0.75</v>
      </c>
      <c r="L30" s="32" t="s">
        <v>85</v>
      </c>
      <c r="M30" s="11">
        <f>6*28</f>
        <v>168</v>
      </c>
      <c r="N30" s="42">
        <v>56</v>
      </c>
      <c r="O30" s="1" t="s">
        <v>87</v>
      </c>
      <c r="P30" s="28">
        <v>56</v>
      </c>
      <c r="Q30" s="17">
        <f>6*28</f>
        <v>168</v>
      </c>
      <c r="T30" s="21"/>
      <c r="U30" s="21">
        <v>4</v>
      </c>
      <c r="V30" s="21">
        <v>5</v>
      </c>
      <c r="W30" s="21">
        <v>20</v>
      </c>
      <c r="X30" s="21">
        <v>24</v>
      </c>
      <c r="Y30" s="21">
        <v>28</v>
      </c>
      <c r="Z30" s="21">
        <v>39</v>
      </c>
      <c r="AA30" s="26">
        <f t="shared" si="0"/>
        <v>8.3000000000000007</v>
      </c>
      <c r="AB30" s="27">
        <f t="shared" si="1"/>
        <v>7.6999999999999993</v>
      </c>
      <c r="AC30" s="26">
        <f t="shared" si="2"/>
        <v>9.5</v>
      </c>
      <c r="AD30" s="27">
        <f t="shared" si="3"/>
        <v>10.5</v>
      </c>
      <c r="AE30" s="26">
        <f t="shared" si="4"/>
        <v>10.7</v>
      </c>
      <c r="AF30" s="27">
        <f t="shared" si="5"/>
        <v>13.299999999999999</v>
      </c>
      <c r="AG30" s="26">
        <f t="shared" si="6"/>
        <v>14</v>
      </c>
      <c r="AH30" s="27">
        <f t="shared" si="7"/>
        <v>21</v>
      </c>
      <c r="AI30" s="28" t="s">
        <v>45</v>
      </c>
      <c r="AJ30" s="32"/>
      <c r="AK30" s="32"/>
    </row>
    <row r="31" spans="1:37" ht="14.25" customHeight="1">
      <c r="A31" s="15" t="s">
        <v>203</v>
      </c>
      <c r="B31" s="35" t="s">
        <v>204</v>
      </c>
      <c r="C31" s="17" t="s">
        <v>40</v>
      </c>
      <c r="D31" s="15" t="s">
        <v>41</v>
      </c>
      <c r="E31" s="38" t="s">
        <v>156</v>
      </c>
      <c r="F31" s="15">
        <v>30</v>
      </c>
      <c r="G31" s="19">
        <v>1</v>
      </c>
      <c r="H31" s="19">
        <f>F31*G31</f>
        <v>30</v>
      </c>
      <c r="I31" s="38" t="s">
        <v>56</v>
      </c>
      <c r="K31" s="40">
        <v>8.57</v>
      </c>
      <c r="L31" s="32" t="s">
        <v>89</v>
      </c>
      <c r="M31" s="17">
        <v>48</v>
      </c>
      <c r="N31" s="25">
        <v>112</v>
      </c>
      <c r="T31" s="21"/>
      <c r="U31" s="21">
        <v>8</v>
      </c>
      <c r="V31" s="21">
        <v>5</v>
      </c>
      <c r="W31" s="21">
        <v>24</v>
      </c>
      <c r="X31" s="21">
        <v>28</v>
      </c>
      <c r="Y31" s="21">
        <v>32</v>
      </c>
      <c r="Z31" s="21">
        <v>43</v>
      </c>
      <c r="AA31" s="26">
        <f t="shared" si="0"/>
        <v>8.3000000000000007</v>
      </c>
      <c r="AB31" s="27">
        <f t="shared" si="1"/>
        <v>7.6999999999999993</v>
      </c>
      <c r="AC31" s="26">
        <f t="shared" si="2"/>
        <v>9.5</v>
      </c>
      <c r="AD31" s="27">
        <f t="shared" si="3"/>
        <v>10.5</v>
      </c>
      <c r="AE31" s="26">
        <f t="shared" si="4"/>
        <v>10.7</v>
      </c>
      <c r="AF31" s="27">
        <f t="shared" si="5"/>
        <v>13.299999999999999</v>
      </c>
      <c r="AG31" s="26">
        <f t="shared" si="6"/>
        <v>14</v>
      </c>
      <c r="AH31" s="27">
        <f t="shared" si="7"/>
        <v>21</v>
      </c>
      <c r="AI31" s="28" t="s">
        <v>45</v>
      </c>
      <c r="AJ31" s="32"/>
      <c r="AK31" s="32"/>
    </row>
    <row r="32" spans="1:37" ht="14.25" customHeight="1">
      <c r="A32" s="70" t="s">
        <v>189</v>
      </c>
      <c r="B32" s="35">
        <v>100</v>
      </c>
      <c r="C32" s="17" t="s">
        <v>40</v>
      </c>
      <c r="D32" s="15" t="s">
        <v>41</v>
      </c>
      <c r="E32" s="38" t="s">
        <v>94</v>
      </c>
      <c r="F32" s="17">
        <v>28</v>
      </c>
      <c r="G32" s="19">
        <v>1</v>
      </c>
      <c r="H32" s="19">
        <f>F32*G32</f>
        <v>28</v>
      </c>
      <c r="I32" s="38" t="s">
        <v>94</v>
      </c>
      <c r="K32" s="39">
        <v>4.07</v>
      </c>
      <c r="L32" s="32" t="s">
        <v>95</v>
      </c>
      <c r="M32" s="17">
        <v>6</v>
      </c>
      <c r="N32" s="25">
        <v>56</v>
      </c>
      <c r="T32" s="21"/>
      <c r="U32" s="21">
        <v>4</v>
      </c>
      <c r="V32" s="21">
        <v>5</v>
      </c>
      <c r="W32" s="21">
        <v>20</v>
      </c>
      <c r="X32" s="21">
        <v>24</v>
      </c>
      <c r="Y32" s="21">
        <v>28</v>
      </c>
      <c r="Z32" s="21">
        <v>39</v>
      </c>
      <c r="AA32" s="26">
        <f t="shared" si="0"/>
        <v>8.3000000000000007</v>
      </c>
      <c r="AB32" s="27">
        <f t="shared" si="1"/>
        <v>7.6999999999999993</v>
      </c>
      <c r="AC32" s="26">
        <f t="shared" si="2"/>
        <v>9.5</v>
      </c>
      <c r="AD32" s="27">
        <f t="shared" si="3"/>
        <v>10.5</v>
      </c>
      <c r="AE32" s="26">
        <f t="shared" si="4"/>
        <v>10.7</v>
      </c>
      <c r="AF32" s="27">
        <f t="shared" si="5"/>
        <v>13.299999999999999</v>
      </c>
      <c r="AG32" s="26">
        <f t="shared" si="6"/>
        <v>14</v>
      </c>
      <c r="AH32" s="27">
        <f t="shared" si="7"/>
        <v>21</v>
      </c>
      <c r="AI32" s="28" t="s">
        <v>45</v>
      </c>
      <c r="AJ32" s="32"/>
      <c r="AK32" s="32"/>
    </row>
    <row r="33" spans="1:37" ht="14.25" customHeight="1">
      <c r="A33" s="70" t="s">
        <v>195</v>
      </c>
      <c r="B33" s="41">
        <v>45294</v>
      </c>
      <c r="C33" s="17" t="s">
        <v>54</v>
      </c>
      <c r="D33" s="15" t="s">
        <v>41</v>
      </c>
      <c r="E33" s="38" t="s">
        <v>135</v>
      </c>
      <c r="F33" s="15">
        <v>30</v>
      </c>
      <c r="G33" s="19">
        <v>1</v>
      </c>
      <c r="H33" s="19">
        <f>F33*G33</f>
        <v>30</v>
      </c>
      <c r="I33" s="38" t="s">
        <v>56</v>
      </c>
      <c r="K33" s="39">
        <v>0.39</v>
      </c>
      <c r="L33" s="32" t="s">
        <v>95</v>
      </c>
      <c r="M33" s="17">
        <v>14</v>
      </c>
      <c r="N33" s="25">
        <v>56</v>
      </c>
      <c r="T33" s="21"/>
      <c r="U33" s="21">
        <v>4</v>
      </c>
      <c r="V33" s="21">
        <v>5</v>
      </c>
      <c r="W33" s="21">
        <v>20</v>
      </c>
      <c r="X33" s="21">
        <v>24</v>
      </c>
      <c r="Y33" s="21">
        <v>28</v>
      </c>
      <c r="Z33" s="21">
        <v>39</v>
      </c>
      <c r="AA33" s="26">
        <f t="shared" si="0"/>
        <v>8.3000000000000007</v>
      </c>
      <c r="AB33" s="27">
        <f t="shared" si="1"/>
        <v>7.6999999999999993</v>
      </c>
      <c r="AC33" s="26">
        <f t="shared" si="2"/>
        <v>9.5</v>
      </c>
      <c r="AD33" s="27">
        <f t="shared" si="3"/>
        <v>10.5</v>
      </c>
      <c r="AE33" s="26">
        <f t="shared" si="4"/>
        <v>10.7</v>
      </c>
      <c r="AF33" s="27">
        <f t="shared" si="5"/>
        <v>13.299999999999999</v>
      </c>
      <c r="AG33" s="26">
        <f t="shared" si="6"/>
        <v>14</v>
      </c>
      <c r="AH33" s="27">
        <f t="shared" si="7"/>
        <v>21</v>
      </c>
      <c r="AI33" s="28" t="s">
        <v>45</v>
      </c>
      <c r="AJ33" s="32"/>
      <c r="AK33" s="32"/>
    </row>
    <row r="34" spans="1:37" ht="14.25" customHeight="1">
      <c r="A34" s="70" t="s">
        <v>195</v>
      </c>
      <c r="B34" s="41">
        <v>45296</v>
      </c>
      <c r="C34" s="17" t="s">
        <v>54</v>
      </c>
      <c r="D34" s="15" t="s">
        <v>41</v>
      </c>
      <c r="E34" s="38" t="s">
        <v>135</v>
      </c>
      <c r="F34" s="15">
        <v>30</v>
      </c>
      <c r="G34" s="19">
        <v>1</v>
      </c>
      <c r="H34" s="19">
        <f>F34*G34</f>
        <v>30</v>
      </c>
      <c r="I34" s="38" t="s">
        <v>56</v>
      </c>
      <c r="K34" s="39">
        <f>0.87*1</f>
        <v>0.87</v>
      </c>
      <c r="L34" s="32" t="s">
        <v>100</v>
      </c>
      <c r="M34" s="17">
        <v>112</v>
      </c>
      <c r="N34" s="25">
        <v>168</v>
      </c>
      <c r="T34" s="21"/>
      <c r="U34" s="21">
        <v>4</v>
      </c>
      <c r="V34" s="21">
        <v>5</v>
      </c>
      <c r="W34" s="21">
        <v>20</v>
      </c>
      <c r="X34" s="21">
        <v>24</v>
      </c>
      <c r="Y34" s="21">
        <v>28</v>
      </c>
      <c r="Z34" s="21">
        <v>39</v>
      </c>
      <c r="AA34" s="26">
        <f t="shared" ref="AA34:AA65" si="8">V34+(W34-U34-V34)*0.3</f>
        <v>8.3000000000000007</v>
      </c>
      <c r="AB34" s="27">
        <f t="shared" ref="AB34:AB65" si="9">(W34-U34-V34)*0.7</f>
        <v>7.6999999999999993</v>
      </c>
      <c r="AC34" s="26">
        <f t="shared" ref="AC34:AC65" si="10">V34+(X34-U34-V34)*0.3</f>
        <v>9.5</v>
      </c>
      <c r="AD34" s="27">
        <f t="shared" ref="AD34:AD65" si="11">(X34-U34-V34)*0.7</f>
        <v>10.5</v>
      </c>
      <c r="AE34" s="26">
        <f t="shared" ref="AE34:AE65" si="12">V34+(Y34-U34-V34)*0.3</f>
        <v>10.7</v>
      </c>
      <c r="AF34" s="27">
        <f t="shared" ref="AF34:AF65" si="13">(Y34-U34-V34)*0.7</f>
        <v>13.299999999999999</v>
      </c>
      <c r="AG34" s="26">
        <f t="shared" ref="AG34:AG65" si="14">V34+(Z34-U34-V34)*0.3</f>
        <v>14</v>
      </c>
      <c r="AH34" s="27">
        <f t="shared" ref="AH34:AH65" si="15">(Z34-U34-V34)*0.7</f>
        <v>21</v>
      </c>
      <c r="AI34" s="28" t="s">
        <v>45</v>
      </c>
      <c r="AJ34" s="32"/>
      <c r="AK34" s="32"/>
    </row>
    <row r="35" spans="1:37" ht="14.25" customHeight="1">
      <c r="A35" s="70" t="s">
        <v>147</v>
      </c>
      <c r="B35" s="35">
        <v>0.1</v>
      </c>
      <c r="C35" s="17" t="s">
        <v>54</v>
      </c>
      <c r="D35" s="15" t="s">
        <v>41</v>
      </c>
      <c r="E35" s="38" t="s">
        <v>148</v>
      </c>
      <c r="F35" s="15">
        <v>30</v>
      </c>
      <c r="G35" s="19">
        <v>1</v>
      </c>
      <c r="H35" s="19">
        <f>F35*G35</f>
        <v>30</v>
      </c>
      <c r="I35" s="38" t="s">
        <v>106</v>
      </c>
      <c r="K35" s="39">
        <f>2.45*1</f>
        <v>2.4500000000000002</v>
      </c>
      <c r="L35" s="32" t="s">
        <v>100</v>
      </c>
      <c r="M35" s="17">
        <v>112</v>
      </c>
      <c r="N35" s="25">
        <v>168</v>
      </c>
      <c r="T35" s="21"/>
      <c r="U35" s="21">
        <v>4</v>
      </c>
      <c r="V35" s="21">
        <v>5</v>
      </c>
      <c r="W35" s="22">
        <v>20</v>
      </c>
      <c r="X35" s="21">
        <v>24</v>
      </c>
      <c r="Y35" s="21">
        <v>28</v>
      </c>
      <c r="Z35" s="21">
        <v>39</v>
      </c>
      <c r="AA35" s="26">
        <f t="shared" si="8"/>
        <v>8.3000000000000007</v>
      </c>
      <c r="AB35" s="27">
        <f t="shared" si="9"/>
        <v>7.6999999999999993</v>
      </c>
      <c r="AC35" s="26">
        <f t="shared" si="10"/>
        <v>9.5</v>
      </c>
      <c r="AD35" s="27">
        <f t="shared" si="11"/>
        <v>10.5</v>
      </c>
      <c r="AE35" s="26">
        <f t="shared" si="12"/>
        <v>10.7</v>
      </c>
      <c r="AF35" s="27">
        <f t="shared" si="13"/>
        <v>13.299999999999999</v>
      </c>
      <c r="AG35" s="26">
        <f t="shared" si="14"/>
        <v>14</v>
      </c>
      <c r="AH35" s="27">
        <f t="shared" si="15"/>
        <v>21</v>
      </c>
      <c r="AI35" s="28" t="s">
        <v>45</v>
      </c>
      <c r="AJ35" s="32"/>
      <c r="AK35" s="32"/>
    </row>
    <row r="36" spans="1:37" ht="14.25" customHeight="1">
      <c r="A36" s="70" t="s">
        <v>46</v>
      </c>
      <c r="B36" s="35">
        <v>5</v>
      </c>
      <c r="C36" s="15" t="s">
        <v>54</v>
      </c>
      <c r="D36" s="15" t="s">
        <v>41</v>
      </c>
      <c r="E36" s="33" t="s">
        <v>55</v>
      </c>
      <c r="F36" s="15">
        <v>5</v>
      </c>
      <c r="G36" s="19">
        <v>1</v>
      </c>
      <c r="H36" s="19">
        <f>F36*G36</f>
        <v>5</v>
      </c>
      <c r="I36" s="20" t="s">
        <v>56</v>
      </c>
      <c r="K36" s="39">
        <f>0.42*1</f>
        <v>0.42</v>
      </c>
      <c r="L36" s="32" t="s">
        <v>100</v>
      </c>
      <c r="M36" s="17">
        <v>112</v>
      </c>
      <c r="N36" s="25">
        <v>168</v>
      </c>
      <c r="T36" s="21"/>
      <c r="U36" s="21">
        <v>4</v>
      </c>
      <c r="V36" s="21">
        <v>5</v>
      </c>
      <c r="W36" s="22">
        <v>20</v>
      </c>
      <c r="X36" s="21">
        <v>24</v>
      </c>
      <c r="Y36" s="21">
        <v>28</v>
      </c>
      <c r="Z36" s="21">
        <v>39</v>
      </c>
      <c r="AA36" s="26">
        <f t="shared" si="8"/>
        <v>8.3000000000000007</v>
      </c>
      <c r="AB36" s="27">
        <f t="shared" si="9"/>
        <v>7.6999999999999993</v>
      </c>
      <c r="AC36" s="26">
        <f t="shared" si="10"/>
        <v>9.5</v>
      </c>
      <c r="AD36" s="27">
        <f t="shared" si="11"/>
        <v>10.5</v>
      </c>
      <c r="AE36" s="26">
        <f t="shared" si="12"/>
        <v>10.7</v>
      </c>
      <c r="AF36" s="27">
        <f t="shared" si="13"/>
        <v>13.299999999999999</v>
      </c>
      <c r="AG36" s="26">
        <f t="shared" si="14"/>
        <v>14</v>
      </c>
      <c r="AH36" s="27">
        <f t="shared" si="15"/>
        <v>21</v>
      </c>
      <c r="AI36" s="28" t="s">
        <v>45</v>
      </c>
      <c r="AJ36" s="32"/>
      <c r="AK36" s="32"/>
    </row>
    <row r="37" spans="1:37" ht="14.25" customHeight="1">
      <c r="A37" s="70" t="s">
        <v>46</v>
      </c>
      <c r="B37" s="35">
        <v>5</v>
      </c>
      <c r="C37" s="15" t="s">
        <v>54</v>
      </c>
      <c r="D37" s="15" t="s">
        <v>41</v>
      </c>
      <c r="E37" s="33" t="s">
        <v>55</v>
      </c>
      <c r="F37" s="15">
        <v>30</v>
      </c>
      <c r="G37" s="19">
        <v>1</v>
      </c>
      <c r="H37" s="36">
        <f>F37*G37</f>
        <v>30</v>
      </c>
      <c r="I37" s="20" t="s">
        <v>56</v>
      </c>
      <c r="K37" s="39">
        <f>1.07*1</f>
        <v>1.07</v>
      </c>
      <c r="L37" s="32" t="s">
        <v>100</v>
      </c>
      <c r="M37" s="17">
        <v>112</v>
      </c>
      <c r="N37" s="25">
        <v>168</v>
      </c>
      <c r="T37" s="21"/>
      <c r="U37" s="21">
        <v>4</v>
      </c>
      <c r="V37" s="21">
        <v>5</v>
      </c>
      <c r="W37" s="21">
        <v>20</v>
      </c>
      <c r="X37" s="21">
        <v>24</v>
      </c>
      <c r="Y37" s="21">
        <v>28</v>
      </c>
      <c r="Z37" s="21">
        <v>39</v>
      </c>
      <c r="AA37" s="26">
        <f t="shared" si="8"/>
        <v>8.3000000000000007</v>
      </c>
      <c r="AB37" s="27">
        <f t="shared" si="9"/>
        <v>7.6999999999999993</v>
      </c>
      <c r="AC37" s="26">
        <f t="shared" si="10"/>
        <v>9.5</v>
      </c>
      <c r="AD37" s="27">
        <f t="shared" si="11"/>
        <v>10.5</v>
      </c>
      <c r="AE37" s="26">
        <f t="shared" si="12"/>
        <v>10.7</v>
      </c>
      <c r="AF37" s="27">
        <f t="shared" si="13"/>
        <v>13.299999999999999</v>
      </c>
      <c r="AG37" s="26">
        <f t="shared" si="14"/>
        <v>14</v>
      </c>
      <c r="AH37" s="27">
        <f t="shared" si="15"/>
        <v>21</v>
      </c>
      <c r="AI37" s="28" t="s">
        <v>45</v>
      </c>
      <c r="AJ37" s="32"/>
      <c r="AK37" s="32"/>
    </row>
    <row r="38" spans="1:37" ht="14.25" customHeight="1">
      <c r="A38" s="70" t="s">
        <v>192</v>
      </c>
      <c r="B38" s="35" t="s">
        <v>193</v>
      </c>
      <c r="C38" s="17" t="s">
        <v>54</v>
      </c>
      <c r="D38" s="15" t="s">
        <v>41</v>
      </c>
      <c r="E38" s="38" t="s">
        <v>135</v>
      </c>
      <c r="F38" s="15">
        <v>45</v>
      </c>
      <c r="G38" s="19">
        <v>1</v>
      </c>
      <c r="H38" s="19">
        <f>F38*G38</f>
        <v>45</v>
      </c>
      <c r="I38" s="38" t="s">
        <v>56</v>
      </c>
      <c r="K38" s="39">
        <f>3.64*1</f>
        <v>3.64</v>
      </c>
      <c r="L38" s="32" t="s">
        <v>100</v>
      </c>
      <c r="M38" s="17">
        <v>112</v>
      </c>
      <c r="N38" s="25">
        <v>168</v>
      </c>
      <c r="T38" s="21"/>
      <c r="U38" s="21">
        <v>4</v>
      </c>
      <c r="V38" s="21">
        <v>5</v>
      </c>
      <c r="W38" s="21">
        <v>20</v>
      </c>
      <c r="X38" s="21">
        <v>24</v>
      </c>
      <c r="Y38" s="21">
        <v>28</v>
      </c>
      <c r="Z38" s="21">
        <v>39</v>
      </c>
      <c r="AA38" s="26">
        <f t="shared" si="8"/>
        <v>8.3000000000000007</v>
      </c>
      <c r="AB38" s="27">
        <f t="shared" si="9"/>
        <v>7.6999999999999993</v>
      </c>
      <c r="AC38" s="26">
        <f t="shared" si="10"/>
        <v>9.5</v>
      </c>
      <c r="AD38" s="27">
        <f t="shared" si="11"/>
        <v>10.5</v>
      </c>
      <c r="AE38" s="26">
        <f t="shared" si="12"/>
        <v>10.7</v>
      </c>
      <c r="AF38" s="27">
        <f t="shared" si="13"/>
        <v>13.299999999999999</v>
      </c>
      <c r="AG38" s="26">
        <f t="shared" si="14"/>
        <v>14</v>
      </c>
      <c r="AH38" s="27">
        <f t="shared" si="15"/>
        <v>21</v>
      </c>
      <c r="AI38" s="28" t="s">
        <v>45</v>
      </c>
      <c r="AJ38" s="32"/>
      <c r="AK38" s="32"/>
    </row>
    <row r="39" spans="1:37" ht="14.25" customHeight="1">
      <c r="A39" s="70" t="s">
        <v>192</v>
      </c>
      <c r="B39" s="35" t="s">
        <v>194</v>
      </c>
      <c r="C39" s="17" t="s">
        <v>54</v>
      </c>
      <c r="D39" s="15" t="s">
        <v>41</v>
      </c>
      <c r="E39" s="38" t="s">
        <v>135</v>
      </c>
      <c r="F39" s="15">
        <v>45</v>
      </c>
      <c r="G39" s="19">
        <v>1</v>
      </c>
      <c r="H39" s="19">
        <f>F39*G39</f>
        <v>45</v>
      </c>
      <c r="I39" s="38" t="s">
        <v>56</v>
      </c>
      <c r="K39" s="39">
        <v>3.21</v>
      </c>
      <c r="L39" s="32" t="s">
        <v>107</v>
      </c>
      <c r="M39" s="17">
        <v>5</v>
      </c>
      <c r="N39" s="25">
        <v>84</v>
      </c>
      <c r="T39" s="21"/>
      <c r="U39" s="21">
        <v>4</v>
      </c>
      <c r="V39" s="21">
        <v>5</v>
      </c>
      <c r="W39" s="21">
        <v>20</v>
      </c>
      <c r="X39" s="21">
        <v>24</v>
      </c>
      <c r="Y39" s="21">
        <v>28</v>
      </c>
      <c r="Z39" s="21">
        <v>39</v>
      </c>
      <c r="AA39" s="26">
        <f t="shared" si="8"/>
        <v>8.3000000000000007</v>
      </c>
      <c r="AB39" s="27">
        <f t="shared" si="9"/>
        <v>7.6999999999999993</v>
      </c>
      <c r="AC39" s="26">
        <f t="shared" si="10"/>
        <v>9.5</v>
      </c>
      <c r="AD39" s="27">
        <f t="shared" si="11"/>
        <v>10.5</v>
      </c>
      <c r="AE39" s="26">
        <f t="shared" si="12"/>
        <v>10.7</v>
      </c>
      <c r="AF39" s="27">
        <f t="shared" si="13"/>
        <v>13.299999999999999</v>
      </c>
      <c r="AG39" s="26">
        <f t="shared" si="14"/>
        <v>14</v>
      </c>
      <c r="AH39" s="27">
        <f t="shared" si="15"/>
        <v>21</v>
      </c>
      <c r="AI39" s="28" t="s">
        <v>45</v>
      </c>
      <c r="AJ39" s="32"/>
      <c r="AK39" s="32"/>
    </row>
    <row r="40" spans="1:37" ht="14.25" customHeight="1">
      <c r="A40" s="70" t="s">
        <v>132</v>
      </c>
      <c r="B40" s="35">
        <v>300</v>
      </c>
      <c r="C40" s="17" t="s">
        <v>70</v>
      </c>
      <c r="D40" s="15" t="s">
        <v>41</v>
      </c>
      <c r="E40" s="38" t="s">
        <v>133</v>
      </c>
      <c r="F40" s="15">
        <v>1</v>
      </c>
      <c r="G40" s="19">
        <v>1</v>
      </c>
      <c r="H40" s="19">
        <f>F40*G40</f>
        <v>1</v>
      </c>
      <c r="I40" s="38" t="s">
        <v>126</v>
      </c>
      <c r="K40" s="39">
        <v>2.39</v>
      </c>
      <c r="L40" s="32" t="s">
        <v>107</v>
      </c>
      <c r="M40" s="17">
        <v>10</v>
      </c>
      <c r="N40" s="25">
        <v>84</v>
      </c>
      <c r="T40" s="21"/>
      <c r="U40" s="21">
        <v>4</v>
      </c>
      <c r="V40" s="21">
        <v>5</v>
      </c>
      <c r="W40" s="21">
        <v>20</v>
      </c>
      <c r="X40" s="21">
        <v>24</v>
      </c>
      <c r="Y40" s="21">
        <v>28</v>
      </c>
      <c r="Z40" s="21">
        <v>39</v>
      </c>
      <c r="AA40" s="26">
        <f t="shared" si="8"/>
        <v>8.3000000000000007</v>
      </c>
      <c r="AB40" s="27">
        <f t="shared" si="9"/>
        <v>7.6999999999999993</v>
      </c>
      <c r="AC40" s="26">
        <f t="shared" si="10"/>
        <v>9.5</v>
      </c>
      <c r="AD40" s="27">
        <f t="shared" si="11"/>
        <v>10.5</v>
      </c>
      <c r="AE40" s="26">
        <f t="shared" si="12"/>
        <v>10.7</v>
      </c>
      <c r="AF40" s="27">
        <f t="shared" si="13"/>
        <v>13.299999999999999</v>
      </c>
      <c r="AG40" s="26">
        <f t="shared" si="14"/>
        <v>14</v>
      </c>
      <c r="AH40" s="27">
        <f t="shared" si="15"/>
        <v>21</v>
      </c>
      <c r="AI40" s="28" t="s">
        <v>45</v>
      </c>
      <c r="AJ40" s="32"/>
      <c r="AK40" s="32"/>
    </row>
    <row r="41" spans="1:37" ht="14.25" customHeight="1">
      <c r="A41" s="70" t="s">
        <v>102</v>
      </c>
      <c r="B41" s="35">
        <v>20</v>
      </c>
      <c r="C41" s="17" t="s">
        <v>40</v>
      </c>
      <c r="D41" s="15" t="s">
        <v>41</v>
      </c>
      <c r="E41" s="33" t="s">
        <v>94</v>
      </c>
      <c r="F41" s="17">
        <f>28*1</f>
        <v>28</v>
      </c>
      <c r="G41" s="19">
        <v>1</v>
      </c>
      <c r="H41" s="19">
        <f>F41*G41</f>
        <v>28</v>
      </c>
      <c r="I41" s="38" t="s">
        <v>94</v>
      </c>
      <c r="K41" s="37">
        <v>24.12</v>
      </c>
      <c r="L41" s="32" t="s">
        <v>112</v>
      </c>
      <c r="M41" s="17">
        <v>336</v>
      </c>
      <c r="N41" s="25">
        <v>84</v>
      </c>
      <c r="T41" s="21"/>
      <c r="U41" s="21">
        <f>K41</f>
        <v>24.12</v>
      </c>
      <c r="V41" s="21">
        <v>5</v>
      </c>
      <c r="W41" s="21">
        <f>20+(U41-4)</f>
        <v>40.120000000000005</v>
      </c>
      <c r="X41" s="21">
        <f>24+(U41-4)</f>
        <v>44.120000000000005</v>
      </c>
      <c r="Y41" s="21">
        <f>28+(U41-4)</f>
        <v>48.120000000000005</v>
      </c>
      <c r="Z41" s="21">
        <f>39+(U41-4)</f>
        <v>59.120000000000005</v>
      </c>
      <c r="AA41" s="26">
        <f t="shared" si="8"/>
        <v>8.3000000000000007</v>
      </c>
      <c r="AB41" s="27">
        <f t="shared" si="9"/>
        <v>7.700000000000002</v>
      </c>
      <c r="AC41" s="26">
        <f t="shared" si="10"/>
        <v>9.5</v>
      </c>
      <c r="AD41" s="27">
        <f t="shared" si="11"/>
        <v>10.500000000000002</v>
      </c>
      <c r="AE41" s="26">
        <f t="shared" si="12"/>
        <v>10.700000000000001</v>
      </c>
      <c r="AF41" s="27">
        <f t="shared" si="13"/>
        <v>13.300000000000002</v>
      </c>
      <c r="AG41" s="26">
        <f t="shared" si="14"/>
        <v>14</v>
      </c>
      <c r="AH41" s="27">
        <f t="shared" si="15"/>
        <v>21</v>
      </c>
      <c r="AI41" s="28" t="s">
        <v>45</v>
      </c>
      <c r="AJ41" s="32"/>
      <c r="AK41" s="32"/>
    </row>
    <row r="42" spans="1:37" ht="14.25" customHeight="1">
      <c r="A42" s="70" t="s">
        <v>79</v>
      </c>
      <c r="B42" s="35" t="s">
        <v>80</v>
      </c>
      <c r="C42" s="17" t="s">
        <v>70</v>
      </c>
      <c r="D42" s="15" t="s">
        <v>41</v>
      </c>
      <c r="E42" s="33" t="s">
        <v>81</v>
      </c>
      <c r="F42" s="17">
        <v>9</v>
      </c>
      <c r="G42" s="19">
        <v>1</v>
      </c>
      <c r="H42" s="19">
        <f>F42*G42</f>
        <v>9</v>
      </c>
      <c r="I42" s="38" t="s">
        <v>82</v>
      </c>
      <c r="K42" s="39">
        <v>1</v>
      </c>
      <c r="L42" s="32" t="s">
        <v>114</v>
      </c>
      <c r="M42" s="15">
        <v>180</v>
      </c>
      <c r="N42" s="44">
        <v>140</v>
      </c>
      <c r="O42" s="32" t="s">
        <v>115</v>
      </c>
      <c r="P42" s="28">
        <v>140</v>
      </c>
      <c r="Q42" s="17">
        <v>180</v>
      </c>
      <c r="T42" s="21"/>
      <c r="U42" s="21">
        <v>4</v>
      </c>
      <c r="V42" s="21">
        <v>5</v>
      </c>
      <c r="W42" s="22">
        <v>20</v>
      </c>
      <c r="X42" s="21">
        <v>24</v>
      </c>
      <c r="Y42" s="21">
        <v>28</v>
      </c>
      <c r="Z42" s="21">
        <v>39</v>
      </c>
      <c r="AA42" s="26">
        <f t="shared" si="8"/>
        <v>8.3000000000000007</v>
      </c>
      <c r="AB42" s="27">
        <f t="shared" si="9"/>
        <v>7.6999999999999993</v>
      </c>
      <c r="AC42" s="26">
        <f t="shared" si="10"/>
        <v>9.5</v>
      </c>
      <c r="AD42" s="27">
        <f t="shared" si="11"/>
        <v>10.5</v>
      </c>
      <c r="AE42" s="26">
        <f t="shared" si="12"/>
        <v>10.7</v>
      </c>
      <c r="AF42" s="27">
        <f t="shared" si="13"/>
        <v>13.299999999999999</v>
      </c>
      <c r="AG42" s="26">
        <f t="shared" si="14"/>
        <v>14</v>
      </c>
      <c r="AH42" s="27">
        <f t="shared" si="15"/>
        <v>21</v>
      </c>
      <c r="AI42" s="28" t="s">
        <v>45</v>
      </c>
      <c r="AJ42" s="32"/>
      <c r="AK42" s="32"/>
    </row>
    <row r="43" spans="1:37" ht="14.25" customHeight="1">
      <c r="A43" s="70" t="s">
        <v>113</v>
      </c>
      <c r="B43" s="16">
        <v>120</v>
      </c>
      <c r="C43" s="32" t="s">
        <v>40</v>
      </c>
      <c r="D43" s="15" t="s">
        <v>41</v>
      </c>
      <c r="E43" s="38" t="s">
        <v>42</v>
      </c>
      <c r="F43" s="17">
        <v>30</v>
      </c>
      <c r="G43" s="19">
        <v>1</v>
      </c>
      <c r="H43" s="19">
        <f>F43*G43</f>
        <v>30</v>
      </c>
      <c r="I43" s="38" t="s">
        <v>42</v>
      </c>
      <c r="K43" s="39">
        <f>1.44*1</f>
        <v>1.44</v>
      </c>
      <c r="L43" s="32" t="s">
        <v>114</v>
      </c>
      <c r="M43" s="15">
        <v>180</v>
      </c>
      <c r="N43" s="44">
        <v>140</v>
      </c>
      <c r="O43" s="32" t="s">
        <v>115</v>
      </c>
      <c r="P43" s="28">
        <v>140</v>
      </c>
      <c r="Q43" s="17">
        <v>180</v>
      </c>
      <c r="T43" s="21"/>
      <c r="U43" s="21">
        <v>4</v>
      </c>
      <c r="V43" s="21">
        <v>5</v>
      </c>
      <c r="W43" s="21">
        <v>20</v>
      </c>
      <c r="X43" s="21">
        <v>24</v>
      </c>
      <c r="Y43" s="21">
        <v>28</v>
      </c>
      <c r="Z43" s="21">
        <v>39</v>
      </c>
      <c r="AA43" s="26">
        <f t="shared" si="8"/>
        <v>8.3000000000000007</v>
      </c>
      <c r="AB43" s="27">
        <f t="shared" si="9"/>
        <v>7.6999999999999993</v>
      </c>
      <c r="AC43" s="26">
        <f t="shared" si="10"/>
        <v>9.5</v>
      </c>
      <c r="AD43" s="27">
        <f t="shared" si="11"/>
        <v>10.5</v>
      </c>
      <c r="AE43" s="26">
        <f t="shared" si="12"/>
        <v>10.7</v>
      </c>
      <c r="AF43" s="27">
        <f t="shared" si="13"/>
        <v>13.299999999999999</v>
      </c>
      <c r="AG43" s="26">
        <f t="shared" si="14"/>
        <v>14</v>
      </c>
      <c r="AH43" s="27">
        <f t="shared" si="15"/>
        <v>21</v>
      </c>
      <c r="AI43" s="28" t="s">
        <v>45</v>
      </c>
      <c r="AJ43" s="32"/>
      <c r="AK43" s="32"/>
    </row>
    <row r="44" spans="1:37" ht="14.25" customHeight="1">
      <c r="A44" s="70" t="s">
        <v>113</v>
      </c>
      <c r="B44" s="16">
        <v>180</v>
      </c>
      <c r="C44" s="32" t="s">
        <v>40</v>
      </c>
      <c r="D44" s="15" t="s">
        <v>41</v>
      </c>
      <c r="E44" s="33" t="s">
        <v>42</v>
      </c>
      <c r="F44" s="17">
        <v>30</v>
      </c>
      <c r="G44" s="19">
        <v>1</v>
      </c>
      <c r="H44" s="19">
        <f>F44*G44</f>
        <v>30</v>
      </c>
      <c r="I44" s="38" t="s">
        <v>42</v>
      </c>
      <c r="K44" s="39">
        <v>3.41</v>
      </c>
      <c r="L44" s="32" t="s">
        <v>114</v>
      </c>
      <c r="M44" s="17">
        <v>30</v>
      </c>
      <c r="N44" s="44">
        <v>140</v>
      </c>
      <c r="T44" s="21"/>
      <c r="U44" s="21">
        <v>4</v>
      </c>
      <c r="V44" s="21">
        <v>5</v>
      </c>
      <c r="W44" s="21">
        <v>20</v>
      </c>
      <c r="X44" s="21">
        <v>24</v>
      </c>
      <c r="Y44" s="21">
        <v>28</v>
      </c>
      <c r="Z44" s="21">
        <v>39</v>
      </c>
      <c r="AA44" s="26">
        <f t="shared" si="8"/>
        <v>8.3000000000000007</v>
      </c>
      <c r="AB44" s="27">
        <f t="shared" si="9"/>
        <v>7.6999999999999993</v>
      </c>
      <c r="AC44" s="26">
        <f t="shared" si="10"/>
        <v>9.5</v>
      </c>
      <c r="AD44" s="27">
        <f t="shared" si="11"/>
        <v>10.5</v>
      </c>
      <c r="AE44" s="26">
        <f t="shared" si="12"/>
        <v>10.7</v>
      </c>
      <c r="AF44" s="27">
        <f t="shared" si="13"/>
        <v>13.299999999999999</v>
      </c>
      <c r="AG44" s="26">
        <f t="shared" si="14"/>
        <v>14</v>
      </c>
      <c r="AH44" s="27">
        <f t="shared" si="15"/>
        <v>21</v>
      </c>
      <c r="AI44" s="28" t="s">
        <v>45</v>
      </c>
      <c r="AJ44" s="32"/>
      <c r="AK44" s="32"/>
    </row>
    <row r="45" spans="1:37" ht="14.25" customHeight="1">
      <c r="A45" s="70" t="s">
        <v>58</v>
      </c>
      <c r="B45" s="16">
        <v>1</v>
      </c>
      <c r="C45" s="32" t="s">
        <v>40</v>
      </c>
      <c r="D45" s="15" t="s">
        <v>41</v>
      </c>
      <c r="E45" s="33" t="s">
        <v>42</v>
      </c>
      <c r="F45" s="17">
        <v>28</v>
      </c>
      <c r="G45" s="19">
        <v>1</v>
      </c>
      <c r="H45" s="19">
        <f>F45*G45</f>
        <v>28</v>
      </c>
      <c r="I45" s="20" t="s">
        <v>42</v>
      </c>
      <c r="K45" s="39">
        <v>6.44</v>
      </c>
      <c r="L45" s="32" t="s">
        <v>114</v>
      </c>
      <c r="M45" s="15">
        <v>6</v>
      </c>
      <c r="N45" s="44">
        <v>140</v>
      </c>
      <c r="O45" s="32" t="s">
        <v>127</v>
      </c>
      <c r="P45" s="28">
        <v>140</v>
      </c>
      <c r="Q45" s="17">
        <v>6</v>
      </c>
      <c r="U45" s="17">
        <v>4</v>
      </c>
      <c r="V45" s="21">
        <v>5</v>
      </c>
      <c r="W45" s="21">
        <v>20</v>
      </c>
      <c r="X45" s="21">
        <v>24</v>
      </c>
      <c r="Y45" s="21">
        <v>28</v>
      </c>
      <c r="Z45" s="21">
        <v>39</v>
      </c>
      <c r="AA45" s="26">
        <f t="shared" si="8"/>
        <v>8.3000000000000007</v>
      </c>
      <c r="AB45" s="27">
        <f t="shared" si="9"/>
        <v>7.6999999999999993</v>
      </c>
      <c r="AC45" s="26">
        <f t="shared" si="10"/>
        <v>9.5</v>
      </c>
      <c r="AD45" s="27">
        <f t="shared" si="11"/>
        <v>10.5</v>
      </c>
      <c r="AE45" s="26">
        <f t="shared" si="12"/>
        <v>10.7</v>
      </c>
      <c r="AF45" s="27">
        <f t="shared" si="13"/>
        <v>13.299999999999999</v>
      </c>
      <c r="AG45" s="26">
        <f t="shared" si="14"/>
        <v>14</v>
      </c>
      <c r="AH45" s="27">
        <f t="shared" si="15"/>
        <v>21</v>
      </c>
      <c r="AI45" s="28" t="s">
        <v>45</v>
      </c>
      <c r="AJ45" s="32"/>
      <c r="AK45" s="32"/>
    </row>
    <row r="46" spans="1:37" ht="14.25" customHeight="1">
      <c r="A46" s="70" t="s">
        <v>215</v>
      </c>
      <c r="B46" s="35">
        <v>250</v>
      </c>
      <c r="C46" s="17" t="s">
        <v>40</v>
      </c>
      <c r="D46" s="15" t="s">
        <v>92</v>
      </c>
      <c r="E46" s="38" t="s">
        <v>94</v>
      </c>
      <c r="F46" s="17">
        <v>28</v>
      </c>
      <c r="G46" s="19">
        <v>1</v>
      </c>
      <c r="H46" s="19">
        <f>F46*G46</f>
        <v>28</v>
      </c>
      <c r="I46" s="38" t="s">
        <v>94</v>
      </c>
      <c r="K46" s="37">
        <v>10.5</v>
      </c>
      <c r="L46" s="32" t="s">
        <v>114</v>
      </c>
      <c r="M46" s="15">
        <v>6</v>
      </c>
      <c r="N46" s="44">
        <v>140</v>
      </c>
      <c r="U46" s="17">
        <f>K46</f>
        <v>10.5</v>
      </c>
      <c r="V46" s="21">
        <v>5</v>
      </c>
      <c r="W46" s="21">
        <f>20+U46-4</f>
        <v>26.5</v>
      </c>
      <c r="X46" s="21">
        <f>24+U46-4</f>
        <v>30.5</v>
      </c>
      <c r="Y46" s="21">
        <f>28+U46-4</f>
        <v>34.5</v>
      </c>
      <c r="Z46" s="21">
        <f>39+U46-4</f>
        <v>45.5</v>
      </c>
      <c r="AA46" s="26">
        <f t="shared" si="8"/>
        <v>8.3000000000000007</v>
      </c>
      <c r="AB46" s="27">
        <f t="shared" si="9"/>
        <v>7.6999999999999993</v>
      </c>
      <c r="AC46" s="26">
        <f t="shared" si="10"/>
        <v>9.5</v>
      </c>
      <c r="AD46" s="27">
        <f t="shared" si="11"/>
        <v>10.5</v>
      </c>
      <c r="AE46" s="26">
        <f t="shared" si="12"/>
        <v>10.7</v>
      </c>
      <c r="AF46" s="27">
        <f t="shared" si="13"/>
        <v>13.299999999999999</v>
      </c>
      <c r="AG46" s="26">
        <f t="shared" si="14"/>
        <v>14</v>
      </c>
      <c r="AH46" s="27">
        <f t="shared" si="15"/>
        <v>21</v>
      </c>
      <c r="AI46" s="28" t="s">
        <v>45</v>
      </c>
      <c r="AJ46" s="32"/>
      <c r="AK46" s="32"/>
    </row>
    <row r="47" spans="1:37" ht="14.25" customHeight="1">
      <c r="A47" s="70" t="s">
        <v>215</v>
      </c>
      <c r="B47" s="35">
        <v>500</v>
      </c>
      <c r="C47" s="17" t="s">
        <v>40</v>
      </c>
      <c r="D47" s="15" t="s">
        <v>92</v>
      </c>
      <c r="E47" s="38" t="s">
        <v>94</v>
      </c>
      <c r="F47" s="17">
        <v>28</v>
      </c>
      <c r="G47" s="19">
        <v>1</v>
      </c>
      <c r="H47" s="19">
        <f>F47*G47</f>
        <v>28</v>
      </c>
      <c r="I47" s="38" t="s">
        <v>94</v>
      </c>
      <c r="K47" s="39">
        <v>5.26</v>
      </c>
      <c r="L47" s="32" t="s">
        <v>114</v>
      </c>
      <c r="M47" s="15">
        <v>6</v>
      </c>
      <c r="N47" s="44">
        <v>140</v>
      </c>
      <c r="O47" s="32" t="s">
        <v>127</v>
      </c>
      <c r="P47" s="28">
        <v>140</v>
      </c>
      <c r="Q47" s="15">
        <v>6</v>
      </c>
      <c r="R47" s="32"/>
      <c r="S47" s="32"/>
      <c r="U47" s="17">
        <v>4</v>
      </c>
      <c r="V47" s="21">
        <v>5</v>
      </c>
      <c r="W47" s="21">
        <v>20</v>
      </c>
      <c r="X47" s="21">
        <v>24</v>
      </c>
      <c r="Y47" s="21">
        <v>28</v>
      </c>
      <c r="Z47" s="21">
        <v>39</v>
      </c>
      <c r="AA47" s="26">
        <f t="shared" si="8"/>
        <v>8.3000000000000007</v>
      </c>
      <c r="AB47" s="27">
        <f t="shared" si="9"/>
        <v>7.6999999999999993</v>
      </c>
      <c r="AC47" s="26">
        <f t="shared" si="10"/>
        <v>9.5</v>
      </c>
      <c r="AD47" s="27">
        <f t="shared" si="11"/>
        <v>10.5</v>
      </c>
      <c r="AE47" s="26">
        <f t="shared" si="12"/>
        <v>10.7</v>
      </c>
      <c r="AF47" s="27">
        <f t="shared" si="13"/>
        <v>13.299999999999999</v>
      </c>
      <c r="AG47" s="26">
        <f t="shared" si="14"/>
        <v>14</v>
      </c>
      <c r="AH47" s="27">
        <f t="shared" si="15"/>
        <v>21</v>
      </c>
      <c r="AI47" s="28" t="s">
        <v>45</v>
      </c>
      <c r="AJ47" s="32"/>
      <c r="AK47" s="32"/>
    </row>
    <row r="48" spans="1:37" ht="14.25" customHeight="1">
      <c r="A48" s="75" t="s">
        <v>180</v>
      </c>
      <c r="B48" s="35" t="s">
        <v>181</v>
      </c>
      <c r="C48" s="17" t="s">
        <v>54</v>
      </c>
      <c r="D48" s="15" t="s">
        <v>41</v>
      </c>
      <c r="E48" s="38" t="s">
        <v>55</v>
      </c>
      <c r="F48" s="15">
        <v>30</v>
      </c>
      <c r="G48" s="19">
        <v>1</v>
      </c>
      <c r="H48" s="19">
        <f>F48*G48</f>
        <v>30</v>
      </c>
      <c r="I48" s="38" t="s">
        <v>56</v>
      </c>
      <c r="K48" s="39">
        <v>5.32</v>
      </c>
      <c r="L48" s="32" t="s">
        <v>114</v>
      </c>
      <c r="M48" s="17">
        <v>48</v>
      </c>
      <c r="N48" s="44">
        <v>140</v>
      </c>
      <c r="U48" s="17">
        <v>4</v>
      </c>
      <c r="V48" s="21">
        <v>5</v>
      </c>
      <c r="W48" s="21">
        <v>20</v>
      </c>
      <c r="X48" s="21">
        <v>24</v>
      </c>
      <c r="Y48" s="21">
        <v>28</v>
      </c>
      <c r="Z48" s="21">
        <v>39</v>
      </c>
      <c r="AA48" s="26">
        <f t="shared" si="8"/>
        <v>8.3000000000000007</v>
      </c>
      <c r="AB48" s="27">
        <f t="shared" si="9"/>
        <v>7.6999999999999993</v>
      </c>
      <c r="AC48" s="26">
        <f t="shared" si="10"/>
        <v>9.5</v>
      </c>
      <c r="AD48" s="27">
        <f t="shared" si="11"/>
        <v>10.5</v>
      </c>
      <c r="AE48" s="26">
        <f t="shared" si="12"/>
        <v>10.7</v>
      </c>
      <c r="AF48" s="27">
        <f t="shared" si="13"/>
        <v>13.299999999999999</v>
      </c>
      <c r="AG48" s="26">
        <f t="shared" si="14"/>
        <v>14</v>
      </c>
      <c r="AH48" s="27">
        <f t="shared" si="15"/>
        <v>21</v>
      </c>
      <c r="AI48" s="28" t="s">
        <v>45</v>
      </c>
      <c r="AJ48" s="32"/>
      <c r="AK48" s="32"/>
    </row>
    <row r="49" spans="1:37" ht="14.25" customHeight="1">
      <c r="A49" s="75" t="s">
        <v>180</v>
      </c>
      <c r="B49" s="35" t="s">
        <v>181</v>
      </c>
      <c r="C49" s="17" t="s">
        <v>54</v>
      </c>
      <c r="D49" s="15" t="s">
        <v>41</v>
      </c>
      <c r="E49" s="38" t="s">
        <v>55</v>
      </c>
      <c r="F49" s="15">
        <v>60</v>
      </c>
      <c r="G49" s="19">
        <v>1</v>
      </c>
      <c r="H49" s="19">
        <f>F49*G49</f>
        <v>60</v>
      </c>
      <c r="I49" s="38" t="s">
        <v>56</v>
      </c>
      <c r="K49" s="40">
        <f>34.3/4</f>
        <v>8.5749999999999993</v>
      </c>
      <c r="L49" s="32" t="s">
        <v>115</v>
      </c>
      <c r="M49" s="17">
        <v>4</v>
      </c>
      <c r="N49" s="25">
        <v>280</v>
      </c>
      <c r="U49" s="17">
        <f>K49</f>
        <v>8.5749999999999993</v>
      </c>
      <c r="V49" s="21">
        <v>5</v>
      </c>
      <c r="W49" s="21">
        <f>20+$U$225-4</f>
        <v>16</v>
      </c>
      <c r="X49" s="21">
        <f>24+$U$225-4</f>
        <v>20</v>
      </c>
      <c r="Y49" s="21">
        <f>28+$U$225-4</f>
        <v>24</v>
      </c>
      <c r="Z49" s="21">
        <f>39+$U$225-4</f>
        <v>35</v>
      </c>
      <c r="AA49" s="26">
        <f t="shared" si="8"/>
        <v>5.7275</v>
      </c>
      <c r="AB49" s="27">
        <f t="shared" si="9"/>
        <v>1.6975000000000005</v>
      </c>
      <c r="AC49" s="26">
        <f t="shared" si="10"/>
        <v>6.9275000000000002</v>
      </c>
      <c r="AD49" s="27">
        <f t="shared" si="11"/>
        <v>4.4975000000000005</v>
      </c>
      <c r="AE49" s="26">
        <f t="shared" si="12"/>
        <v>8.1274999999999995</v>
      </c>
      <c r="AF49" s="27">
        <f t="shared" si="13"/>
        <v>7.2975000000000003</v>
      </c>
      <c r="AG49" s="26">
        <f t="shared" si="14"/>
        <v>11.4275</v>
      </c>
      <c r="AH49" s="27">
        <f t="shared" si="15"/>
        <v>14.997499999999999</v>
      </c>
      <c r="AI49" s="28" t="s">
        <v>45</v>
      </c>
      <c r="AJ49" s="32"/>
      <c r="AK49" s="32"/>
    </row>
    <row r="50" spans="1:37" ht="14.25" customHeight="1">
      <c r="A50" s="70" t="s">
        <v>209</v>
      </c>
      <c r="B50" s="35">
        <v>2</v>
      </c>
      <c r="C50" s="17" t="s">
        <v>54</v>
      </c>
      <c r="D50" s="15" t="s">
        <v>41</v>
      </c>
      <c r="E50" s="38" t="s">
        <v>55</v>
      </c>
      <c r="F50" s="15">
        <v>30</v>
      </c>
      <c r="G50" s="19">
        <v>1</v>
      </c>
      <c r="H50" s="19">
        <f>F50*G50</f>
        <v>30</v>
      </c>
      <c r="I50" s="38" t="s">
        <v>56</v>
      </c>
      <c r="K50" s="39">
        <v>1.25</v>
      </c>
      <c r="L50" s="32" t="s">
        <v>87</v>
      </c>
      <c r="M50" s="28">
        <v>180</v>
      </c>
      <c r="N50" s="25">
        <v>112</v>
      </c>
      <c r="U50" s="17">
        <v>4</v>
      </c>
      <c r="V50" s="21">
        <v>5</v>
      </c>
      <c r="W50" s="21">
        <v>20</v>
      </c>
      <c r="X50" s="21">
        <v>24</v>
      </c>
      <c r="Y50" s="21">
        <v>28</v>
      </c>
      <c r="Z50" s="21">
        <v>39</v>
      </c>
      <c r="AA50" s="26">
        <f t="shared" si="8"/>
        <v>8.3000000000000007</v>
      </c>
      <c r="AB50" s="27">
        <f t="shared" si="9"/>
        <v>7.6999999999999993</v>
      </c>
      <c r="AC50" s="26">
        <f t="shared" si="10"/>
        <v>9.5</v>
      </c>
      <c r="AD50" s="27">
        <f t="shared" si="11"/>
        <v>10.5</v>
      </c>
      <c r="AE50" s="26">
        <f t="shared" si="12"/>
        <v>10.7</v>
      </c>
      <c r="AF50" s="27">
        <f t="shared" si="13"/>
        <v>13.299999999999999</v>
      </c>
      <c r="AG50" s="26">
        <f t="shared" si="14"/>
        <v>14</v>
      </c>
      <c r="AH50" s="27">
        <f t="shared" si="15"/>
        <v>21</v>
      </c>
      <c r="AI50" s="28" t="s">
        <v>45</v>
      </c>
      <c r="AJ50" s="32"/>
      <c r="AK50" s="32"/>
    </row>
    <row r="51" spans="1:37" ht="14.25" customHeight="1">
      <c r="A51" s="70" t="s">
        <v>210</v>
      </c>
      <c r="B51" s="35">
        <v>2</v>
      </c>
      <c r="C51" s="17" t="s">
        <v>54</v>
      </c>
      <c r="D51" s="15" t="s">
        <v>41</v>
      </c>
      <c r="E51" s="38" t="s">
        <v>156</v>
      </c>
      <c r="F51" s="15">
        <v>30</v>
      </c>
      <c r="G51" s="19">
        <v>1</v>
      </c>
      <c r="H51" s="19">
        <f>F51*G51</f>
        <v>30</v>
      </c>
      <c r="I51" s="38" t="s">
        <v>56</v>
      </c>
      <c r="K51" s="39">
        <v>2.8</v>
      </c>
      <c r="L51" s="32" t="s">
        <v>87</v>
      </c>
      <c r="M51" s="28">
        <v>224</v>
      </c>
      <c r="N51" s="25">
        <v>112</v>
      </c>
      <c r="U51" s="17">
        <v>8</v>
      </c>
      <c r="V51" s="21">
        <v>5</v>
      </c>
      <c r="W51" s="21">
        <v>24</v>
      </c>
      <c r="X51" s="21">
        <v>28</v>
      </c>
      <c r="Y51" s="21">
        <v>32</v>
      </c>
      <c r="Z51" s="21">
        <v>43</v>
      </c>
      <c r="AA51" s="26">
        <f t="shared" si="8"/>
        <v>8.3000000000000007</v>
      </c>
      <c r="AB51" s="27">
        <f t="shared" si="9"/>
        <v>7.6999999999999993</v>
      </c>
      <c r="AC51" s="26">
        <f t="shared" si="10"/>
        <v>9.5</v>
      </c>
      <c r="AD51" s="27">
        <f t="shared" si="11"/>
        <v>10.5</v>
      </c>
      <c r="AE51" s="26">
        <f t="shared" si="12"/>
        <v>10.7</v>
      </c>
      <c r="AF51" s="27">
        <f t="shared" si="13"/>
        <v>13.299999999999999</v>
      </c>
      <c r="AG51" s="26">
        <f t="shared" si="14"/>
        <v>14</v>
      </c>
      <c r="AH51" s="27">
        <f t="shared" si="15"/>
        <v>21</v>
      </c>
      <c r="AI51" s="28" t="s">
        <v>45</v>
      </c>
      <c r="AJ51" s="32"/>
      <c r="AK51" s="32"/>
    </row>
    <row r="52" spans="1:37" ht="14.25" customHeight="1">
      <c r="A52" s="70" t="s">
        <v>211</v>
      </c>
      <c r="B52" s="41">
        <v>45293</v>
      </c>
      <c r="C52" s="17" t="s">
        <v>54</v>
      </c>
      <c r="D52" s="15" t="s">
        <v>41</v>
      </c>
      <c r="E52" s="38" t="s">
        <v>55</v>
      </c>
      <c r="F52" s="15">
        <v>30</v>
      </c>
      <c r="G52" s="19">
        <v>1</v>
      </c>
      <c r="H52" s="19">
        <f>F52*G52</f>
        <v>30</v>
      </c>
      <c r="I52" s="38" t="s">
        <v>56</v>
      </c>
      <c r="K52" s="39">
        <v>5.38</v>
      </c>
      <c r="L52" s="32" t="s">
        <v>137</v>
      </c>
      <c r="M52" s="17">
        <v>84</v>
      </c>
      <c r="N52" s="25">
        <v>84</v>
      </c>
      <c r="U52" s="17">
        <v>4</v>
      </c>
      <c r="V52" s="21">
        <v>5</v>
      </c>
      <c r="W52" s="21">
        <v>20</v>
      </c>
      <c r="X52" s="21">
        <v>24</v>
      </c>
      <c r="Y52" s="21">
        <v>28</v>
      </c>
      <c r="Z52" s="21">
        <v>39</v>
      </c>
      <c r="AA52" s="26">
        <f t="shared" si="8"/>
        <v>8.3000000000000007</v>
      </c>
      <c r="AB52" s="27">
        <f t="shared" si="9"/>
        <v>7.6999999999999993</v>
      </c>
      <c r="AC52" s="26">
        <f t="shared" si="10"/>
        <v>9.5</v>
      </c>
      <c r="AD52" s="27">
        <f t="shared" si="11"/>
        <v>10.5</v>
      </c>
      <c r="AE52" s="26">
        <f t="shared" si="12"/>
        <v>10.7</v>
      </c>
      <c r="AF52" s="27">
        <f t="shared" si="13"/>
        <v>13.299999999999999</v>
      </c>
      <c r="AG52" s="26">
        <f t="shared" si="14"/>
        <v>14</v>
      </c>
      <c r="AH52" s="27">
        <f t="shared" si="15"/>
        <v>21</v>
      </c>
      <c r="AI52" s="28" t="s">
        <v>45</v>
      </c>
      <c r="AJ52" s="32"/>
      <c r="AK52" s="32"/>
    </row>
    <row r="53" spans="1:37" ht="14.25" customHeight="1">
      <c r="A53" s="70" t="s">
        <v>76</v>
      </c>
      <c r="B53" s="35" t="s">
        <v>69</v>
      </c>
      <c r="C53" s="17" t="s">
        <v>70</v>
      </c>
      <c r="D53" s="15" t="s">
        <v>41</v>
      </c>
      <c r="E53" s="33" t="s">
        <v>42</v>
      </c>
      <c r="F53" s="32">
        <v>63</v>
      </c>
      <c r="G53" s="19">
        <v>1</v>
      </c>
      <c r="H53" s="19">
        <f>F53*G53</f>
        <v>63</v>
      </c>
      <c r="I53" s="38" t="s">
        <v>42</v>
      </c>
      <c r="K53" s="39">
        <v>3.48</v>
      </c>
      <c r="L53" s="32" t="s">
        <v>137</v>
      </c>
      <c r="M53" s="17">
        <v>100</v>
      </c>
      <c r="N53" s="25">
        <v>84</v>
      </c>
      <c r="U53" s="17">
        <v>4</v>
      </c>
      <c r="V53" s="21">
        <v>5</v>
      </c>
      <c r="W53" s="21">
        <v>20</v>
      </c>
      <c r="X53" s="21">
        <v>24</v>
      </c>
      <c r="Y53" s="21">
        <v>28</v>
      </c>
      <c r="Z53" s="21">
        <v>39</v>
      </c>
      <c r="AA53" s="26">
        <f t="shared" si="8"/>
        <v>8.3000000000000007</v>
      </c>
      <c r="AB53" s="27">
        <f t="shared" si="9"/>
        <v>7.6999999999999993</v>
      </c>
      <c r="AC53" s="26">
        <f t="shared" si="10"/>
        <v>9.5</v>
      </c>
      <c r="AD53" s="27">
        <f t="shared" si="11"/>
        <v>10.5</v>
      </c>
      <c r="AE53" s="26">
        <f t="shared" si="12"/>
        <v>10.7</v>
      </c>
      <c r="AF53" s="27">
        <f t="shared" si="13"/>
        <v>13.299999999999999</v>
      </c>
      <c r="AG53" s="26">
        <f t="shared" si="14"/>
        <v>14</v>
      </c>
      <c r="AH53" s="27">
        <f t="shared" si="15"/>
        <v>21</v>
      </c>
      <c r="AI53" s="28" t="s">
        <v>45</v>
      </c>
      <c r="AJ53" s="32"/>
      <c r="AK53" s="32"/>
    </row>
    <row r="54" spans="1:37" ht="14.25" customHeight="1">
      <c r="A54" s="70" t="s">
        <v>178</v>
      </c>
      <c r="B54" s="35">
        <v>1</v>
      </c>
      <c r="C54" s="17" t="s">
        <v>54</v>
      </c>
      <c r="D54" s="15" t="s">
        <v>41</v>
      </c>
      <c r="E54" s="38" t="s">
        <v>55</v>
      </c>
      <c r="F54" s="15">
        <v>15</v>
      </c>
      <c r="G54" s="19">
        <v>1</v>
      </c>
      <c r="H54" s="19">
        <f>F54*G54</f>
        <v>15</v>
      </c>
      <c r="I54" s="38" t="s">
        <v>56</v>
      </c>
      <c r="K54" s="37">
        <v>14.8</v>
      </c>
      <c r="L54" s="32" t="s">
        <v>141</v>
      </c>
      <c r="M54" s="17">
        <v>360</v>
      </c>
      <c r="N54" s="25">
        <v>112</v>
      </c>
      <c r="U54" s="17">
        <f>K54</f>
        <v>14.8</v>
      </c>
      <c r="V54" s="21">
        <v>5</v>
      </c>
      <c r="W54" s="21">
        <f>20+$U$236-4</f>
        <v>16</v>
      </c>
      <c r="X54" s="21">
        <f>24+$U$236-4</f>
        <v>20</v>
      </c>
      <c r="Y54" s="21">
        <f>28+$U$236-4</f>
        <v>24</v>
      </c>
      <c r="Z54" s="21">
        <f>39+$U$236-4</f>
        <v>35</v>
      </c>
      <c r="AA54" s="26">
        <f t="shared" si="8"/>
        <v>3.86</v>
      </c>
      <c r="AB54" s="27">
        <f t="shared" si="9"/>
        <v>-2.66</v>
      </c>
      <c r="AC54" s="26">
        <f t="shared" si="10"/>
        <v>5.0599999999999996</v>
      </c>
      <c r="AD54" s="27">
        <f t="shared" si="11"/>
        <v>0.13999999999999949</v>
      </c>
      <c r="AE54" s="26">
        <f t="shared" si="12"/>
        <v>6.26</v>
      </c>
      <c r="AF54" s="27">
        <f t="shared" si="13"/>
        <v>2.9399999999999995</v>
      </c>
      <c r="AG54" s="26">
        <f t="shared" si="14"/>
        <v>9.5599999999999987</v>
      </c>
      <c r="AH54" s="27">
        <f t="shared" si="15"/>
        <v>10.639999999999999</v>
      </c>
      <c r="AI54" s="28" t="s">
        <v>45</v>
      </c>
      <c r="AJ54" s="32"/>
      <c r="AK54" s="32"/>
    </row>
    <row r="55" spans="1:37" ht="14.25" customHeight="1">
      <c r="A55" s="70" t="s">
        <v>179</v>
      </c>
      <c r="B55" s="35">
        <v>1</v>
      </c>
      <c r="C55" s="17" t="s">
        <v>54</v>
      </c>
      <c r="D55" s="15" t="s">
        <v>41</v>
      </c>
      <c r="E55" s="38" t="s">
        <v>156</v>
      </c>
      <c r="F55" s="15">
        <v>30</v>
      </c>
      <c r="G55" s="19">
        <v>1</v>
      </c>
      <c r="H55" s="19">
        <f>F55*G55</f>
        <v>30</v>
      </c>
      <c r="I55" s="38" t="s">
        <v>56</v>
      </c>
      <c r="K55" s="39">
        <v>5.24</v>
      </c>
      <c r="L55" s="32" t="s">
        <v>141</v>
      </c>
      <c r="M55" s="17">
        <v>750</v>
      </c>
      <c r="N55" s="25">
        <v>112</v>
      </c>
      <c r="U55" s="17">
        <v>4</v>
      </c>
      <c r="V55" s="21">
        <v>5</v>
      </c>
      <c r="W55" s="21">
        <v>20</v>
      </c>
      <c r="X55" s="21">
        <v>24</v>
      </c>
      <c r="Y55" s="21">
        <v>28</v>
      </c>
      <c r="Z55" s="21">
        <v>39</v>
      </c>
      <c r="AA55" s="26">
        <f t="shared" si="8"/>
        <v>8.3000000000000007</v>
      </c>
      <c r="AB55" s="27">
        <f t="shared" si="9"/>
        <v>7.6999999999999993</v>
      </c>
      <c r="AC55" s="26">
        <f t="shared" si="10"/>
        <v>9.5</v>
      </c>
      <c r="AD55" s="27">
        <f t="shared" si="11"/>
        <v>10.5</v>
      </c>
      <c r="AE55" s="26">
        <f t="shared" si="12"/>
        <v>10.7</v>
      </c>
      <c r="AF55" s="27">
        <f t="shared" si="13"/>
        <v>13.299999999999999</v>
      </c>
      <c r="AG55" s="26">
        <f t="shared" si="14"/>
        <v>14</v>
      </c>
      <c r="AH55" s="27">
        <f t="shared" si="15"/>
        <v>21</v>
      </c>
      <c r="AI55" s="28" t="s">
        <v>45</v>
      </c>
      <c r="AJ55" s="32"/>
      <c r="AK55" s="32"/>
    </row>
    <row r="56" spans="1:37" ht="14.25" customHeight="1">
      <c r="A56" s="70" t="s">
        <v>139</v>
      </c>
      <c r="B56" s="35">
        <v>2</v>
      </c>
      <c r="C56" s="17" t="s">
        <v>54</v>
      </c>
      <c r="D56" s="15" t="s">
        <v>41</v>
      </c>
      <c r="E56" s="38" t="s">
        <v>140</v>
      </c>
      <c r="F56" s="17">
        <v>120</v>
      </c>
      <c r="G56" s="19">
        <v>1</v>
      </c>
      <c r="H56" s="19">
        <f>F56*G56</f>
        <v>120</v>
      </c>
      <c r="I56" s="15" t="s">
        <v>106</v>
      </c>
      <c r="K56" s="39">
        <v>3.9</v>
      </c>
      <c r="L56" s="32" t="s">
        <v>141</v>
      </c>
      <c r="M56" s="15">
        <v>300</v>
      </c>
      <c r="N56" s="44">
        <v>112</v>
      </c>
      <c r="O56" s="32" t="s">
        <v>145</v>
      </c>
      <c r="P56" s="44">
        <v>112</v>
      </c>
      <c r="Q56" s="15">
        <v>300</v>
      </c>
      <c r="R56" s="32" t="s">
        <v>146</v>
      </c>
      <c r="S56" s="15">
        <v>300</v>
      </c>
      <c r="T56" s="44">
        <v>112</v>
      </c>
      <c r="U56" s="17">
        <v>4</v>
      </c>
      <c r="V56" s="21">
        <v>5</v>
      </c>
      <c r="W56" s="21">
        <v>20</v>
      </c>
      <c r="X56" s="21">
        <v>24</v>
      </c>
      <c r="Y56" s="21">
        <v>28</v>
      </c>
      <c r="Z56" s="21">
        <v>39</v>
      </c>
      <c r="AA56" s="26">
        <f t="shared" si="8"/>
        <v>8.3000000000000007</v>
      </c>
      <c r="AB56" s="27">
        <f t="shared" si="9"/>
        <v>7.6999999999999993</v>
      </c>
      <c r="AC56" s="26">
        <f t="shared" si="10"/>
        <v>9.5</v>
      </c>
      <c r="AD56" s="27">
        <f t="shared" si="11"/>
        <v>10.5</v>
      </c>
      <c r="AE56" s="26">
        <f t="shared" si="12"/>
        <v>10.7</v>
      </c>
      <c r="AF56" s="27">
        <f t="shared" si="13"/>
        <v>13.299999999999999</v>
      </c>
      <c r="AG56" s="26">
        <f t="shared" si="14"/>
        <v>14</v>
      </c>
      <c r="AH56" s="27">
        <f t="shared" si="15"/>
        <v>21</v>
      </c>
      <c r="AI56" s="28" t="s">
        <v>45</v>
      </c>
      <c r="AJ56" s="32"/>
      <c r="AK56" s="32"/>
    </row>
    <row r="57" spans="1:37" ht="14.25" customHeight="1">
      <c r="A57" s="70" t="s">
        <v>101</v>
      </c>
      <c r="B57" s="35">
        <v>15</v>
      </c>
      <c r="C57" s="17" t="s">
        <v>40</v>
      </c>
      <c r="D57" s="15" t="s">
        <v>41</v>
      </c>
      <c r="E57" s="33" t="s">
        <v>94</v>
      </c>
      <c r="F57" s="17">
        <f>28*1</f>
        <v>28</v>
      </c>
      <c r="G57" s="19">
        <v>1</v>
      </c>
      <c r="H57" s="19">
        <f>F57*G57</f>
        <v>28</v>
      </c>
      <c r="I57" s="38" t="s">
        <v>94</v>
      </c>
      <c r="K57" s="39">
        <v>4.2699999999999996</v>
      </c>
      <c r="L57" s="32" t="s">
        <v>141</v>
      </c>
      <c r="M57" s="17">
        <v>90</v>
      </c>
      <c r="N57" s="25">
        <v>112</v>
      </c>
      <c r="U57" s="17">
        <v>4</v>
      </c>
      <c r="V57" s="21">
        <v>5</v>
      </c>
      <c r="W57" s="21">
        <v>20</v>
      </c>
      <c r="X57" s="21">
        <v>24</v>
      </c>
      <c r="Y57" s="21">
        <v>28</v>
      </c>
      <c r="Z57" s="21">
        <v>39</v>
      </c>
      <c r="AA57" s="26">
        <f t="shared" si="8"/>
        <v>8.3000000000000007</v>
      </c>
      <c r="AB57" s="27">
        <f t="shared" si="9"/>
        <v>7.6999999999999993</v>
      </c>
      <c r="AC57" s="26">
        <f t="shared" si="10"/>
        <v>9.5</v>
      </c>
      <c r="AD57" s="27">
        <f t="shared" si="11"/>
        <v>10.5</v>
      </c>
      <c r="AE57" s="26">
        <f t="shared" si="12"/>
        <v>10.7</v>
      </c>
      <c r="AF57" s="27">
        <f t="shared" si="13"/>
        <v>13.299999999999999</v>
      </c>
      <c r="AG57" s="26">
        <f t="shared" si="14"/>
        <v>14</v>
      </c>
      <c r="AH57" s="27">
        <f t="shared" si="15"/>
        <v>21</v>
      </c>
      <c r="AI57" s="28" t="s">
        <v>45</v>
      </c>
      <c r="AJ57" s="32"/>
      <c r="AK57" s="32"/>
    </row>
    <row r="58" spans="1:37" ht="14.25" customHeight="1">
      <c r="A58" s="70" t="s">
        <v>101</v>
      </c>
      <c r="B58" s="35">
        <v>30</v>
      </c>
      <c r="C58" s="17" t="s">
        <v>40</v>
      </c>
      <c r="D58" s="15" t="s">
        <v>41</v>
      </c>
      <c r="E58" s="33" t="s">
        <v>94</v>
      </c>
      <c r="F58" s="17">
        <f>28*1</f>
        <v>28</v>
      </c>
      <c r="G58" s="19">
        <v>1</v>
      </c>
      <c r="H58" s="19">
        <f>F58*G58</f>
        <v>28</v>
      </c>
      <c r="I58" s="38" t="s">
        <v>94</v>
      </c>
      <c r="K58" s="39">
        <v>1.42</v>
      </c>
      <c r="L58" s="32" t="s">
        <v>151</v>
      </c>
      <c r="M58" s="17">
        <v>56</v>
      </c>
      <c r="N58" s="25">
        <v>42</v>
      </c>
      <c r="U58" s="17">
        <v>4</v>
      </c>
      <c r="V58" s="21">
        <v>5</v>
      </c>
      <c r="W58" s="21">
        <v>20</v>
      </c>
      <c r="X58" s="21">
        <v>24</v>
      </c>
      <c r="Y58" s="21">
        <v>28</v>
      </c>
      <c r="Z58" s="21">
        <v>39</v>
      </c>
      <c r="AA58" s="26">
        <f t="shared" si="8"/>
        <v>8.3000000000000007</v>
      </c>
      <c r="AB58" s="27">
        <f t="shared" si="9"/>
        <v>7.6999999999999993</v>
      </c>
      <c r="AC58" s="26">
        <f t="shared" si="10"/>
        <v>9.5</v>
      </c>
      <c r="AD58" s="27">
        <f t="shared" si="11"/>
        <v>10.5</v>
      </c>
      <c r="AE58" s="26">
        <f t="shared" si="12"/>
        <v>10.7</v>
      </c>
      <c r="AF58" s="27">
        <f t="shared" si="13"/>
        <v>13.299999999999999</v>
      </c>
      <c r="AG58" s="26">
        <f t="shared" si="14"/>
        <v>14</v>
      </c>
      <c r="AH58" s="27">
        <f t="shared" si="15"/>
        <v>21</v>
      </c>
      <c r="AI58" s="28" t="s">
        <v>45</v>
      </c>
      <c r="AJ58" s="32"/>
      <c r="AK58" s="32"/>
    </row>
    <row r="59" spans="1:37" ht="14.25" customHeight="1">
      <c r="A59" s="70" t="s">
        <v>75</v>
      </c>
      <c r="B59" s="35" t="s">
        <v>69</v>
      </c>
      <c r="C59" s="17" t="s">
        <v>70</v>
      </c>
      <c r="D59" s="15" t="s">
        <v>41</v>
      </c>
      <c r="E59" s="33" t="s">
        <v>42</v>
      </c>
      <c r="F59" s="32">
        <v>63</v>
      </c>
      <c r="G59" s="19">
        <v>1</v>
      </c>
      <c r="H59" s="19">
        <f>F59*G59</f>
        <v>63</v>
      </c>
      <c r="I59" s="38" t="s">
        <v>42</v>
      </c>
      <c r="K59" s="39">
        <v>2.67</v>
      </c>
      <c r="L59" s="32" t="s">
        <v>154</v>
      </c>
      <c r="M59" s="17">
        <v>24</v>
      </c>
      <c r="N59" s="25">
        <v>56</v>
      </c>
      <c r="U59" s="17">
        <v>4</v>
      </c>
      <c r="V59" s="21">
        <v>5</v>
      </c>
      <c r="W59" s="21">
        <v>20</v>
      </c>
      <c r="X59" s="21">
        <v>24</v>
      </c>
      <c r="Y59" s="21">
        <v>28</v>
      </c>
      <c r="Z59" s="21">
        <v>39</v>
      </c>
      <c r="AA59" s="26">
        <f t="shared" si="8"/>
        <v>8.3000000000000007</v>
      </c>
      <c r="AB59" s="27">
        <f t="shared" si="9"/>
        <v>7.6999999999999993</v>
      </c>
      <c r="AC59" s="26">
        <f t="shared" si="10"/>
        <v>9.5</v>
      </c>
      <c r="AD59" s="27">
        <f t="shared" si="11"/>
        <v>10.5</v>
      </c>
      <c r="AE59" s="26">
        <f t="shared" si="12"/>
        <v>10.7</v>
      </c>
      <c r="AF59" s="27">
        <f t="shared" si="13"/>
        <v>13.299999999999999</v>
      </c>
      <c r="AG59" s="26">
        <f t="shared" si="14"/>
        <v>14</v>
      </c>
      <c r="AH59" s="27">
        <f t="shared" si="15"/>
        <v>21</v>
      </c>
      <c r="AI59" s="28" t="s">
        <v>45</v>
      </c>
      <c r="AJ59" s="32"/>
      <c r="AK59" s="32"/>
    </row>
    <row r="60" spans="1:37" ht="14.25" customHeight="1">
      <c r="A60" s="15" t="s">
        <v>190</v>
      </c>
      <c r="B60" s="35">
        <v>408</v>
      </c>
      <c r="C60" s="17" t="s">
        <v>40</v>
      </c>
      <c r="D60" s="15" t="s">
        <v>41</v>
      </c>
      <c r="E60" s="38" t="s">
        <v>94</v>
      </c>
      <c r="F60" s="17">
        <v>28</v>
      </c>
      <c r="G60" s="19">
        <v>1</v>
      </c>
      <c r="H60" s="19">
        <f>F60*G60</f>
        <v>28</v>
      </c>
      <c r="I60" s="38" t="s">
        <v>94</v>
      </c>
      <c r="K60" s="49">
        <v>5.53</v>
      </c>
      <c r="L60" s="32" t="s">
        <v>154</v>
      </c>
      <c r="M60" s="17">
        <v>60</v>
      </c>
      <c r="N60" s="25">
        <v>56</v>
      </c>
      <c r="U60" s="17">
        <v>4</v>
      </c>
      <c r="V60" s="21">
        <v>5</v>
      </c>
      <c r="W60" s="21">
        <v>20</v>
      </c>
      <c r="X60" s="21">
        <v>24</v>
      </c>
      <c r="Y60" s="21">
        <v>28</v>
      </c>
      <c r="Z60" s="21">
        <v>39</v>
      </c>
      <c r="AA60" s="26">
        <f t="shared" si="8"/>
        <v>8.3000000000000007</v>
      </c>
      <c r="AB60" s="27">
        <f t="shared" si="9"/>
        <v>7.6999999999999993</v>
      </c>
      <c r="AC60" s="26">
        <f t="shared" si="10"/>
        <v>9.5</v>
      </c>
      <c r="AD60" s="27">
        <f t="shared" si="11"/>
        <v>10.5</v>
      </c>
      <c r="AE60" s="26">
        <f t="shared" si="12"/>
        <v>10.7</v>
      </c>
      <c r="AF60" s="27">
        <f t="shared" si="13"/>
        <v>13.299999999999999</v>
      </c>
      <c r="AG60" s="26">
        <f t="shared" si="14"/>
        <v>14</v>
      </c>
      <c r="AH60" s="27">
        <f t="shared" si="15"/>
        <v>21</v>
      </c>
      <c r="AI60" s="28" t="s">
        <v>45</v>
      </c>
      <c r="AJ60" s="15"/>
      <c r="AK60" s="15"/>
    </row>
    <row r="61" spans="1:37" ht="14.25" customHeight="1">
      <c r="A61" s="15" t="s">
        <v>64</v>
      </c>
      <c r="B61" s="16">
        <v>10</v>
      </c>
      <c r="C61" s="32" t="s">
        <v>40</v>
      </c>
      <c r="D61" s="15" t="s">
        <v>41</v>
      </c>
      <c r="E61" s="33" t="s">
        <v>42</v>
      </c>
      <c r="F61" s="17">
        <v>30</v>
      </c>
      <c r="G61" s="19">
        <v>1</v>
      </c>
      <c r="H61" s="19">
        <f>F61*G61</f>
        <v>30</v>
      </c>
      <c r="I61" s="20" t="s">
        <v>42</v>
      </c>
      <c r="K61" s="39">
        <v>1.52</v>
      </c>
      <c r="L61" s="32" t="s">
        <v>154</v>
      </c>
      <c r="M61" s="17">
        <v>24</v>
      </c>
      <c r="N61" s="25">
        <v>56</v>
      </c>
      <c r="U61" s="17">
        <v>4</v>
      </c>
      <c r="V61" s="21">
        <v>5</v>
      </c>
      <c r="W61" s="21">
        <v>20</v>
      </c>
      <c r="X61" s="21">
        <v>24</v>
      </c>
      <c r="Y61" s="21">
        <v>28</v>
      </c>
      <c r="Z61" s="21">
        <v>39</v>
      </c>
      <c r="AA61" s="26">
        <f t="shared" si="8"/>
        <v>8.3000000000000007</v>
      </c>
      <c r="AB61" s="27">
        <f t="shared" si="9"/>
        <v>7.6999999999999993</v>
      </c>
      <c r="AC61" s="26">
        <f t="shared" si="10"/>
        <v>9.5</v>
      </c>
      <c r="AD61" s="27">
        <f t="shared" si="11"/>
        <v>10.5</v>
      </c>
      <c r="AE61" s="26">
        <f t="shared" si="12"/>
        <v>10.7</v>
      </c>
      <c r="AF61" s="27">
        <f t="shared" si="13"/>
        <v>13.299999999999999</v>
      </c>
      <c r="AG61" s="26">
        <f t="shared" si="14"/>
        <v>14</v>
      </c>
      <c r="AH61" s="27">
        <f t="shared" si="15"/>
        <v>21</v>
      </c>
      <c r="AI61" s="28" t="s">
        <v>45</v>
      </c>
      <c r="AJ61" s="32"/>
      <c r="AK61" s="32"/>
    </row>
    <row r="62" spans="1:37" ht="14.25" customHeight="1">
      <c r="A62" s="38" t="s">
        <v>84</v>
      </c>
      <c r="B62" s="35">
        <v>250</v>
      </c>
      <c r="C62" s="17" t="s">
        <v>40</v>
      </c>
      <c r="D62" s="15" t="s">
        <v>41</v>
      </c>
      <c r="E62" s="38" t="s">
        <v>42</v>
      </c>
      <c r="F62" s="17">
        <v>28</v>
      </c>
      <c r="G62" s="19">
        <v>1</v>
      </c>
      <c r="H62" s="19">
        <f>F62*G62</f>
        <v>28</v>
      </c>
      <c r="I62" s="38" t="s">
        <v>42</v>
      </c>
      <c r="K62" s="49">
        <v>3.23</v>
      </c>
      <c r="L62" s="32" t="s">
        <v>154</v>
      </c>
      <c r="M62" s="17">
        <v>60</v>
      </c>
      <c r="N62" s="25">
        <v>56</v>
      </c>
      <c r="U62" s="17">
        <v>4</v>
      </c>
      <c r="V62" s="21">
        <v>5</v>
      </c>
      <c r="W62" s="21">
        <v>20</v>
      </c>
      <c r="X62" s="21">
        <v>24</v>
      </c>
      <c r="Y62" s="21">
        <v>28</v>
      </c>
      <c r="Z62" s="21">
        <v>39</v>
      </c>
      <c r="AA62" s="26">
        <f t="shared" si="8"/>
        <v>8.3000000000000007</v>
      </c>
      <c r="AB62" s="27">
        <f t="shared" si="9"/>
        <v>7.6999999999999993</v>
      </c>
      <c r="AC62" s="26">
        <f t="shared" si="10"/>
        <v>9.5</v>
      </c>
      <c r="AD62" s="27">
        <f t="shared" si="11"/>
        <v>10.5</v>
      </c>
      <c r="AE62" s="26">
        <f t="shared" si="12"/>
        <v>10.7</v>
      </c>
      <c r="AF62" s="27">
        <f t="shared" si="13"/>
        <v>13.299999999999999</v>
      </c>
      <c r="AG62" s="26">
        <f t="shared" si="14"/>
        <v>14</v>
      </c>
      <c r="AH62" s="27">
        <f t="shared" si="15"/>
        <v>21</v>
      </c>
      <c r="AI62" s="28" t="s">
        <v>45</v>
      </c>
      <c r="AJ62" s="15"/>
      <c r="AK62" s="15"/>
    </row>
    <row r="63" spans="1:37" ht="14.25" customHeight="1">
      <c r="A63" s="15" t="s">
        <v>84</v>
      </c>
      <c r="B63" s="16">
        <v>500</v>
      </c>
      <c r="C63" s="32" t="s">
        <v>40</v>
      </c>
      <c r="D63" s="15" t="s">
        <v>41</v>
      </c>
      <c r="E63" s="33" t="s">
        <v>42</v>
      </c>
      <c r="F63" s="17">
        <v>28</v>
      </c>
      <c r="G63" s="19">
        <v>1</v>
      </c>
      <c r="H63" s="19">
        <f>F63*G63</f>
        <v>28</v>
      </c>
      <c r="I63" s="38" t="s">
        <v>42</v>
      </c>
      <c r="K63" s="39">
        <v>4.1900000000000004</v>
      </c>
      <c r="L63" s="32" t="s">
        <v>154</v>
      </c>
      <c r="M63" s="17">
        <v>40</v>
      </c>
      <c r="N63" s="25">
        <v>56</v>
      </c>
      <c r="U63" s="17">
        <v>4</v>
      </c>
      <c r="V63" s="21">
        <v>5</v>
      </c>
      <c r="W63" s="21">
        <v>20</v>
      </c>
      <c r="X63" s="21">
        <v>24</v>
      </c>
      <c r="Y63" s="21">
        <v>28</v>
      </c>
      <c r="Z63" s="21">
        <v>39</v>
      </c>
      <c r="AA63" s="26">
        <f t="shared" si="8"/>
        <v>8.3000000000000007</v>
      </c>
      <c r="AB63" s="27">
        <f t="shared" si="9"/>
        <v>7.6999999999999993</v>
      </c>
      <c r="AC63" s="26">
        <f t="shared" si="10"/>
        <v>9.5</v>
      </c>
      <c r="AD63" s="27">
        <f t="shared" si="11"/>
        <v>10.5</v>
      </c>
      <c r="AE63" s="26">
        <f t="shared" si="12"/>
        <v>10.7</v>
      </c>
      <c r="AF63" s="27">
        <f t="shared" si="13"/>
        <v>13.299999999999999</v>
      </c>
      <c r="AG63" s="26">
        <f t="shared" si="14"/>
        <v>14</v>
      </c>
      <c r="AH63" s="27">
        <f t="shared" si="15"/>
        <v>21</v>
      </c>
      <c r="AI63" s="28" t="s">
        <v>45</v>
      </c>
      <c r="AJ63" s="32"/>
      <c r="AK63" s="32"/>
    </row>
    <row r="64" spans="1:37" ht="14.25" customHeight="1">
      <c r="A64" s="15" t="s">
        <v>187</v>
      </c>
      <c r="B64" s="35">
        <v>0.75</v>
      </c>
      <c r="C64" s="17" t="s">
        <v>54</v>
      </c>
      <c r="D64" s="15" t="s">
        <v>41</v>
      </c>
      <c r="E64" s="38" t="s">
        <v>135</v>
      </c>
      <c r="F64" s="15">
        <v>40</v>
      </c>
      <c r="G64" s="19">
        <v>1</v>
      </c>
      <c r="H64" s="19">
        <f>F64*G64</f>
        <v>40</v>
      </c>
      <c r="I64" s="38" t="s">
        <v>56</v>
      </c>
      <c r="K64" s="39">
        <v>5.08</v>
      </c>
      <c r="L64" s="32" t="s">
        <v>154</v>
      </c>
      <c r="M64" s="17">
        <v>24</v>
      </c>
      <c r="N64" s="25">
        <v>56</v>
      </c>
      <c r="U64" s="17">
        <v>4</v>
      </c>
      <c r="V64" s="21">
        <v>5</v>
      </c>
      <c r="W64" s="21">
        <v>20</v>
      </c>
      <c r="X64" s="21">
        <v>24</v>
      </c>
      <c r="Y64" s="21">
        <v>28</v>
      </c>
      <c r="Z64" s="21">
        <v>39</v>
      </c>
      <c r="AA64" s="26">
        <f t="shared" si="8"/>
        <v>8.3000000000000007</v>
      </c>
      <c r="AB64" s="27">
        <f t="shared" si="9"/>
        <v>7.6999999999999993</v>
      </c>
      <c r="AC64" s="26">
        <f t="shared" si="10"/>
        <v>9.5</v>
      </c>
      <c r="AD64" s="27">
        <f t="shared" si="11"/>
        <v>10.5</v>
      </c>
      <c r="AE64" s="26">
        <f t="shared" si="12"/>
        <v>10.7</v>
      </c>
      <c r="AF64" s="27">
        <f t="shared" si="13"/>
        <v>13.299999999999999</v>
      </c>
      <c r="AG64" s="26">
        <f t="shared" si="14"/>
        <v>14</v>
      </c>
      <c r="AH64" s="27">
        <f t="shared" si="15"/>
        <v>21</v>
      </c>
      <c r="AI64" s="28" t="s">
        <v>45</v>
      </c>
      <c r="AJ64" s="32"/>
      <c r="AK64" s="32"/>
    </row>
    <row r="65" spans="1:37" ht="14.25" customHeight="1">
      <c r="A65" s="15" t="s">
        <v>68</v>
      </c>
      <c r="B65" s="35" t="s">
        <v>69</v>
      </c>
      <c r="C65" s="17" t="s">
        <v>70</v>
      </c>
      <c r="D65" s="15" t="s">
        <v>41</v>
      </c>
      <c r="E65" s="33" t="s">
        <v>42</v>
      </c>
      <c r="F65" s="32">
        <v>63</v>
      </c>
      <c r="G65" s="19">
        <v>1</v>
      </c>
      <c r="H65" s="19">
        <f>F65*G65</f>
        <v>63</v>
      </c>
      <c r="I65" s="38" t="s">
        <v>42</v>
      </c>
      <c r="K65" s="50">
        <v>10.17</v>
      </c>
      <c r="L65" s="32" t="s">
        <v>154</v>
      </c>
      <c r="M65" s="17">
        <v>60</v>
      </c>
      <c r="N65" s="25">
        <v>56</v>
      </c>
      <c r="U65" s="17">
        <f>K65</f>
        <v>10.17</v>
      </c>
      <c r="V65" s="21">
        <v>5</v>
      </c>
      <c r="W65" s="21">
        <f>(20*(1))+($U$262-4)</f>
        <v>16</v>
      </c>
      <c r="X65" s="21">
        <f>(24*(1))+($U$262-4)</f>
        <v>20</v>
      </c>
      <c r="Y65" s="21">
        <f>(28*(1))+($U$262-4)</f>
        <v>24</v>
      </c>
      <c r="Z65" s="21">
        <f>(39*(1))+($U$262-4)</f>
        <v>35</v>
      </c>
      <c r="AA65" s="26">
        <f t="shared" si="8"/>
        <v>5.2489999999999997</v>
      </c>
      <c r="AB65" s="27">
        <f t="shared" si="9"/>
        <v>0.58099999999999996</v>
      </c>
      <c r="AC65" s="26">
        <f t="shared" si="10"/>
        <v>6.4489999999999998</v>
      </c>
      <c r="AD65" s="27">
        <f t="shared" si="11"/>
        <v>3.3809999999999998</v>
      </c>
      <c r="AE65" s="26">
        <f t="shared" si="12"/>
        <v>7.649</v>
      </c>
      <c r="AF65" s="27">
        <f t="shared" si="13"/>
        <v>6.181</v>
      </c>
      <c r="AG65" s="26">
        <f t="shared" si="14"/>
        <v>10.948999999999998</v>
      </c>
      <c r="AH65" s="27">
        <f t="shared" si="15"/>
        <v>13.880999999999998</v>
      </c>
      <c r="AI65" s="28" t="s">
        <v>45</v>
      </c>
      <c r="AJ65" s="15"/>
      <c r="AK65" s="15"/>
    </row>
    <row r="66" spans="1:37" ht="14.25" customHeight="1">
      <c r="A66" s="15" t="s">
        <v>174</v>
      </c>
      <c r="B66" s="35">
        <v>0.1</v>
      </c>
      <c r="C66" s="17" t="s">
        <v>54</v>
      </c>
      <c r="D66" s="15" t="s">
        <v>41</v>
      </c>
      <c r="E66" s="38" t="s">
        <v>55</v>
      </c>
      <c r="F66" s="15">
        <v>30</v>
      </c>
      <c r="G66" s="19">
        <v>1</v>
      </c>
      <c r="H66" s="19">
        <f>F66*G66</f>
        <v>30</v>
      </c>
      <c r="I66" s="38" t="s">
        <v>56</v>
      </c>
      <c r="K66" s="39">
        <v>1.49</v>
      </c>
      <c r="L66" s="32" t="s">
        <v>145</v>
      </c>
      <c r="M66" s="15">
        <v>90</v>
      </c>
      <c r="N66" s="44">
        <v>84</v>
      </c>
      <c r="O66" s="32" t="s">
        <v>146</v>
      </c>
      <c r="P66" s="44">
        <v>84</v>
      </c>
      <c r="Q66" s="15">
        <v>90</v>
      </c>
      <c r="R66" s="32" t="s">
        <v>172</v>
      </c>
      <c r="S66" s="15">
        <v>90</v>
      </c>
      <c r="T66" s="44">
        <v>84</v>
      </c>
      <c r="U66" s="21">
        <v>4</v>
      </c>
      <c r="V66" s="21">
        <v>5</v>
      </c>
      <c r="W66" s="21">
        <v>20</v>
      </c>
      <c r="X66" s="21">
        <v>24</v>
      </c>
      <c r="Y66" s="21">
        <v>28</v>
      </c>
      <c r="Z66" s="21">
        <v>39</v>
      </c>
      <c r="AA66" s="26">
        <f t="shared" ref="AA66:AA73" si="16">V66+(W66-U66-V66)*0.3</f>
        <v>8.3000000000000007</v>
      </c>
      <c r="AB66" s="27">
        <f t="shared" ref="AB66:AB73" si="17">(W66-U66-V66)*0.7</f>
        <v>7.6999999999999993</v>
      </c>
      <c r="AC66" s="26">
        <f t="shared" ref="AC66:AC73" si="18">V66+(X66-U66-V66)*0.3</f>
        <v>9.5</v>
      </c>
      <c r="AD66" s="27">
        <f t="shared" ref="AD66:AD73" si="19">(X66-U66-V66)*0.7</f>
        <v>10.5</v>
      </c>
      <c r="AE66" s="26">
        <f t="shared" ref="AE66:AE73" si="20">V66+(Y66-U66-V66)*0.3</f>
        <v>10.7</v>
      </c>
      <c r="AF66" s="27">
        <f t="shared" ref="AF66:AF73" si="21">(Y66-U66-V66)*0.7</f>
        <v>13.299999999999999</v>
      </c>
      <c r="AG66" s="26">
        <f t="shared" ref="AG66:AG73" si="22">V66+(Z66-U66-V66)*0.3</f>
        <v>14</v>
      </c>
      <c r="AH66" s="27">
        <f t="shared" ref="AH66:AH73" si="23">(Z66-U66-V66)*0.7</f>
        <v>21</v>
      </c>
      <c r="AI66" s="28" t="s">
        <v>45</v>
      </c>
      <c r="AJ66" s="32"/>
      <c r="AK66" s="32"/>
    </row>
    <row r="67" spans="1:37" ht="14.25" customHeight="1">
      <c r="A67" s="74" t="s">
        <v>129</v>
      </c>
      <c r="B67" s="35">
        <v>50</v>
      </c>
      <c r="C67" s="17" t="s">
        <v>130</v>
      </c>
      <c r="D67" s="15" t="s">
        <v>41</v>
      </c>
      <c r="E67" s="33" t="s">
        <v>125</v>
      </c>
      <c r="F67" s="17">
        <v>1</v>
      </c>
      <c r="G67" s="19">
        <v>1</v>
      </c>
      <c r="H67" s="19">
        <f>F67*G67</f>
        <v>1</v>
      </c>
      <c r="I67" s="38" t="s">
        <v>126</v>
      </c>
      <c r="K67" s="39">
        <v>2.65</v>
      </c>
      <c r="L67" s="32" t="s">
        <v>145</v>
      </c>
      <c r="M67" s="15">
        <v>200</v>
      </c>
      <c r="N67" s="44">
        <v>84</v>
      </c>
      <c r="O67" s="32" t="s">
        <v>146</v>
      </c>
      <c r="P67" s="44">
        <v>84</v>
      </c>
      <c r="Q67" s="15">
        <v>200</v>
      </c>
      <c r="R67" s="32" t="s">
        <v>172</v>
      </c>
      <c r="S67" s="15">
        <v>200</v>
      </c>
      <c r="T67" s="44">
        <v>84</v>
      </c>
      <c r="U67" s="21">
        <v>4</v>
      </c>
      <c r="V67" s="21">
        <v>5</v>
      </c>
      <c r="W67" s="21">
        <v>20</v>
      </c>
      <c r="X67" s="21">
        <v>24</v>
      </c>
      <c r="Y67" s="21">
        <v>28</v>
      </c>
      <c r="Z67" s="21">
        <v>39</v>
      </c>
      <c r="AA67" s="26">
        <f t="shared" si="16"/>
        <v>8.3000000000000007</v>
      </c>
      <c r="AB67" s="27">
        <f t="shared" si="17"/>
        <v>7.6999999999999993</v>
      </c>
      <c r="AC67" s="26">
        <f t="shared" si="18"/>
        <v>9.5</v>
      </c>
      <c r="AD67" s="27">
        <f t="shared" si="19"/>
        <v>10.5</v>
      </c>
      <c r="AE67" s="26">
        <f t="shared" si="20"/>
        <v>10.7</v>
      </c>
      <c r="AF67" s="27">
        <f t="shared" si="21"/>
        <v>13.299999999999999</v>
      </c>
      <c r="AG67" s="26">
        <f t="shared" si="22"/>
        <v>14</v>
      </c>
      <c r="AH67" s="27">
        <f t="shared" si="23"/>
        <v>21</v>
      </c>
      <c r="AI67" s="28" t="s">
        <v>45</v>
      </c>
      <c r="AJ67" s="32"/>
      <c r="AK67" s="32"/>
    </row>
    <row r="68" spans="1:37" ht="14.25" customHeight="1">
      <c r="A68" s="15" t="s">
        <v>175</v>
      </c>
      <c r="B68" s="35">
        <v>0.1</v>
      </c>
      <c r="C68" s="17" t="s">
        <v>54</v>
      </c>
      <c r="D68" s="15" t="s">
        <v>41</v>
      </c>
      <c r="E68" s="38" t="s">
        <v>156</v>
      </c>
      <c r="F68" s="15">
        <v>100</v>
      </c>
      <c r="G68" s="19">
        <v>1</v>
      </c>
      <c r="H68" s="19">
        <f>F68*G68</f>
        <v>100</v>
      </c>
      <c r="I68" s="38" t="s">
        <v>56</v>
      </c>
      <c r="K68" s="39">
        <v>4.18</v>
      </c>
      <c r="L68" s="32" t="s">
        <v>145</v>
      </c>
      <c r="M68" s="15">
        <v>90</v>
      </c>
      <c r="N68" s="44">
        <v>84</v>
      </c>
      <c r="O68" s="32" t="s">
        <v>172</v>
      </c>
      <c r="P68" s="44">
        <v>84</v>
      </c>
      <c r="Q68" s="15">
        <v>90</v>
      </c>
      <c r="T68" s="21"/>
      <c r="U68" s="21">
        <v>4</v>
      </c>
      <c r="V68" s="21">
        <v>5</v>
      </c>
      <c r="W68" s="21">
        <v>20</v>
      </c>
      <c r="X68" s="21">
        <v>24</v>
      </c>
      <c r="Y68" s="21">
        <v>28</v>
      </c>
      <c r="Z68" s="21">
        <v>39</v>
      </c>
      <c r="AA68" s="26">
        <f t="shared" si="16"/>
        <v>8.3000000000000007</v>
      </c>
      <c r="AB68" s="27">
        <f t="shared" si="17"/>
        <v>7.6999999999999993</v>
      </c>
      <c r="AC68" s="26">
        <f t="shared" si="18"/>
        <v>9.5</v>
      </c>
      <c r="AD68" s="27">
        <f t="shared" si="19"/>
        <v>10.5</v>
      </c>
      <c r="AE68" s="26">
        <f t="shared" si="20"/>
        <v>10.7</v>
      </c>
      <c r="AF68" s="27">
        <f t="shared" si="21"/>
        <v>13.299999999999999</v>
      </c>
      <c r="AG68" s="26">
        <f t="shared" si="22"/>
        <v>14</v>
      </c>
      <c r="AH68" s="27">
        <f t="shared" si="23"/>
        <v>21</v>
      </c>
      <c r="AI68" s="28" t="s">
        <v>45</v>
      </c>
      <c r="AJ68" s="32"/>
      <c r="AK68" s="32"/>
    </row>
    <row r="69" spans="1:37" ht="14.25" customHeight="1">
      <c r="A69" s="15" t="s">
        <v>86</v>
      </c>
      <c r="B69" s="16">
        <v>250</v>
      </c>
      <c r="C69" s="32" t="s">
        <v>40</v>
      </c>
      <c r="D69" s="15" t="s">
        <v>41</v>
      </c>
      <c r="E69" s="33" t="s">
        <v>42</v>
      </c>
      <c r="F69" s="17">
        <v>28</v>
      </c>
      <c r="G69" s="19">
        <v>1</v>
      </c>
      <c r="H69" s="19">
        <f>F69*G69</f>
        <v>28</v>
      </c>
      <c r="I69" s="38" t="s">
        <v>42</v>
      </c>
      <c r="K69" s="40">
        <v>8.4</v>
      </c>
      <c r="L69" s="32" t="s">
        <v>145</v>
      </c>
      <c r="M69" s="15">
        <v>200</v>
      </c>
      <c r="N69" s="44">
        <v>84</v>
      </c>
      <c r="O69" s="32" t="s">
        <v>172</v>
      </c>
      <c r="P69" s="44">
        <v>84</v>
      </c>
      <c r="Q69" s="15">
        <v>200</v>
      </c>
      <c r="T69" s="21"/>
      <c r="U69" s="21">
        <v>8</v>
      </c>
      <c r="V69" s="21">
        <v>5</v>
      </c>
      <c r="W69" s="21">
        <f>W66+4</f>
        <v>24</v>
      </c>
      <c r="X69" s="21">
        <f>X66+4</f>
        <v>28</v>
      </c>
      <c r="Y69" s="21">
        <f>Y66+4</f>
        <v>32</v>
      </c>
      <c r="Z69" s="21">
        <f>Z66+4</f>
        <v>43</v>
      </c>
      <c r="AA69" s="26">
        <f t="shared" si="16"/>
        <v>8.3000000000000007</v>
      </c>
      <c r="AB69" s="27">
        <f t="shared" si="17"/>
        <v>7.6999999999999993</v>
      </c>
      <c r="AC69" s="26">
        <f t="shared" si="18"/>
        <v>9.5</v>
      </c>
      <c r="AD69" s="27">
        <f t="shared" si="19"/>
        <v>10.5</v>
      </c>
      <c r="AE69" s="26">
        <f t="shared" si="20"/>
        <v>10.7</v>
      </c>
      <c r="AF69" s="27">
        <f t="shared" si="21"/>
        <v>13.299999999999999</v>
      </c>
      <c r="AG69" s="26">
        <f t="shared" si="22"/>
        <v>14</v>
      </c>
      <c r="AH69" s="27">
        <f t="shared" si="23"/>
        <v>21</v>
      </c>
      <c r="AI69" s="28" t="s">
        <v>45</v>
      </c>
      <c r="AJ69" s="32"/>
      <c r="AK69" s="32"/>
    </row>
    <row r="70" spans="1:37" ht="14.25" customHeight="1">
      <c r="A70" s="15" t="s">
        <v>86</v>
      </c>
      <c r="B70" s="16">
        <v>500</v>
      </c>
      <c r="C70" s="32" t="s">
        <v>40</v>
      </c>
      <c r="D70" s="15" t="s">
        <v>41</v>
      </c>
      <c r="E70" s="33" t="s">
        <v>42</v>
      </c>
      <c r="F70" s="17">
        <v>28</v>
      </c>
      <c r="G70" s="19">
        <v>1</v>
      </c>
      <c r="H70" s="19">
        <f>F70*G70</f>
        <v>28</v>
      </c>
      <c r="I70" s="38" t="s">
        <v>42</v>
      </c>
      <c r="K70" s="39">
        <v>1.86</v>
      </c>
      <c r="L70" s="32" t="s">
        <v>145</v>
      </c>
      <c r="M70" s="15">
        <v>90</v>
      </c>
      <c r="N70" s="44">
        <v>84</v>
      </c>
      <c r="O70" s="32" t="s">
        <v>146</v>
      </c>
      <c r="P70" s="44">
        <v>84</v>
      </c>
      <c r="Q70" s="15">
        <v>90</v>
      </c>
      <c r="R70" s="32" t="s">
        <v>172</v>
      </c>
      <c r="S70" s="15">
        <v>90</v>
      </c>
      <c r="T70" s="44">
        <v>84</v>
      </c>
      <c r="U70" s="21">
        <v>4</v>
      </c>
      <c r="V70" s="21">
        <v>5</v>
      </c>
      <c r="W70" s="21">
        <v>20</v>
      </c>
      <c r="X70" s="21">
        <v>24</v>
      </c>
      <c r="Y70" s="21">
        <v>28</v>
      </c>
      <c r="Z70" s="21">
        <v>39</v>
      </c>
      <c r="AA70" s="26">
        <f t="shared" si="16"/>
        <v>8.3000000000000007</v>
      </c>
      <c r="AB70" s="27">
        <f t="shared" si="17"/>
        <v>7.6999999999999993</v>
      </c>
      <c r="AC70" s="26">
        <f t="shared" si="18"/>
        <v>9.5</v>
      </c>
      <c r="AD70" s="27">
        <f t="shared" si="19"/>
        <v>10.5</v>
      </c>
      <c r="AE70" s="26">
        <f t="shared" si="20"/>
        <v>10.7</v>
      </c>
      <c r="AF70" s="27">
        <f t="shared" si="21"/>
        <v>13.299999999999999</v>
      </c>
      <c r="AG70" s="26">
        <f t="shared" si="22"/>
        <v>14</v>
      </c>
      <c r="AH70" s="27">
        <f t="shared" si="23"/>
        <v>21</v>
      </c>
      <c r="AI70" s="28" t="s">
        <v>45</v>
      </c>
      <c r="AJ70" s="32"/>
      <c r="AK70" s="32"/>
    </row>
    <row r="71" spans="1:37" ht="14.25" customHeight="1">
      <c r="A71" s="74" t="s">
        <v>91</v>
      </c>
      <c r="B71" s="16">
        <v>100</v>
      </c>
      <c r="C71" s="32" t="s">
        <v>40</v>
      </c>
      <c r="D71" s="15" t="s">
        <v>92</v>
      </c>
      <c r="E71" s="33" t="s">
        <v>93</v>
      </c>
      <c r="F71" s="17">
        <v>6</v>
      </c>
      <c r="G71" s="19">
        <v>1</v>
      </c>
      <c r="H71" s="19">
        <f>F71*G71</f>
        <v>6</v>
      </c>
      <c r="I71" s="38" t="s">
        <v>94</v>
      </c>
      <c r="K71" s="39">
        <v>1.49</v>
      </c>
      <c r="L71" s="32" t="s">
        <v>145</v>
      </c>
      <c r="M71" s="15">
        <v>200</v>
      </c>
      <c r="N71" s="44">
        <v>84</v>
      </c>
      <c r="O71" s="32" t="s">
        <v>146</v>
      </c>
      <c r="P71" s="44">
        <v>84</v>
      </c>
      <c r="Q71" s="15">
        <v>200</v>
      </c>
      <c r="R71" s="32" t="s">
        <v>172</v>
      </c>
      <c r="S71" s="15">
        <v>200</v>
      </c>
      <c r="T71" s="44">
        <v>84</v>
      </c>
      <c r="U71" s="21">
        <v>4</v>
      </c>
      <c r="V71" s="21">
        <v>5</v>
      </c>
      <c r="W71" s="21">
        <v>20</v>
      </c>
      <c r="X71" s="21">
        <v>24</v>
      </c>
      <c r="Y71" s="21">
        <v>28</v>
      </c>
      <c r="Z71" s="21">
        <v>39</v>
      </c>
      <c r="AA71" s="26">
        <f t="shared" si="16"/>
        <v>8.3000000000000007</v>
      </c>
      <c r="AB71" s="27">
        <f t="shared" si="17"/>
        <v>7.6999999999999993</v>
      </c>
      <c r="AC71" s="26">
        <f t="shared" si="18"/>
        <v>9.5</v>
      </c>
      <c r="AD71" s="27">
        <f t="shared" si="19"/>
        <v>10.5</v>
      </c>
      <c r="AE71" s="26">
        <f t="shared" si="20"/>
        <v>10.7</v>
      </c>
      <c r="AF71" s="27">
        <f t="shared" si="21"/>
        <v>13.299999999999999</v>
      </c>
      <c r="AG71" s="26">
        <f t="shared" si="22"/>
        <v>14</v>
      </c>
      <c r="AH71" s="27">
        <f t="shared" si="23"/>
        <v>21</v>
      </c>
      <c r="AI71" s="28" t="s">
        <v>45</v>
      </c>
      <c r="AJ71" s="32"/>
      <c r="AK71" s="32"/>
    </row>
    <row r="72" spans="1:37" ht="14.25" customHeight="1">
      <c r="A72" s="15" t="s">
        <v>61</v>
      </c>
      <c r="B72" s="16">
        <v>5</v>
      </c>
      <c r="C72" s="32" t="s">
        <v>40</v>
      </c>
      <c r="D72" s="15" t="s">
        <v>41</v>
      </c>
      <c r="E72" s="33" t="s">
        <v>42</v>
      </c>
      <c r="F72" s="17">
        <v>30</v>
      </c>
      <c r="G72" s="19">
        <v>1</v>
      </c>
      <c r="H72" s="19">
        <f>F72*G72</f>
        <v>30</v>
      </c>
      <c r="I72" s="20" t="s">
        <v>42</v>
      </c>
      <c r="K72" s="39">
        <v>1.46</v>
      </c>
      <c r="L72" s="32" t="s">
        <v>145</v>
      </c>
      <c r="M72" s="15">
        <v>45</v>
      </c>
      <c r="N72" s="44">
        <v>84</v>
      </c>
      <c r="O72" s="32" t="s">
        <v>172</v>
      </c>
      <c r="P72" s="44">
        <v>84</v>
      </c>
      <c r="Q72" s="15">
        <v>45</v>
      </c>
      <c r="T72" s="21"/>
      <c r="U72" s="21">
        <v>4</v>
      </c>
      <c r="V72" s="21">
        <v>5</v>
      </c>
      <c r="W72" s="21">
        <v>20</v>
      </c>
      <c r="X72" s="21">
        <v>24</v>
      </c>
      <c r="Y72" s="21">
        <v>28</v>
      </c>
      <c r="Z72" s="21">
        <v>39</v>
      </c>
      <c r="AA72" s="26">
        <f t="shared" si="16"/>
        <v>8.3000000000000007</v>
      </c>
      <c r="AB72" s="27">
        <f t="shared" si="17"/>
        <v>7.6999999999999993</v>
      </c>
      <c r="AC72" s="26">
        <f t="shared" si="18"/>
        <v>9.5</v>
      </c>
      <c r="AD72" s="27">
        <f t="shared" si="19"/>
        <v>10.5</v>
      </c>
      <c r="AE72" s="26">
        <f t="shared" si="20"/>
        <v>10.7</v>
      </c>
      <c r="AF72" s="27">
        <f t="shared" si="21"/>
        <v>13.299999999999999</v>
      </c>
      <c r="AG72" s="26">
        <f t="shared" si="22"/>
        <v>14</v>
      </c>
      <c r="AH72" s="27">
        <f t="shared" si="23"/>
        <v>21</v>
      </c>
      <c r="AI72" s="28" t="s">
        <v>45</v>
      </c>
      <c r="AJ72" s="32"/>
      <c r="AK72" s="32"/>
    </row>
    <row r="73" spans="1:37" ht="14.25" customHeight="1">
      <c r="A73" s="74" t="s">
        <v>120</v>
      </c>
      <c r="B73" s="35">
        <v>1</v>
      </c>
      <c r="C73" s="15" t="s">
        <v>121</v>
      </c>
      <c r="D73" s="15" t="s">
        <v>41</v>
      </c>
      <c r="E73" s="33" t="s">
        <v>122</v>
      </c>
      <c r="F73" s="15">
        <v>5</v>
      </c>
      <c r="G73" s="19">
        <v>1</v>
      </c>
      <c r="H73" s="19">
        <f>F73*G73</f>
        <v>5</v>
      </c>
      <c r="I73" s="38" t="s">
        <v>106</v>
      </c>
      <c r="K73" s="39">
        <v>1.46</v>
      </c>
      <c r="L73" s="32" t="s">
        <v>145</v>
      </c>
      <c r="M73" s="15">
        <v>90</v>
      </c>
      <c r="N73" s="44">
        <v>84</v>
      </c>
      <c r="O73" s="32" t="s">
        <v>172</v>
      </c>
      <c r="P73" s="44">
        <v>84</v>
      </c>
      <c r="Q73" s="15">
        <v>90</v>
      </c>
      <c r="T73" s="21"/>
      <c r="U73" s="21">
        <v>4</v>
      </c>
      <c r="V73" s="21">
        <v>5</v>
      </c>
      <c r="W73" s="21">
        <v>20</v>
      </c>
      <c r="X73" s="21">
        <v>24</v>
      </c>
      <c r="Y73" s="21">
        <v>28</v>
      </c>
      <c r="Z73" s="21">
        <v>39</v>
      </c>
      <c r="AA73" s="26">
        <f t="shared" si="16"/>
        <v>8.3000000000000007</v>
      </c>
      <c r="AB73" s="27">
        <f t="shared" si="17"/>
        <v>7.6999999999999993</v>
      </c>
      <c r="AC73" s="26">
        <f t="shared" si="18"/>
        <v>9.5</v>
      </c>
      <c r="AD73" s="27">
        <f t="shared" si="19"/>
        <v>10.5</v>
      </c>
      <c r="AE73" s="26">
        <f t="shared" si="20"/>
        <v>10.7</v>
      </c>
      <c r="AF73" s="27">
        <f t="shared" si="21"/>
        <v>13.299999999999999</v>
      </c>
      <c r="AG73" s="26">
        <f t="shared" si="22"/>
        <v>14</v>
      </c>
      <c r="AH73" s="27">
        <f t="shared" si="23"/>
        <v>21</v>
      </c>
      <c r="AI73" s="28" t="s">
        <v>45</v>
      </c>
      <c r="AJ73" s="32"/>
      <c r="AK73" s="32"/>
    </row>
    <row r="74" spans="1:37" ht="14.25" customHeight="1">
      <c r="A74" s="74" t="s">
        <v>99</v>
      </c>
      <c r="B74" s="35">
        <v>20</v>
      </c>
      <c r="C74" s="17" t="s">
        <v>40</v>
      </c>
      <c r="D74" s="15" t="s">
        <v>41</v>
      </c>
      <c r="E74" s="33" t="s">
        <v>94</v>
      </c>
      <c r="F74" s="17">
        <f>28*1</f>
        <v>28</v>
      </c>
      <c r="G74" s="19">
        <v>1</v>
      </c>
      <c r="H74" s="19">
        <f>F74*G74</f>
        <v>28</v>
      </c>
      <c r="I74" s="38" t="s">
        <v>94</v>
      </c>
      <c r="K74" s="39"/>
      <c r="L74" s="15" t="s">
        <v>182</v>
      </c>
      <c r="M74" s="28">
        <v>120</v>
      </c>
      <c r="N74" s="25">
        <v>84</v>
      </c>
      <c r="U74" s="17">
        <f>K74</f>
        <v>0</v>
      </c>
      <c r="V74" s="21">
        <v>5</v>
      </c>
      <c r="AA74" s="26"/>
      <c r="AB74" s="27"/>
      <c r="AC74" s="26"/>
      <c r="AD74" s="27"/>
      <c r="AE74" s="26"/>
      <c r="AF74" s="27"/>
      <c r="AG74" s="26"/>
      <c r="AH74" s="27"/>
      <c r="AI74" s="28" t="s">
        <v>169</v>
      </c>
      <c r="AJ74" s="32"/>
      <c r="AK74" s="32"/>
    </row>
    <row r="75" spans="1:37" ht="14.25" customHeight="1">
      <c r="A75" s="74" t="s">
        <v>99</v>
      </c>
      <c r="B75" s="35">
        <v>40</v>
      </c>
      <c r="C75" s="17" t="s">
        <v>40</v>
      </c>
      <c r="D75" s="15" t="s">
        <v>41</v>
      </c>
      <c r="E75" s="33" t="s">
        <v>94</v>
      </c>
      <c r="F75" s="17">
        <f>28*1</f>
        <v>28</v>
      </c>
      <c r="G75" s="19">
        <v>1</v>
      </c>
      <c r="H75" s="19">
        <f>F75*G75</f>
        <v>28</v>
      </c>
      <c r="I75" s="38" t="s">
        <v>94</v>
      </c>
      <c r="K75" s="50">
        <v>11.8</v>
      </c>
      <c r="L75" s="15" t="s">
        <v>145</v>
      </c>
      <c r="M75" s="15">
        <v>120</v>
      </c>
      <c r="N75" s="44">
        <v>84</v>
      </c>
      <c r="O75" s="32"/>
      <c r="U75" s="17">
        <f>K75</f>
        <v>11.8</v>
      </c>
      <c r="V75" s="22">
        <v>5</v>
      </c>
      <c r="W75" s="22">
        <f>20*1.6+($U$288-4)</f>
        <v>28</v>
      </c>
      <c r="X75" s="22">
        <f>24*1.6+($U$288-4)</f>
        <v>34.400000000000006</v>
      </c>
      <c r="Y75" s="22">
        <f>28*1.6+($U$288-4)</f>
        <v>40.800000000000004</v>
      </c>
      <c r="Z75" s="22">
        <f>39*1.6+($U$288-4)</f>
        <v>58.400000000000006</v>
      </c>
      <c r="AA75" s="26">
        <f t="shared" ref="AA75:AA111" si="24">V75+(W75-U75-V75)*0.3</f>
        <v>8.36</v>
      </c>
      <c r="AB75" s="27">
        <f t="shared" ref="AB75:AB111" si="25">(W75-U75-V75)*0.7</f>
        <v>7.839999999999999</v>
      </c>
      <c r="AC75" s="26">
        <f t="shared" ref="AC75:AC111" si="26">V75+(X75-U75-V75)*0.3</f>
        <v>10.280000000000001</v>
      </c>
      <c r="AD75" s="27">
        <f t="shared" ref="AD75:AD111" si="27">(X75-U75-V75)*0.7</f>
        <v>12.320000000000002</v>
      </c>
      <c r="AE75" s="26">
        <f t="shared" ref="AE75:AE111" si="28">V75+(Y75-U75-V75)*0.3</f>
        <v>12.200000000000001</v>
      </c>
      <c r="AF75" s="27">
        <f t="shared" ref="AF75:AF111" si="29">(Y75-U75-V75)*0.7</f>
        <v>16.8</v>
      </c>
      <c r="AG75" s="26">
        <f t="shared" ref="AG75:AG111" si="30">V75+(Z75-U75-V75)*0.3</f>
        <v>17.480000000000004</v>
      </c>
      <c r="AH75" s="27">
        <f t="shared" ref="AH75:AH111" si="31">(Z75-U75-V75)*0.7</f>
        <v>29.120000000000005</v>
      </c>
      <c r="AI75" s="28" t="s">
        <v>45</v>
      </c>
      <c r="AJ75" s="15"/>
      <c r="AK75" s="15"/>
    </row>
    <row r="76" spans="1:37" ht="14.25" customHeight="1">
      <c r="A76" s="74" t="s">
        <v>111</v>
      </c>
      <c r="B76" s="16">
        <v>120</v>
      </c>
      <c r="C76" s="32" t="s">
        <v>40</v>
      </c>
      <c r="D76" s="15" t="s">
        <v>41</v>
      </c>
      <c r="E76" s="33" t="s">
        <v>94</v>
      </c>
      <c r="F76" s="17">
        <v>84</v>
      </c>
      <c r="G76" s="19">
        <v>1</v>
      </c>
      <c r="H76" s="19">
        <f>F76*G76</f>
        <v>84</v>
      </c>
      <c r="I76" s="38" t="s">
        <v>94</v>
      </c>
      <c r="K76" s="40">
        <v>7.48</v>
      </c>
      <c r="L76" s="32" t="s">
        <v>185</v>
      </c>
      <c r="M76" s="15">
        <v>90</v>
      </c>
      <c r="N76" s="44">
        <v>84</v>
      </c>
      <c r="O76" s="32" t="s">
        <v>186</v>
      </c>
      <c r="P76" s="44">
        <v>84</v>
      </c>
      <c r="Q76" s="15">
        <v>90</v>
      </c>
      <c r="U76" s="17">
        <v>8</v>
      </c>
      <c r="V76" s="21">
        <v>5</v>
      </c>
      <c r="W76" s="21">
        <f>20+4</f>
        <v>24</v>
      </c>
      <c r="X76" s="21">
        <v>28</v>
      </c>
      <c r="Y76" s="21">
        <v>32</v>
      </c>
      <c r="Z76" s="21">
        <v>43</v>
      </c>
      <c r="AA76" s="26">
        <f t="shared" si="24"/>
        <v>8.3000000000000007</v>
      </c>
      <c r="AB76" s="27">
        <f t="shared" si="25"/>
        <v>7.6999999999999993</v>
      </c>
      <c r="AC76" s="26">
        <f t="shared" si="26"/>
        <v>9.5</v>
      </c>
      <c r="AD76" s="27">
        <f t="shared" si="27"/>
        <v>10.5</v>
      </c>
      <c r="AE76" s="26">
        <f t="shared" si="28"/>
        <v>10.7</v>
      </c>
      <c r="AF76" s="27">
        <f t="shared" si="29"/>
        <v>13.299999999999999</v>
      </c>
      <c r="AG76" s="26">
        <f t="shared" si="30"/>
        <v>14</v>
      </c>
      <c r="AH76" s="27">
        <f t="shared" si="31"/>
        <v>21</v>
      </c>
      <c r="AI76" s="28" t="s">
        <v>45</v>
      </c>
      <c r="AJ76" s="32"/>
      <c r="AK76" s="32"/>
    </row>
    <row r="77" spans="1:37" ht="14.25" customHeight="1">
      <c r="A77" s="74" t="s">
        <v>103</v>
      </c>
      <c r="B77" s="43" t="s">
        <v>104</v>
      </c>
      <c r="C77" s="17" t="s">
        <v>54</v>
      </c>
      <c r="D77" s="15" t="s">
        <v>92</v>
      </c>
      <c r="E77" s="38" t="s">
        <v>105</v>
      </c>
      <c r="F77" s="28">
        <v>5</v>
      </c>
      <c r="G77" s="19">
        <v>1</v>
      </c>
      <c r="H77" s="19">
        <f>F77*G77</f>
        <v>5</v>
      </c>
      <c r="I77" s="38" t="s">
        <v>106</v>
      </c>
      <c r="K77" s="39">
        <v>3.2</v>
      </c>
      <c r="L77" s="32" t="s">
        <v>185</v>
      </c>
      <c r="M77" s="17">
        <v>120</v>
      </c>
      <c r="N77" s="25">
        <v>84</v>
      </c>
      <c r="P77" s="44"/>
      <c r="U77" s="17">
        <v>4</v>
      </c>
      <c r="V77" s="21">
        <v>5</v>
      </c>
      <c r="W77" s="21">
        <v>20</v>
      </c>
      <c r="X77" s="21">
        <v>24</v>
      </c>
      <c r="Y77" s="21">
        <v>28</v>
      </c>
      <c r="Z77" s="21">
        <v>39</v>
      </c>
      <c r="AA77" s="26">
        <f t="shared" si="24"/>
        <v>8.3000000000000007</v>
      </c>
      <c r="AB77" s="27">
        <f t="shared" si="25"/>
        <v>7.6999999999999993</v>
      </c>
      <c r="AC77" s="26">
        <f t="shared" si="26"/>
        <v>9.5</v>
      </c>
      <c r="AD77" s="27">
        <f t="shared" si="27"/>
        <v>10.5</v>
      </c>
      <c r="AE77" s="26">
        <f t="shared" si="28"/>
        <v>10.7</v>
      </c>
      <c r="AF77" s="27">
        <f t="shared" si="29"/>
        <v>13.299999999999999</v>
      </c>
      <c r="AG77" s="26">
        <f t="shared" si="30"/>
        <v>14</v>
      </c>
      <c r="AH77" s="27">
        <f t="shared" si="31"/>
        <v>21</v>
      </c>
      <c r="AI77" s="28" t="s">
        <v>45</v>
      </c>
      <c r="AJ77" s="32"/>
      <c r="AK77" s="32"/>
    </row>
    <row r="78" spans="1:37" ht="14.25" customHeight="1">
      <c r="A78" s="74" t="s">
        <v>134</v>
      </c>
      <c r="B78" s="35">
        <v>0.5</v>
      </c>
      <c r="C78" s="17" t="s">
        <v>54</v>
      </c>
      <c r="D78" s="15" t="s">
        <v>41</v>
      </c>
      <c r="E78" s="38" t="s">
        <v>135</v>
      </c>
      <c r="F78" s="28">
        <v>60</v>
      </c>
      <c r="G78" s="19">
        <v>1</v>
      </c>
      <c r="H78" s="19">
        <f>F78*G78</f>
        <v>60</v>
      </c>
      <c r="I78" s="38" t="s">
        <v>56</v>
      </c>
      <c r="K78" s="37">
        <v>13.4</v>
      </c>
      <c r="L78" s="32" t="s">
        <v>186</v>
      </c>
      <c r="M78" s="17">
        <v>135</v>
      </c>
      <c r="N78" s="25">
        <v>112</v>
      </c>
      <c r="U78" s="17">
        <f>K78</f>
        <v>13.4</v>
      </c>
      <c r="V78" s="21">
        <v>5</v>
      </c>
      <c r="W78" s="21">
        <f>(20+($U$297-4))</f>
        <v>16</v>
      </c>
      <c r="X78" s="21">
        <f>(24+($U$297-4))</f>
        <v>20</v>
      </c>
      <c r="Y78" s="21">
        <f>(28+($U$297-4))</f>
        <v>24</v>
      </c>
      <c r="Z78" s="21">
        <f>(39+($U$297-4))</f>
        <v>35</v>
      </c>
      <c r="AA78" s="26">
        <f t="shared" si="24"/>
        <v>4.28</v>
      </c>
      <c r="AB78" s="27">
        <f t="shared" si="25"/>
        <v>-1.6800000000000002</v>
      </c>
      <c r="AC78" s="26">
        <f t="shared" si="26"/>
        <v>5.4799999999999995</v>
      </c>
      <c r="AD78" s="27">
        <f t="shared" si="27"/>
        <v>1.1199999999999997</v>
      </c>
      <c r="AE78" s="26">
        <f t="shared" si="28"/>
        <v>6.68</v>
      </c>
      <c r="AF78" s="27">
        <f t="shared" si="29"/>
        <v>3.9199999999999995</v>
      </c>
      <c r="AG78" s="26">
        <f t="shared" si="30"/>
        <v>9.98</v>
      </c>
      <c r="AH78" s="27">
        <f t="shared" si="31"/>
        <v>11.620000000000001</v>
      </c>
      <c r="AI78" s="28" t="s">
        <v>45</v>
      </c>
      <c r="AJ78" s="32"/>
      <c r="AK78" s="32"/>
    </row>
    <row r="79" spans="1:37" ht="14.25" customHeight="1">
      <c r="A79" s="74" t="s">
        <v>134</v>
      </c>
      <c r="B79" s="35">
        <v>0.5</v>
      </c>
      <c r="C79" s="17" t="s">
        <v>54</v>
      </c>
      <c r="D79" s="15" t="s">
        <v>41</v>
      </c>
      <c r="E79" s="38" t="s">
        <v>135</v>
      </c>
      <c r="F79" s="28">
        <v>112</v>
      </c>
      <c r="G79" s="19">
        <v>1</v>
      </c>
      <c r="H79" s="19">
        <f>F79*G79</f>
        <v>112</v>
      </c>
      <c r="I79" s="38" t="s">
        <v>56</v>
      </c>
      <c r="K79" s="37">
        <v>13.73</v>
      </c>
      <c r="L79" s="32" t="s">
        <v>186</v>
      </c>
      <c r="M79" s="17">
        <v>135</v>
      </c>
      <c r="N79" s="25">
        <v>112</v>
      </c>
      <c r="U79" s="17">
        <f>K79</f>
        <v>13.73</v>
      </c>
      <c r="V79" s="21">
        <v>5</v>
      </c>
      <c r="W79" s="21">
        <f>(20+($U$300-4))</f>
        <v>16</v>
      </c>
      <c r="X79" s="21">
        <f>(24+($U$300-4))</f>
        <v>20</v>
      </c>
      <c r="Y79" s="21">
        <f>(28+($U$300-4))</f>
        <v>24</v>
      </c>
      <c r="Z79" s="21">
        <f>(39+($U$300-4))</f>
        <v>35</v>
      </c>
      <c r="AA79" s="26">
        <f t="shared" si="24"/>
        <v>4.181</v>
      </c>
      <c r="AB79" s="27">
        <f t="shared" si="25"/>
        <v>-1.9110000000000003</v>
      </c>
      <c r="AC79" s="26">
        <f t="shared" si="26"/>
        <v>5.3810000000000002</v>
      </c>
      <c r="AD79" s="27">
        <f t="shared" si="27"/>
        <v>0.88899999999999968</v>
      </c>
      <c r="AE79" s="26">
        <f t="shared" si="28"/>
        <v>6.5809999999999995</v>
      </c>
      <c r="AF79" s="27">
        <f t="shared" si="29"/>
        <v>3.6889999999999996</v>
      </c>
      <c r="AG79" s="26">
        <f t="shared" si="30"/>
        <v>9.8810000000000002</v>
      </c>
      <c r="AH79" s="27">
        <f t="shared" si="31"/>
        <v>11.388999999999999</v>
      </c>
      <c r="AI79" s="28" t="s">
        <v>45</v>
      </c>
      <c r="AJ79" s="32"/>
      <c r="AK79" s="32"/>
    </row>
    <row r="80" spans="1:37" ht="14.25" customHeight="1">
      <c r="A80" s="15" t="s">
        <v>51</v>
      </c>
      <c r="B80" s="16">
        <v>30</v>
      </c>
      <c r="C80" s="32" t="s">
        <v>40</v>
      </c>
      <c r="D80" s="15" t="s">
        <v>41</v>
      </c>
      <c r="E80" s="33" t="s">
        <v>42</v>
      </c>
      <c r="F80" s="17">
        <v>3</v>
      </c>
      <c r="G80" s="19">
        <v>1</v>
      </c>
      <c r="H80" s="19">
        <f>F80*G80</f>
        <v>3</v>
      </c>
      <c r="I80" s="20" t="s">
        <v>42</v>
      </c>
      <c r="K80" s="37">
        <v>19.53</v>
      </c>
      <c r="L80" s="32" t="s">
        <v>186</v>
      </c>
      <c r="M80" s="17">
        <v>135</v>
      </c>
      <c r="N80" s="25">
        <v>112</v>
      </c>
      <c r="U80" s="17">
        <f>K80</f>
        <v>19.53</v>
      </c>
      <c r="V80" s="21">
        <v>5</v>
      </c>
      <c r="W80" s="21">
        <f>(20+($U$303-4))</f>
        <v>16</v>
      </c>
      <c r="X80" s="21">
        <f>(24+($U$303-4))</f>
        <v>20</v>
      </c>
      <c r="Y80" s="21">
        <f>(28+($U$303-4))</f>
        <v>24</v>
      </c>
      <c r="Z80" s="21">
        <f>(39+($U$303-4))</f>
        <v>35</v>
      </c>
      <c r="AA80" s="26">
        <f t="shared" si="24"/>
        <v>2.4409999999999998</v>
      </c>
      <c r="AB80" s="27">
        <f t="shared" si="25"/>
        <v>-5.9710000000000001</v>
      </c>
      <c r="AC80" s="26">
        <f t="shared" si="26"/>
        <v>3.641</v>
      </c>
      <c r="AD80" s="27">
        <f t="shared" si="27"/>
        <v>-3.1710000000000007</v>
      </c>
      <c r="AE80" s="26">
        <f t="shared" si="28"/>
        <v>4.8409999999999993</v>
      </c>
      <c r="AF80" s="27">
        <f t="shared" si="29"/>
        <v>-0.37100000000000077</v>
      </c>
      <c r="AG80" s="26">
        <f t="shared" si="30"/>
        <v>8.141</v>
      </c>
      <c r="AH80" s="27">
        <f t="shared" si="31"/>
        <v>7.3289999999999988</v>
      </c>
      <c r="AI80" s="28" t="s">
        <v>45</v>
      </c>
      <c r="AJ80" s="32"/>
      <c r="AK80" s="32"/>
    </row>
    <row r="81" spans="1:37" ht="14.25" customHeight="1">
      <c r="A81" s="15" t="s">
        <v>51</v>
      </c>
      <c r="B81" s="16">
        <v>60</v>
      </c>
      <c r="C81" s="32" t="s">
        <v>40</v>
      </c>
      <c r="D81" s="15" t="s">
        <v>41</v>
      </c>
      <c r="E81" s="33" t="s">
        <v>42</v>
      </c>
      <c r="F81" s="17">
        <v>3</v>
      </c>
      <c r="G81" s="19">
        <v>1</v>
      </c>
      <c r="H81" s="19">
        <f>F81*G81</f>
        <v>3</v>
      </c>
      <c r="I81" s="20" t="s">
        <v>42</v>
      </c>
      <c r="K81" s="37">
        <v>19.53</v>
      </c>
      <c r="L81" s="32" t="s">
        <v>186</v>
      </c>
      <c r="M81" s="17">
        <v>135</v>
      </c>
      <c r="N81" s="25">
        <v>112</v>
      </c>
      <c r="U81" s="17">
        <f>K81</f>
        <v>19.53</v>
      </c>
      <c r="V81" s="21">
        <v>5</v>
      </c>
      <c r="W81" s="21">
        <f>(20+($U$306-4))</f>
        <v>16</v>
      </c>
      <c r="X81" s="21">
        <f>(24+($U$306-4))</f>
        <v>20</v>
      </c>
      <c r="Y81" s="21">
        <f>(28+($U$306-4))</f>
        <v>24</v>
      </c>
      <c r="Z81" s="21">
        <f>(39+($U$306-4))</f>
        <v>35</v>
      </c>
      <c r="AA81" s="26">
        <f t="shared" si="24"/>
        <v>2.4409999999999998</v>
      </c>
      <c r="AB81" s="27">
        <f t="shared" si="25"/>
        <v>-5.9710000000000001</v>
      </c>
      <c r="AC81" s="26">
        <f t="shared" si="26"/>
        <v>3.641</v>
      </c>
      <c r="AD81" s="27">
        <f t="shared" si="27"/>
        <v>-3.1710000000000007</v>
      </c>
      <c r="AE81" s="26">
        <f t="shared" si="28"/>
        <v>4.8409999999999993</v>
      </c>
      <c r="AF81" s="27">
        <f t="shared" si="29"/>
        <v>-0.37100000000000077</v>
      </c>
      <c r="AG81" s="26">
        <f t="shared" si="30"/>
        <v>8.141</v>
      </c>
      <c r="AH81" s="27">
        <f t="shared" si="31"/>
        <v>7.3289999999999988</v>
      </c>
      <c r="AI81" s="28" t="s">
        <v>45</v>
      </c>
      <c r="AJ81" s="32"/>
      <c r="AK81" s="32"/>
    </row>
    <row r="82" spans="1:37" ht="14.25" customHeight="1">
      <c r="A82" s="74" t="s">
        <v>136</v>
      </c>
      <c r="B82" s="35">
        <v>5</v>
      </c>
      <c r="C82" s="17" t="s">
        <v>40</v>
      </c>
      <c r="D82" s="15" t="s">
        <v>41</v>
      </c>
      <c r="E82" s="33" t="s">
        <v>42</v>
      </c>
      <c r="F82" s="17">
        <v>28</v>
      </c>
      <c r="G82" s="19">
        <v>1</v>
      </c>
      <c r="H82" s="19">
        <f>F82*G82</f>
        <v>28</v>
      </c>
      <c r="I82" s="38" t="s">
        <v>42</v>
      </c>
      <c r="K82" s="37">
        <v>13.14</v>
      </c>
      <c r="L82" s="32" t="s">
        <v>186</v>
      </c>
      <c r="M82" s="17">
        <v>90</v>
      </c>
      <c r="N82" s="25">
        <v>84</v>
      </c>
      <c r="U82" s="17">
        <f>K82</f>
        <v>13.14</v>
      </c>
      <c r="V82" s="21">
        <v>5</v>
      </c>
      <c r="W82" s="21">
        <f>(20+($U$309-4))</f>
        <v>16</v>
      </c>
      <c r="X82" s="21">
        <f>(24+($U$309-4))</f>
        <v>20</v>
      </c>
      <c r="Y82" s="21">
        <f>(28+($U$309-4))</f>
        <v>24</v>
      </c>
      <c r="Z82" s="21">
        <f>(39+($U$309-4))</f>
        <v>35</v>
      </c>
      <c r="AA82" s="26">
        <f t="shared" si="24"/>
        <v>4.3579999999999997</v>
      </c>
      <c r="AB82" s="27">
        <f t="shared" si="25"/>
        <v>-1.4980000000000002</v>
      </c>
      <c r="AC82" s="26">
        <f t="shared" si="26"/>
        <v>5.5579999999999998</v>
      </c>
      <c r="AD82" s="27">
        <f t="shared" si="27"/>
        <v>1.3019999999999996</v>
      </c>
      <c r="AE82" s="26">
        <f t="shared" si="28"/>
        <v>6.758</v>
      </c>
      <c r="AF82" s="27">
        <f t="shared" si="29"/>
        <v>4.1019999999999994</v>
      </c>
      <c r="AG82" s="26">
        <f t="shared" si="30"/>
        <v>10.058</v>
      </c>
      <c r="AH82" s="27">
        <f t="shared" si="31"/>
        <v>11.802</v>
      </c>
      <c r="AI82" s="28" t="s">
        <v>45</v>
      </c>
      <c r="AJ82" s="32"/>
      <c r="AK82" s="32"/>
    </row>
    <row r="83" spans="1:37" ht="14.25" customHeight="1">
      <c r="A83" s="38" t="s">
        <v>165</v>
      </c>
      <c r="B83" s="41">
        <v>45417</v>
      </c>
      <c r="C83" s="28" t="s">
        <v>40</v>
      </c>
      <c r="D83" s="15" t="s">
        <v>41</v>
      </c>
      <c r="E83" s="38" t="s">
        <v>156</v>
      </c>
      <c r="F83" s="17">
        <v>30</v>
      </c>
      <c r="G83" s="19">
        <v>1</v>
      </c>
      <c r="H83" s="19">
        <f>F83*G83</f>
        <v>30</v>
      </c>
      <c r="I83" s="38" t="s">
        <v>56</v>
      </c>
      <c r="K83" s="40">
        <v>8.92</v>
      </c>
      <c r="L83" s="32" t="s">
        <v>186</v>
      </c>
      <c r="M83" s="17">
        <v>90</v>
      </c>
      <c r="N83" s="25">
        <v>84</v>
      </c>
      <c r="U83" s="17">
        <v>8</v>
      </c>
      <c r="V83" s="21">
        <v>5</v>
      </c>
      <c r="W83" s="21">
        <f>(20+($U$312-4))</f>
        <v>16</v>
      </c>
      <c r="X83" s="21">
        <f>(24+($U$312-4))</f>
        <v>20</v>
      </c>
      <c r="Y83" s="21">
        <f>(28+($U$312-4))</f>
        <v>24</v>
      </c>
      <c r="Z83" s="21">
        <f>(39+($U$312-4))</f>
        <v>35</v>
      </c>
      <c r="AA83" s="26">
        <f t="shared" si="24"/>
        <v>5.9</v>
      </c>
      <c r="AB83" s="27">
        <f t="shared" si="25"/>
        <v>2.0999999999999996</v>
      </c>
      <c r="AC83" s="26">
        <f t="shared" si="26"/>
        <v>7.1</v>
      </c>
      <c r="AD83" s="27">
        <f t="shared" si="27"/>
        <v>4.8999999999999995</v>
      </c>
      <c r="AE83" s="26">
        <f t="shared" si="28"/>
        <v>8.3000000000000007</v>
      </c>
      <c r="AF83" s="27">
        <f t="shared" si="29"/>
        <v>7.6999999999999993</v>
      </c>
      <c r="AG83" s="26">
        <f t="shared" si="30"/>
        <v>11.6</v>
      </c>
      <c r="AH83" s="27">
        <f t="shared" si="31"/>
        <v>15.399999999999999</v>
      </c>
      <c r="AI83" s="28" t="s">
        <v>45</v>
      </c>
      <c r="AJ83" s="32"/>
      <c r="AK83" s="32"/>
    </row>
    <row r="84" spans="1:37" ht="14.25" customHeight="1">
      <c r="A84" s="38" t="s">
        <v>163</v>
      </c>
      <c r="B84" s="41">
        <v>45417</v>
      </c>
      <c r="C84" s="17" t="s">
        <v>40</v>
      </c>
      <c r="D84" s="15" t="s">
        <v>41</v>
      </c>
      <c r="E84" s="38" t="s">
        <v>158</v>
      </c>
      <c r="F84" s="32">
        <v>12</v>
      </c>
      <c r="G84" s="19">
        <v>1</v>
      </c>
      <c r="H84" s="19">
        <f>F84*G84</f>
        <v>12</v>
      </c>
      <c r="I84" s="38" t="s">
        <v>126</v>
      </c>
      <c r="K84" s="40">
        <v>7.96</v>
      </c>
      <c r="L84" s="32" t="s">
        <v>186</v>
      </c>
      <c r="M84" s="17">
        <v>90</v>
      </c>
      <c r="N84" s="25">
        <v>84</v>
      </c>
      <c r="U84" s="17">
        <v>8</v>
      </c>
      <c r="V84" s="21">
        <v>5</v>
      </c>
      <c r="W84" s="21">
        <f>(20+($U$315-4))</f>
        <v>16</v>
      </c>
      <c r="X84" s="21">
        <f>(24+($U$315-4))</f>
        <v>20</v>
      </c>
      <c r="Y84" s="21">
        <f>(28+($U$315-4))</f>
        <v>24</v>
      </c>
      <c r="Z84" s="21">
        <f>(39+($U$315-4))</f>
        <v>35</v>
      </c>
      <c r="AA84" s="26">
        <f t="shared" si="24"/>
        <v>5.9</v>
      </c>
      <c r="AB84" s="27">
        <f t="shared" si="25"/>
        <v>2.0999999999999996</v>
      </c>
      <c r="AC84" s="26">
        <f t="shared" si="26"/>
        <v>7.1</v>
      </c>
      <c r="AD84" s="27">
        <f t="shared" si="27"/>
        <v>4.8999999999999995</v>
      </c>
      <c r="AE84" s="26">
        <f t="shared" si="28"/>
        <v>8.3000000000000007</v>
      </c>
      <c r="AF84" s="27">
        <f t="shared" si="29"/>
        <v>7.6999999999999993</v>
      </c>
      <c r="AG84" s="26">
        <f t="shared" si="30"/>
        <v>11.6</v>
      </c>
      <c r="AH84" s="27">
        <f t="shared" si="31"/>
        <v>15.399999999999999</v>
      </c>
      <c r="AI84" s="28" t="s">
        <v>45</v>
      </c>
      <c r="AJ84" s="32"/>
      <c r="AK84" s="32"/>
    </row>
    <row r="85" spans="1:37" ht="14.25" customHeight="1">
      <c r="A85" s="15" t="s">
        <v>74</v>
      </c>
      <c r="B85" s="35" t="s">
        <v>69</v>
      </c>
      <c r="C85" s="17" t="s">
        <v>70</v>
      </c>
      <c r="D85" s="15" t="s">
        <v>41</v>
      </c>
      <c r="E85" s="33" t="s">
        <v>42</v>
      </c>
      <c r="F85" s="17">
        <v>63</v>
      </c>
      <c r="G85" s="19">
        <v>1</v>
      </c>
      <c r="H85" s="19">
        <f>F85*G85</f>
        <v>63</v>
      </c>
      <c r="I85" s="38" t="s">
        <v>42</v>
      </c>
      <c r="K85" s="39">
        <v>3.27</v>
      </c>
      <c r="L85" s="32" t="s">
        <v>186</v>
      </c>
      <c r="M85" s="17">
        <v>84</v>
      </c>
      <c r="N85" s="25">
        <v>168</v>
      </c>
      <c r="U85" s="17">
        <v>4</v>
      </c>
      <c r="V85" s="21">
        <v>5</v>
      </c>
      <c r="W85" s="21">
        <v>20</v>
      </c>
      <c r="X85" s="21">
        <v>24</v>
      </c>
      <c r="Y85" s="21">
        <v>28</v>
      </c>
      <c r="Z85" s="21">
        <v>39</v>
      </c>
      <c r="AA85" s="26">
        <f t="shared" si="24"/>
        <v>8.3000000000000007</v>
      </c>
      <c r="AB85" s="27">
        <f t="shared" si="25"/>
        <v>7.6999999999999993</v>
      </c>
      <c r="AC85" s="26">
        <f t="shared" si="26"/>
        <v>9.5</v>
      </c>
      <c r="AD85" s="27">
        <f t="shared" si="27"/>
        <v>10.5</v>
      </c>
      <c r="AE85" s="26">
        <f t="shared" si="28"/>
        <v>10.7</v>
      </c>
      <c r="AF85" s="27">
        <f t="shared" si="29"/>
        <v>13.299999999999999</v>
      </c>
      <c r="AG85" s="26">
        <f t="shared" si="30"/>
        <v>14</v>
      </c>
      <c r="AH85" s="27">
        <f t="shared" si="31"/>
        <v>21</v>
      </c>
      <c r="AI85" s="28" t="s">
        <v>45</v>
      </c>
      <c r="AJ85" s="32"/>
      <c r="AK85" s="32"/>
    </row>
    <row r="86" spans="1:37" ht="14.25" customHeight="1">
      <c r="A86" s="15" t="s">
        <v>222</v>
      </c>
      <c r="B86" s="35">
        <v>5</v>
      </c>
      <c r="C86" s="17" t="s">
        <v>40</v>
      </c>
      <c r="D86" s="15" t="s">
        <v>41</v>
      </c>
      <c r="E86" s="38" t="s">
        <v>42</v>
      </c>
      <c r="F86" s="17">
        <v>3</v>
      </c>
      <c r="G86" s="19">
        <v>1</v>
      </c>
      <c r="H86" s="19">
        <f>F86*G86</f>
        <v>3</v>
      </c>
      <c r="I86" s="38" t="s">
        <v>42</v>
      </c>
      <c r="K86" s="39">
        <v>3.7</v>
      </c>
      <c r="L86" s="32" t="s">
        <v>186</v>
      </c>
      <c r="M86" s="17">
        <v>84</v>
      </c>
      <c r="N86" s="25">
        <v>168</v>
      </c>
      <c r="U86" s="17">
        <v>4</v>
      </c>
      <c r="V86" s="21">
        <v>5</v>
      </c>
      <c r="W86" s="21">
        <v>20</v>
      </c>
      <c r="X86" s="21">
        <v>24</v>
      </c>
      <c r="Y86" s="21">
        <v>28</v>
      </c>
      <c r="Z86" s="21">
        <v>39</v>
      </c>
      <c r="AA86" s="26">
        <f t="shared" si="24"/>
        <v>8.3000000000000007</v>
      </c>
      <c r="AB86" s="27">
        <f t="shared" si="25"/>
        <v>7.6999999999999993</v>
      </c>
      <c r="AC86" s="26">
        <f t="shared" si="26"/>
        <v>9.5</v>
      </c>
      <c r="AD86" s="27">
        <f t="shared" si="27"/>
        <v>10.5</v>
      </c>
      <c r="AE86" s="26">
        <f t="shared" si="28"/>
        <v>10.7</v>
      </c>
      <c r="AF86" s="27">
        <f t="shared" si="29"/>
        <v>13.299999999999999</v>
      </c>
      <c r="AG86" s="26">
        <f t="shared" si="30"/>
        <v>14</v>
      </c>
      <c r="AH86" s="27">
        <f t="shared" si="31"/>
        <v>21</v>
      </c>
      <c r="AI86" s="28" t="s">
        <v>45</v>
      </c>
      <c r="AJ86" s="32"/>
      <c r="AK86" s="32"/>
    </row>
    <row r="87" spans="1:37" ht="14.25" customHeight="1">
      <c r="A87" s="15" t="s">
        <v>222</v>
      </c>
      <c r="B87" s="35">
        <v>10</v>
      </c>
      <c r="C87" s="17" t="s">
        <v>40</v>
      </c>
      <c r="D87" s="15" t="s">
        <v>41</v>
      </c>
      <c r="E87" s="38" t="s">
        <v>42</v>
      </c>
      <c r="F87" s="17">
        <v>3</v>
      </c>
      <c r="G87" s="19">
        <v>1</v>
      </c>
      <c r="H87" s="19">
        <f>F87*G87</f>
        <v>3</v>
      </c>
      <c r="I87" s="38" t="s">
        <v>42</v>
      </c>
      <c r="K87" s="39">
        <v>2.54</v>
      </c>
      <c r="L87" s="32" t="s">
        <v>146</v>
      </c>
      <c r="M87" s="17">
        <v>90</v>
      </c>
      <c r="N87" s="25">
        <v>84</v>
      </c>
      <c r="U87" s="17">
        <v>4</v>
      </c>
      <c r="V87" s="21">
        <v>5</v>
      </c>
      <c r="W87" s="21">
        <v>20</v>
      </c>
      <c r="X87" s="21">
        <v>24</v>
      </c>
      <c r="Y87" s="21">
        <v>28</v>
      </c>
      <c r="Z87" s="21">
        <v>39</v>
      </c>
      <c r="AA87" s="26">
        <f t="shared" si="24"/>
        <v>8.3000000000000007</v>
      </c>
      <c r="AB87" s="27">
        <f t="shared" si="25"/>
        <v>7.6999999999999993</v>
      </c>
      <c r="AC87" s="26">
        <f t="shared" si="26"/>
        <v>9.5</v>
      </c>
      <c r="AD87" s="27">
        <f t="shared" si="27"/>
        <v>10.5</v>
      </c>
      <c r="AE87" s="26">
        <f t="shared" si="28"/>
        <v>10.7</v>
      </c>
      <c r="AF87" s="27">
        <f t="shared" si="29"/>
        <v>13.299999999999999</v>
      </c>
      <c r="AG87" s="26">
        <f t="shared" si="30"/>
        <v>14</v>
      </c>
      <c r="AH87" s="27">
        <f t="shared" si="31"/>
        <v>21</v>
      </c>
      <c r="AI87" s="28" t="s">
        <v>45</v>
      </c>
      <c r="AJ87" s="32"/>
      <c r="AK87" s="32"/>
    </row>
    <row r="88" spans="1:37" ht="14.25" customHeight="1">
      <c r="A88" s="38" t="s">
        <v>159</v>
      </c>
      <c r="B88" s="35" t="s">
        <v>160</v>
      </c>
      <c r="C88" s="17" t="s">
        <v>54</v>
      </c>
      <c r="D88" s="15" t="s">
        <v>41</v>
      </c>
      <c r="E88" s="38" t="s">
        <v>156</v>
      </c>
      <c r="F88" s="28">
        <v>30</v>
      </c>
      <c r="G88" s="19">
        <v>1</v>
      </c>
      <c r="H88" s="19">
        <f>F88*G88</f>
        <v>30</v>
      </c>
      <c r="I88" s="38" t="s">
        <v>56</v>
      </c>
      <c r="K88" s="40">
        <v>9.08</v>
      </c>
      <c r="L88" s="32" t="s">
        <v>146</v>
      </c>
      <c r="M88" s="17">
        <v>90</v>
      </c>
      <c r="N88" s="25">
        <v>84</v>
      </c>
      <c r="U88" s="17">
        <v>8</v>
      </c>
      <c r="V88" s="21">
        <v>5</v>
      </c>
      <c r="W88" s="21">
        <v>24</v>
      </c>
      <c r="X88" s="21">
        <v>28</v>
      </c>
      <c r="Y88" s="21">
        <v>32</v>
      </c>
      <c r="Z88" s="21">
        <v>43</v>
      </c>
      <c r="AA88" s="26">
        <f t="shared" si="24"/>
        <v>8.3000000000000007</v>
      </c>
      <c r="AB88" s="27">
        <f t="shared" si="25"/>
        <v>7.6999999999999993</v>
      </c>
      <c r="AC88" s="26">
        <f t="shared" si="26"/>
        <v>9.5</v>
      </c>
      <c r="AD88" s="27">
        <f t="shared" si="27"/>
        <v>10.5</v>
      </c>
      <c r="AE88" s="26">
        <f t="shared" si="28"/>
        <v>10.7</v>
      </c>
      <c r="AF88" s="27">
        <f t="shared" si="29"/>
        <v>13.299999999999999</v>
      </c>
      <c r="AG88" s="26">
        <f t="shared" si="30"/>
        <v>14</v>
      </c>
      <c r="AH88" s="27">
        <f t="shared" si="31"/>
        <v>21</v>
      </c>
      <c r="AI88" s="28" t="s">
        <v>45</v>
      </c>
      <c r="AJ88" s="32"/>
      <c r="AK88" s="32"/>
    </row>
    <row r="89" spans="1:37" ht="14.25" customHeight="1">
      <c r="A89" s="38" t="s">
        <v>157</v>
      </c>
      <c r="B89" s="41">
        <v>45292</v>
      </c>
      <c r="C89" s="28" t="s">
        <v>40</v>
      </c>
      <c r="D89" s="15" t="s">
        <v>41</v>
      </c>
      <c r="E89" s="38" t="s">
        <v>158</v>
      </c>
      <c r="F89" s="17">
        <v>12</v>
      </c>
      <c r="G89" s="19">
        <v>1</v>
      </c>
      <c r="H89" s="19">
        <f>F89*G89</f>
        <v>12</v>
      </c>
      <c r="I89" s="38" t="s">
        <v>126</v>
      </c>
      <c r="K89" s="37">
        <v>2.4900000000000002</v>
      </c>
      <c r="L89" s="55" t="s">
        <v>206</v>
      </c>
      <c r="M89" s="57">
        <v>90</v>
      </c>
      <c r="N89" s="60">
        <v>84</v>
      </c>
      <c r="U89" s="17">
        <v>4</v>
      </c>
      <c r="V89" s="21">
        <v>5</v>
      </c>
      <c r="W89" s="21">
        <v>20</v>
      </c>
      <c r="X89" s="21">
        <v>24</v>
      </c>
      <c r="Y89" s="21">
        <v>28</v>
      </c>
      <c r="Z89" s="21">
        <v>39</v>
      </c>
      <c r="AA89" s="26">
        <f t="shared" si="24"/>
        <v>8.3000000000000007</v>
      </c>
      <c r="AB89" s="27">
        <f t="shared" si="25"/>
        <v>7.6999999999999993</v>
      </c>
      <c r="AC89" s="26">
        <f t="shared" si="26"/>
        <v>9.5</v>
      </c>
      <c r="AD89" s="27">
        <f t="shared" si="27"/>
        <v>10.5</v>
      </c>
      <c r="AE89" s="26">
        <f t="shared" si="28"/>
        <v>10.7</v>
      </c>
      <c r="AF89" s="27">
        <f t="shared" si="29"/>
        <v>13.299999999999999</v>
      </c>
      <c r="AG89" s="26">
        <f t="shared" si="30"/>
        <v>14</v>
      </c>
      <c r="AH89" s="27">
        <f t="shared" si="31"/>
        <v>21</v>
      </c>
      <c r="AI89" s="28" t="s">
        <v>45</v>
      </c>
      <c r="AJ89" s="59"/>
      <c r="AK89" s="59"/>
    </row>
    <row r="90" spans="1:37" ht="14.25" customHeight="1">
      <c r="A90" s="15" t="s">
        <v>39</v>
      </c>
      <c r="B90" s="16">
        <v>25</v>
      </c>
      <c r="C90" s="17" t="s">
        <v>40</v>
      </c>
      <c r="D90" s="15" t="s">
        <v>41</v>
      </c>
      <c r="E90" s="18" t="s">
        <v>42</v>
      </c>
      <c r="F90" s="17">
        <v>4</v>
      </c>
      <c r="G90" s="19">
        <v>1</v>
      </c>
      <c r="H90" s="19">
        <f>F90*G90</f>
        <v>4</v>
      </c>
      <c r="I90" s="20" t="s">
        <v>42</v>
      </c>
      <c r="K90" s="37">
        <v>2.5</v>
      </c>
      <c r="L90" s="55" t="s">
        <v>206</v>
      </c>
      <c r="M90" s="57">
        <v>90</v>
      </c>
      <c r="N90" s="60">
        <v>84</v>
      </c>
      <c r="U90" s="17">
        <v>4</v>
      </c>
      <c r="V90" s="21">
        <v>5</v>
      </c>
      <c r="W90" s="21">
        <v>20</v>
      </c>
      <c r="X90" s="21">
        <v>24</v>
      </c>
      <c r="Y90" s="21">
        <v>28</v>
      </c>
      <c r="Z90" s="21">
        <v>39</v>
      </c>
      <c r="AA90" s="26">
        <f t="shared" si="24"/>
        <v>8.3000000000000007</v>
      </c>
      <c r="AB90" s="27">
        <f t="shared" si="25"/>
        <v>7.6999999999999993</v>
      </c>
      <c r="AC90" s="26">
        <f t="shared" si="26"/>
        <v>9.5</v>
      </c>
      <c r="AD90" s="27">
        <f t="shared" si="27"/>
        <v>10.5</v>
      </c>
      <c r="AE90" s="26">
        <f t="shared" si="28"/>
        <v>10.7</v>
      </c>
      <c r="AF90" s="27">
        <f t="shared" si="29"/>
        <v>13.299999999999999</v>
      </c>
      <c r="AG90" s="26">
        <f t="shared" si="30"/>
        <v>14</v>
      </c>
      <c r="AH90" s="27">
        <f t="shared" si="31"/>
        <v>21</v>
      </c>
      <c r="AI90" s="28" t="s">
        <v>45</v>
      </c>
      <c r="AJ90" s="59"/>
      <c r="AK90" s="59"/>
    </row>
    <row r="91" spans="1:37" ht="14.25" customHeight="1">
      <c r="A91" s="15" t="s">
        <v>39</v>
      </c>
      <c r="B91" s="16">
        <v>50</v>
      </c>
      <c r="C91" s="17" t="s">
        <v>40</v>
      </c>
      <c r="D91" s="15" t="s">
        <v>41</v>
      </c>
      <c r="E91" s="18" t="s">
        <v>42</v>
      </c>
      <c r="F91" s="17">
        <v>4</v>
      </c>
      <c r="G91" s="19">
        <v>1</v>
      </c>
      <c r="H91" s="19">
        <f>F91*G91</f>
        <v>4</v>
      </c>
      <c r="I91" s="20" t="s">
        <v>42</v>
      </c>
      <c r="K91" s="39">
        <v>2.42</v>
      </c>
      <c r="L91" s="15" t="s">
        <v>206</v>
      </c>
      <c r="M91" s="17">
        <v>90</v>
      </c>
      <c r="N91" s="25">
        <v>84</v>
      </c>
      <c r="U91" s="17">
        <v>4</v>
      </c>
      <c r="V91" s="21">
        <v>5</v>
      </c>
      <c r="W91" s="21">
        <v>20</v>
      </c>
      <c r="X91" s="21">
        <v>24</v>
      </c>
      <c r="Y91" s="21">
        <v>28</v>
      </c>
      <c r="Z91" s="21">
        <v>39</v>
      </c>
      <c r="AA91" s="26">
        <f t="shared" si="24"/>
        <v>8.3000000000000007</v>
      </c>
      <c r="AB91" s="27">
        <f t="shared" si="25"/>
        <v>7.6999999999999993</v>
      </c>
      <c r="AC91" s="26">
        <f t="shared" si="26"/>
        <v>9.5</v>
      </c>
      <c r="AD91" s="27">
        <f t="shared" si="27"/>
        <v>10.5</v>
      </c>
      <c r="AE91" s="26">
        <f t="shared" si="28"/>
        <v>10.7</v>
      </c>
      <c r="AF91" s="27">
        <f t="shared" si="29"/>
        <v>13.299999999999999</v>
      </c>
      <c r="AG91" s="26">
        <f t="shared" si="30"/>
        <v>14</v>
      </c>
      <c r="AH91" s="27">
        <f t="shared" si="31"/>
        <v>21</v>
      </c>
      <c r="AI91" s="28" t="s">
        <v>45</v>
      </c>
      <c r="AJ91" s="32"/>
      <c r="AK91" s="32"/>
    </row>
    <row r="92" spans="1:37" ht="14.25" customHeight="1">
      <c r="A92" s="15" t="s">
        <v>39</v>
      </c>
      <c r="B92" s="16">
        <v>100</v>
      </c>
      <c r="C92" s="17" t="s">
        <v>40</v>
      </c>
      <c r="D92" s="15" t="s">
        <v>41</v>
      </c>
      <c r="E92" s="18" t="s">
        <v>42</v>
      </c>
      <c r="F92" s="17">
        <v>4</v>
      </c>
      <c r="G92" s="19">
        <v>1</v>
      </c>
      <c r="H92" s="19">
        <f>F92*G92</f>
        <v>4</v>
      </c>
      <c r="I92" s="20" t="s">
        <v>42</v>
      </c>
      <c r="K92" s="39">
        <v>3.37</v>
      </c>
      <c r="L92" s="15" t="s">
        <v>206</v>
      </c>
      <c r="M92" s="17">
        <v>90</v>
      </c>
      <c r="N92" s="25">
        <v>84</v>
      </c>
      <c r="U92" s="17">
        <v>4</v>
      </c>
      <c r="V92" s="21">
        <v>5</v>
      </c>
      <c r="W92" s="21">
        <v>20</v>
      </c>
      <c r="X92" s="21">
        <v>24</v>
      </c>
      <c r="Y92" s="21">
        <v>28</v>
      </c>
      <c r="Z92" s="21">
        <v>39</v>
      </c>
      <c r="AA92" s="26">
        <f t="shared" si="24"/>
        <v>8.3000000000000007</v>
      </c>
      <c r="AB92" s="27">
        <f t="shared" si="25"/>
        <v>7.6999999999999993</v>
      </c>
      <c r="AC92" s="26">
        <f t="shared" si="26"/>
        <v>9.5</v>
      </c>
      <c r="AD92" s="27">
        <f t="shared" si="27"/>
        <v>10.5</v>
      </c>
      <c r="AE92" s="26">
        <f t="shared" si="28"/>
        <v>10.7</v>
      </c>
      <c r="AF92" s="27">
        <f t="shared" si="29"/>
        <v>13.299999999999999</v>
      </c>
      <c r="AG92" s="26">
        <f t="shared" si="30"/>
        <v>14</v>
      </c>
      <c r="AH92" s="27">
        <f t="shared" si="31"/>
        <v>21</v>
      </c>
      <c r="AI92" s="28" t="s">
        <v>45</v>
      </c>
      <c r="AJ92" s="32"/>
      <c r="AK92" s="32"/>
    </row>
    <row r="93" spans="1:37" ht="14.25" customHeight="1">
      <c r="A93" s="15" t="s">
        <v>220</v>
      </c>
      <c r="B93" s="35">
        <v>50</v>
      </c>
      <c r="C93" s="17" t="s">
        <v>40</v>
      </c>
      <c r="D93" s="15" t="s">
        <v>41</v>
      </c>
      <c r="E93" s="38" t="s">
        <v>42</v>
      </c>
      <c r="F93" s="17">
        <v>6</v>
      </c>
      <c r="G93" s="19">
        <v>1</v>
      </c>
      <c r="H93" s="19">
        <f>F93*G93</f>
        <v>6</v>
      </c>
      <c r="I93" s="38" t="s">
        <v>42</v>
      </c>
      <c r="K93" s="39">
        <v>4.55</v>
      </c>
      <c r="L93" s="15" t="s">
        <v>206</v>
      </c>
      <c r="M93" s="17">
        <v>90</v>
      </c>
      <c r="N93" s="25">
        <v>84</v>
      </c>
      <c r="U93" s="17">
        <v>4</v>
      </c>
      <c r="V93" s="21">
        <v>5</v>
      </c>
      <c r="W93" s="21">
        <v>20</v>
      </c>
      <c r="X93" s="21">
        <v>24</v>
      </c>
      <c r="Y93" s="21">
        <v>28</v>
      </c>
      <c r="Z93" s="21">
        <v>39</v>
      </c>
      <c r="AA93" s="26">
        <f t="shared" si="24"/>
        <v>8.3000000000000007</v>
      </c>
      <c r="AB93" s="27">
        <f t="shared" si="25"/>
        <v>7.6999999999999993</v>
      </c>
      <c r="AC93" s="26">
        <f t="shared" si="26"/>
        <v>9.5</v>
      </c>
      <c r="AD93" s="27">
        <f t="shared" si="27"/>
        <v>10.5</v>
      </c>
      <c r="AE93" s="26">
        <f t="shared" si="28"/>
        <v>10.7</v>
      </c>
      <c r="AF93" s="27">
        <f t="shared" si="29"/>
        <v>13.299999999999999</v>
      </c>
      <c r="AG93" s="26">
        <f t="shared" si="30"/>
        <v>14</v>
      </c>
      <c r="AH93" s="27">
        <f t="shared" si="31"/>
        <v>21</v>
      </c>
      <c r="AI93" s="28" t="s">
        <v>45</v>
      </c>
      <c r="AJ93" s="32"/>
      <c r="AK93" s="32"/>
    </row>
    <row r="94" spans="1:37" ht="14.25" customHeight="1">
      <c r="A94" s="15" t="s">
        <v>220</v>
      </c>
      <c r="B94" s="35">
        <v>100</v>
      </c>
      <c r="C94" s="17" t="s">
        <v>40</v>
      </c>
      <c r="D94" s="15" t="s">
        <v>41</v>
      </c>
      <c r="E94" s="38" t="s">
        <v>42</v>
      </c>
      <c r="F94" s="17">
        <v>6</v>
      </c>
      <c r="G94" s="19">
        <v>1</v>
      </c>
      <c r="H94" s="19">
        <f>F94*G94</f>
        <v>6</v>
      </c>
      <c r="I94" s="38" t="s">
        <v>42</v>
      </c>
      <c r="K94" s="39">
        <v>6.02</v>
      </c>
      <c r="L94" s="15" t="s">
        <v>206</v>
      </c>
      <c r="M94" s="17">
        <v>90</v>
      </c>
      <c r="N94" s="25">
        <v>84</v>
      </c>
      <c r="U94" s="17">
        <v>4</v>
      </c>
      <c r="V94" s="21">
        <v>5</v>
      </c>
      <c r="W94" s="21">
        <v>20</v>
      </c>
      <c r="X94" s="21">
        <v>24</v>
      </c>
      <c r="Y94" s="21">
        <v>28</v>
      </c>
      <c r="Z94" s="21">
        <v>39</v>
      </c>
      <c r="AA94" s="26">
        <f t="shared" si="24"/>
        <v>8.3000000000000007</v>
      </c>
      <c r="AB94" s="27">
        <f t="shared" si="25"/>
        <v>7.6999999999999993</v>
      </c>
      <c r="AC94" s="26">
        <f t="shared" si="26"/>
        <v>9.5</v>
      </c>
      <c r="AD94" s="27">
        <f t="shared" si="27"/>
        <v>10.5</v>
      </c>
      <c r="AE94" s="26">
        <f t="shared" si="28"/>
        <v>10.7</v>
      </c>
      <c r="AF94" s="27">
        <f t="shared" si="29"/>
        <v>13.299999999999999</v>
      </c>
      <c r="AG94" s="26">
        <f t="shared" si="30"/>
        <v>14</v>
      </c>
      <c r="AH94" s="27">
        <f t="shared" si="31"/>
        <v>21</v>
      </c>
      <c r="AI94" s="28" t="s">
        <v>45</v>
      </c>
      <c r="AJ94" s="32"/>
      <c r="AK94" s="32"/>
    </row>
    <row r="95" spans="1:37" ht="14.25" customHeight="1">
      <c r="A95" s="69" t="s">
        <v>47</v>
      </c>
      <c r="B95" s="16">
        <v>2.5</v>
      </c>
      <c r="C95" s="17" t="s">
        <v>40</v>
      </c>
      <c r="D95" s="15" t="s">
        <v>41</v>
      </c>
      <c r="E95" s="18" t="s">
        <v>42</v>
      </c>
      <c r="F95" s="28">
        <v>28</v>
      </c>
      <c r="G95" s="19">
        <v>1</v>
      </c>
      <c r="H95" s="19">
        <f>F95*G95</f>
        <v>28</v>
      </c>
      <c r="I95" s="20" t="s">
        <v>42</v>
      </c>
      <c r="K95" s="39">
        <v>5.26</v>
      </c>
      <c r="L95" s="15" t="s">
        <v>206</v>
      </c>
      <c r="M95" s="17">
        <v>15</v>
      </c>
      <c r="N95" s="25">
        <v>84</v>
      </c>
      <c r="U95" s="17">
        <v>4</v>
      </c>
      <c r="V95" s="21">
        <v>5</v>
      </c>
      <c r="W95" s="21">
        <v>20</v>
      </c>
      <c r="X95" s="21">
        <v>24</v>
      </c>
      <c r="Y95" s="21">
        <v>28</v>
      </c>
      <c r="Z95" s="21">
        <v>39</v>
      </c>
      <c r="AA95" s="26">
        <f t="shared" si="24"/>
        <v>8.3000000000000007</v>
      </c>
      <c r="AB95" s="27">
        <f t="shared" si="25"/>
        <v>7.6999999999999993</v>
      </c>
      <c r="AC95" s="26">
        <f t="shared" si="26"/>
        <v>9.5</v>
      </c>
      <c r="AD95" s="27">
        <f t="shared" si="27"/>
        <v>10.5</v>
      </c>
      <c r="AE95" s="26">
        <f t="shared" si="28"/>
        <v>10.7</v>
      </c>
      <c r="AF95" s="27">
        <f t="shared" si="29"/>
        <v>13.299999999999999</v>
      </c>
      <c r="AG95" s="26">
        <f t="shared" si="30"/>
        <v>14</v>
      </c>
      <c r="AH95" s="27">
        <f t="shared" si="31"/>
        <v>21</v>
      </c>
      <c r="AI95" s="28" t="s">
        <v>45</v>
      </c>
      <c r="AJ95" s="32"/>
      <c r="AK95" s="32"/>
    </row>
    <row r="96" spans="1:37" ht="14.25" customHeight="1">
      <c r="A96" s="69" t="s">
        <v>47</v>
      </c>
      <c r="B96" s="16">
        <v>5</v>
      </c>
      <c r="C96" s="17" t="s">
        <v>40</v>
      </c>
      <c r="D96" s="15" t="s">
        <v>41</v>
      </c>
      <c r="E96" s="18" t="s">
        <v>42</v>
      </c>
      <c r="F96" s="17">
        <v>28</v>
      </c>
      <c r="G96" s="19">
        <v>1</v>
      </c>
      <c r="H96" s="19">
        <f>F96*G96</f>
        <v>28</v>
      </c>
      <c r="I96" s="20" t="s">
        <v>42</v>
      </c>
      <c r="K96" s="39">
        <v>5.05</v>
      </c>
      <c r="L96" s="15" t="s">
        <v>206</v>
      </c>
      <c r="M96" s="17">
        <v>15</v>
      </c>
      <c r="N96" s="25">
        <v>84</v>
      </c>
      <c r="U96" s="17">
        <v>4</v>
      </c>
      <c r="V96" s="21">
        <v>5</v>
      </c>
      <c r="W96" s="21">
        <v>20</v>
      </c>
      <c r="X96" s="21">
        <v>24</v>
      </c>
      <c r="Y96" s="21">
        <v>28</v>
      </c>
      <c r="Z96" s="21">
        <v>39</v>
      </c>
      <c r="AA96" s="26">
        <f t="shared" si="24"/>
        <v>8.3000000000000007</v>
      </c>
      <c r="AB96" s="27">
        <f t="shared" si="25"/>
        <v>7.6999999999999993</v>
      </c>
      <c r="AC96" s="26">
        <f t="shared" si="26"/>
        <v>9.5</v>
      </c>
      <c r="AD96" s="27">
        <f t="shared" si="27"/>
        <v>10.5</v>
      </c>
      <c r="AE96" s="26">
        <f t="shared" si="28"/>
        <v>10.7</v>
      </c>
      <c r="AF96" s="27">
        <f t="shared" si="29"/>
        <v>13.299999999999999</v>
      </c>
      <c r="AG96" s="26">
        <f t="shared" si="30"/>
        <v>14</v>
      </c>
      <c r="AH96" s="27">
        <f t="shared" si="31"/>
        <v>21</v>
      </c>
      <c r="AI96" s="28" t="s">
        <v>45</v>
      </c>
      <c r="AJ96" s="32"/>
      <c r="AK96" s="32"/>
    </row>
    <row r="97" spans="1:37" ht="14.25" customHeight="1">
      <c r="A97" s="69" t="s">
        <v>47</v>
      </c>
      <c r="B97" s="16">
        <v>10</v>
      </c>
      <c r="C97" s="17" t="s">
        <v>40</v>
      </c>
      <c r="D97" s="15" t="s">
        <v>41</v>
      </c>
      <c r="E97" s="18" t="s">
        <v>42</v>
      </c>
      <c r="F97" s="17">
        <v>4</v>
      </c>
      <c r="G97" s="19">
        <v>1</v>
      </c>
      <c r="H97" s="19">
        <f>F97*G97</f>
        <v>4</v>
      </c>
      <c r="I97" s="20" t="s">
        <v>42</v>
      </c>
      <c r="K97" s="39">
        <v>4.2</v>
      </c>
      <c r="L97" s="15" t="s">
        <v>206</v>
      </c>
      <c r="M97" s="17">
        <v>3</v>
      </c>
      <c r="N97" s="25">
        <v>84</v>
      </c>
      <c r="U97" s="17">
        <v>4</v>
      </c>
      <c r="V97" s="21">
        <v>5</v>
      </c>
      <c r="W97" s="21">
        <v>20</v>
      </c>
      <c r="X97" s="21">
        <v>24</v>
      </c>
      <c r="Y97" s="21">
        <v>28</v>
      </c>
      <c r="Z97" s="21">
        <v>39</v>
      </c>
      <c r="AA97" s="26">
        <f t="shared" si="24"/>
        <v>8.3000000000000007</v>
      </c>
      <c r="AB97" s="27">
        <f t="shared" si="25"/>
        <v>7.6999999999999993</v>
      </c>
      <c r="AC97" s="26">
        <f t="shared" si="26"/>
        <v>9.5</v>
      </c>
      <c r="AD97" s="27">
        <f t="shared" si="27"/>
        <v>10.5</v>
      </c>
      <c r="AE97" s="26">
        <f t="shared" si="28"/>
        <v>10.7</v>
      </c>
      <c r="AF97" s="27">
        <f t="shared" si="29"/>
        <v>13.299999999999999</v>
      </c>
      <c r="AG97" s="26">
        <f t="shared" si="30"/>
        <v>14</v>
      </c>
      <c r="AH97" s="27">
        <f t="shared" si="31"/>
        <v>21</v>
      </c>
      <c r="AI97" s="28" t="s">
        <v>45</v>
      </c>
      <c r="AJ97" s="32"/>
      <c r="AK97" s="32"/>
    </row>
    <row r="98" spans="1:37" ht="14.25" customHeight="1">
      <c r="A98" s="69" t="s">
        <v>47</v>
      </c>
      <c r="B98" s="16">
        <v>20</v>
      </c>
      <c r="C98" s="17" t="s">
        <v>40</v>
      </c>
      <c r="D98" s="15" t="s">
        <v>41</v>
      </c>
      <c r="E98" s="18" t="s">
        <v>42</v>
      </c>
      <c r="F98" s="17">
        <v>4</v>
      </c>
      <c r="G98" s="19">
        <v>1</v>
      </c>
      <c r="H98" s="19">
        <f>F98*G98</f>
        <v>4</v>
      </c>
      <c r="I98" s="20" t="s">
        <v>42</v>
      </c>
      <c r="K98" s="39">
        <v>1.41</v>
      </c>
      <c r="L98" s="15" t="s">
        <v>206</v>
      </c>
      <c r="M98" s="17">
        <v>28</v>
      </c>
      <c r="N98" s="25">
        <v>84</v>
      </c>
      <c r="U98" s="17">
        <v>4</v>
      </c>
      <c r="V98" s="21">
        <v>5</v>
      </c>
      <c r="W98" s="21">
        <v>20</v>
      </c>
      <c r="X98" s="21">
        <v>24</v>
      </c>
      <c r="Y98" s="21">
        <v>28</v>
      </c>
      <c r="Z98" s="21">
        <v>39</v>
      </c>
      <c r="AA98" s="26">
        <f t="shared" si="24"/>
        <v>8.3000000000000007</v>
      </c>
      <c r="AB98" s="27">
        <f t="shared" si="25"/>
        <v>7.6999999999999993</v>
      </c>
      <c r="AC98" s="26">
        <f t="shared" si="26"/>
        <v>9.5</v>
      </c>
      <c r="AD98" s="27">
        <f t="shared" si="27"/>
        <v>10.5</v>
      </c>
      <c r="AE98" s="26">
        <f t="shared" si="28"/>
        <v>10.7</v>
      </c>
      <c r="AF98" s="27">
        <f t="shared" si="29"/>
        <v>13.299999999999999</v>
      </c>
      <c r="AG98" s="26">
        <f t="shared" si="30"/>
        <v>14</v>
      </c>
      <c r="AH98" s="27">
        <f t="shared" si="31"/>
        <v>21</v>
      </c>
      <c r="AI98" s="28" t="s">
        <v>45</v>
      </c>
      <c r="AJ98" s="32"/>
      <c r="AK98" s="32"/>
    </row>
    <row r="99" spans="1:37" ht="14.25" customHeight="1">
      <c r="A99" s="74" t="s">
        <v>150</v>
      </c>
      <c r="B99" s="35">
        <v>250</v>
      </c>
      <c r="C99" s="28" t="s">
        <v>40</v>
      </c>
      <c r="D99" s="15" t="s">
        <v>41</v>
      </c>
      <c r="E99" s="38" t="s">
        <v>42</v>
      </c>
      <c r="F99" s="17">
        <v>28</v>
      </c>
      <c r="G99" s="19">
        <v>1</v>
      </c>
      <c r="H99" s="19">
        <f>F99*G99</f>
        <v>28</v>
      </c>
      <c r="I99" s="38" t="s">
        <v>42</v>
      </c>
      <c r="K99" s="39">
        <v>1.28</v>
      </c>
      <c r="L99" s="15" t="s">
        <v>206</v>
      </c>
      <c r="M99" s="17">
        <v>28</v>
      </c>
      <c r="N99" s="25">
        <v>84</v>
      </c>
      <c r="U99" s="17">
        <v>4</v>
      </c>
      <c r="V99" s="21">
        <v>5</v>
      </c>
      <c r="W99" s="21">
        <v>20</v>
      </c>
      <c r="X99" s="21">
        <v>24</v>
      </c>
      <c r="Y99" s="21">
        <v>28</v>
      </c>
      <c r="Z99" s="21">
        <v>39</v>
      </c>
      <c r="AA99" s="26">
        <f t="shared" si="24"/>
        <v>8.3000000000000007</v>
      </c>
      <c r="AB99" s="27">
        <f t="shared" si="25"/>
        <v>7.6999999999999993</v>
      </c>
      <c r="AC99" s="26">
        <f t="shared" si="26"/>
        <v>9.5</v>
      </c>
      <c r="AD99" s="27">
        <f t="shared" si="27"/>
        <v>10.5</v>
      </c>
      <c r="AE99" s="26">
        <f t="shared" si="28"/>
        <v>10.7</v>
      </c>
      <c r="AF99" s="27">
        <f t="shared" si="29"/>
        <v>13.299999999999999</v>
      </c>
      <c r="AG99" s="26">
        <f t="shared" si="30"/>
        <v>14</v>
      </c>
      <c r="AH99" s="27">
        <f t="shared" si="31"/>
        <v>21</v>
      </c>
      <c r="AI99" s="28" t="s">
        <v>45</v>
      </c>
      <c r="AJ99" s="32"/>
      <c r="AK99" s="32"/>
    </row>
    <row r="100" spans="1:37" ht="14.25" customHeight="1">
      <c r="A100" s="74" t="s">
        <v>98</v>
      </c>
      <c r="B100" s="16">
        <v>200</v>
      </c>
      <c r="C100" s="32" t="s">
        <v>40</v>
      </c>
      <c r="D100" s="15" t="s">
        <v>92</v>
      </c>
      <c r="E100" s="33" t="s">
        <v>42</v>
      </c>
      <c r="F100" s="17">
        <v>14</v>
      </c>
      <c r="G100" s="19">
        <v>1</v>
      </c>
      <c r="H100" s="19">
        <f>F100*G100</f>
        <v>14</v>
      </c>
      <c r="I100" s="38" t="s">
        <v>42</v>
      </c>
      <c r="K100" s="62"/>
      <c r="L100" t="s">
        <v>217</v>
      </c>
      <c r="M100" s="28">
        <v>45</v>
      </c>
      <c r="N100" s="25">
        <v>168</v>
      </c>
      <c r="U100" s="28">
        <v>4</v>
      </c>
      <c r="V100" s="21">
        <v>5</v>
      </c>
      <c r="AA100" s="26">
        <f t="shared" si="24"/>
        <v>2.3000000000000003</v>
      </c>
      <c r="AB100" s="27">
        <f t="shared" si="25"/>
        <v>-6.3</v>
      </c>
      <c r="AC100" s="26">
        <f t="shared" si="26"/>
        <v>2.3000000000000003</v>
      </c>
      <c r="AD100" s="27">
        <f t="shared" si="27"/>
        <v>-6.3</v>
      </c>
      <c r="AE100" s="26">
        <f t="shared" si="28"/>
        <v>2.3000000000000003</v>
      </c>
      <c r="AF100" s="27">
        <f t="shared" si="29"/>
        <v>-6.3</v>
      </c>
      <c r="AG100" s="26">
        <f t="shared" si="30"/>
        <v>2.3000000000000003</v>
      </c>
      <c r="AH100" s="27">
        <f t="shared" si="31"/>
        <v>-6.3</v>
      </c>
      <c r="AI100" s="28" t="s">
        <v>169</v>
      </c>
      <c r="AJ100" s="61"/>
      <c r="AK100" s="61"/>
    </row>
    <row r="101" spans="1:37" ht="14.25" customHeight="1">
      <c r="A101" s="38" t="s">
        <v>155</v>
      </c>
      <c r="B101" s="41">
        <v>45417</v>
      </c>
      <c r="C101" s="17" t="s">
        <v>40</v>
      </c>
      <c r="D101" s="15" t="s">
        <v>41</v>
      </c>
      <c r="E101" s="38" t="s">
        <v>156</v>
      </c>
      <c r="F101" s="17">
        <v>30</v>
      </c>
      <c r="G101" s="19">
        <v>1</v>
      </c>
      <c r="H101" s="19">
        <f>F101*G101</f>
        <v>30</v>
      </c>
      <c r="I101" s="38" t="s">
        <v>56</v>
      </c>
      <c r="K101" s="62">
        <f>2.13/56*15</f>
        <v>0.57053571428571426</v>
      </c>
      <c r="L101" s="15" t="s">
        <v>217</v>
      </c>
      <c r="M101" s="28">
        <v>45</v>
      </c>
      <c r="N101" s="25">
        <v>168</v>
      </c>
      <c r="U101" s="28">
        <v>4</v>
      </c>
      <c r="V101" s="21">
        <v>5</v>
      </c>
      <c r="W101" s="28">
        <v>20</v>
      </c>
      <c r="X101" s="28">
        <v>24</v>
      </c>
      <c r="Y101" s="28">
        <v>28</v>
      </c>
      <c r="Z101" s="28">
        <v>39</v>
      </c>
      <c r="AA101" s="26">
        <f t="shared" si="24"/>
        <v>8.3000000000000007</v>
      </c>
      <c r="AB101" s="27">
        <f t="shared" si="25"/>
        <v>7.6999999999999993</v>
      </c>
      <c r="AC101" s="26">
        <f t="shared" si="26"/>
        <v>9.5</v>
      </c>
      <c r="AD101" s="27">
        <f t="shared" si="27"/>
        <v>10.5</v>
      </c>
      <c r="AE101" s="26">
        <f t="shared" si="28"/>
        <v>10.7</v>
      </c>
      <c r="AF101" s="27">
        <f t="shared" si="29"/>
        <v>13.299999999999999</v>
      </c>
      <c r="AG101" s="26">
        <f t="shared" si="30"/>
        <v>14</v>
      </c>
      <c r="AH101" s="27">
        <f t="shared" si="31"/>
        <v>21</v>
      </c>
      <c r="AI101" s="28" t="s">
        <v>45</v>
      </c>
      <c r="AJ101" s="61"/>
      <c r="AK101" s="61"/>
    </row>
    <row r="102" spans="1:37" ht="14.25" customHeight="1">
      <c r="A102" s="78" t="s">
        <v>152</v>
      </c>
      <c r="B102" s="41">
        <v>45417</v>
      </c>
      <c r="C102" s="17" t="s">
        <v>40</v>
      </c>
      <c r="D102" s="15" t="s">
        <v>41</v>
      </c>
      <c r="E102" s="38" t="s">
        <v>153</v>
      </c>
      <c r="F102" s="17">
        <v>12</v>
      </c>
      <c r="G102" s="19">
        <v>1</v>
      </c>
      <c r="H102" s="19">
        <f>F102*G102</f>
        <v>12</v>
      </c>
      <c r="I102" s="38" t="s">
        <v>126</v>
      </c>
      <c r="K102" s="39">
        <v>2.69</v>
      </c>
      <c r="L102" s="32" t="s">
        <v>172</v>
      </c>
      <c r="M102" s="17">
        <v>90</v>
      </c>
      <c r="N102" s="25">
        <v>84</v>
      </c>
      <c r="U102" s="17">
        <v>4</v>
      </c>
      <c r="V102" s="21">
        <v>5</v>
      </c>
      <c r="W102" s="21">
        <v>20</v>
      </c>
      <c r="X102" s="21">
        <v>24</v>
      </c>
      <c r="Y102" s="21">
        <v>28</v>
      </c>
      <c r="Z102" s="21">
        <v>39</v>
      </c>
      <c r="AA102" s="26">
        <f t="shared" si="24"/>
        <v>8.3000000000000007</v>
      </c>
      <c r="AB102" s="27">
        <f t="shared" si="25"/>
        <v>7.6999999999999993</v>
      </c>
      <c r="AC102" s="26">
        <f t="shared" si="26"/>
        <v>9.5</v>
      </c>
      <c r="AD102" s="27">
        <f t="shared" si="27"/>
        <v>10.5</v>
      </c>
      <c r="AE102" s="26">
        <f t="shared" si="28"/>
        <v>10.7</v>
      </c>
      <c r="AF102" s="27">
        <f t="shared" si="29"/>
        <v>13.299999999999999</v>
      </c>
      <c r="AG102" s="26">
        <f t="shared" si="30"/>
        <v>14</v>
      </c>
      <c r="AH102" s="27">
        <f t="shared" si="31"/>
        <v>21</v>
      </c>
      <c r="AI102" s="28" t="s">
        <v>45</v>
      </c>
      <c r="AJ102" s="32"/>
      <c r="AK102" s="32"/>
    </row>
    <row r="103" spans="1:37" ht="14.25" customHeight="1">
      <c r="A103" s="15" t="s">
        <v>88</v>
      </c>
      <c r="B103" s="16">
        <v>10</v>
      </c>
      <c r="C103" s="32" t="s">
        <v>70</v>
      </c>
      <c r="D103" s="15" t="s">
        <v>41</v>
      </c>
      <c r="E103" s="33" t="s">
        <v>42</v>
      </c>
      <c r="F103" s="17">
        <v>24</v>
      </c>
      <c r="G103" s="19">
        <v>1</v>
      </c>
      <c r="H103" s="19">
        <f>F103*G103</f>
        <v>24</v>
      </c>
      <c r="I103" s="38" t="s">
        <v>42</v>
      </c>
      <c r="K103" s="39">
        <v>2.69</v>
      </c>
      <c r="L103" s="32" t="s">
        <v>172</v>
      </c>
      <c r="M103" s="17">
        <v>200</v>
      </c>
      <c r="N103" s="25">
        <v>84</v>
      </c>
      <c r="U103" s="17">
        <v>4</v>
      </c>
      <c r="V103" s="21">
        <v>5</v>
      </c>
      <c r="W103" s="21">
        <v>20</v>
      </c>
      <c r="X103" s="21">
        <v>24</v>
      </c>
      <c r="Y103" s="21">
        <v>28</v>
      </c>
      <c r="Z103" s="21">
        <v>39</v>
      </c>
      <c r="AA103" s="26">
        <f t="shared" si="24"/>
        <v>8.3000000000000007</v>
      </c>
      <c r="AB103" s="27">
        <f t="shared" si="25"/>
        <v>7.6999999999999993</v>
      </c>
      <c r="AC103" s="26">
        <f t="shared" si="26"/>
        <v>9.5</v>
      </c>
      <c r="AD103" s="27">
        <f t="shared" si="27"/>
        <v>10.5</v>
      </c>
      <c r="AE103" s="26">
        <f t="shared" si="28"/>
        <v>10.7</v>
      </c>
      <c r="AF103" s="27">
        <f t="shared" si="29"/>
        <v>13.299999999999999</v>
      </c>
      <c r="AG103" s="26">
        <f t="shared" si="30"/>
        <v>14</v>
      </c>
      <c r="AH103" s="27">
        <f t="shared" si="31"/>
        <v>21</v>
      </c>
      <c r="AI103" s="28" t="s">
        <v>45</v>
      </c>
      <c r="AJ103" s="32"/>
      <c r="AK103" s="32"/>
    </row>
    <row r="104" spans="1:37" ht="14.25" customHeight="1">
      <c r="A104" s="15" t="s">
        <v>65</v>
      </c>
      <c r="B104" s="35">
        <v>11.5</v>
      </c>
      <c r="C104" s="17" t="s">
        <v>54</v>
      </c>
      <c r="D104" s="15" t="s">
        <v>41</v>
      </c>
      <c r="E104" s="33" t="s">
        <v>55</v>
      </c>
      <c r="F104" s="15">
        <v>60</v>
      </c>
      <c r="G104" s="19">
        <v>1</v>
      </c>
      <c r="H104" s="19">
        <f>F104*G104</f>
        <v>60</v>
      </c>
      <c r="I104" s="20" t="s">
        <v>56</v>
      </c>
      <c r="K104" s="39">
        <v>1.1399999999999999</v>
      </c>
      <c r="L104" s="32" t="s">
        <v>221</v>
      </c>
      <c r="M104" s="17">
        <v>24</v>
      </c>
      <c r="N104" s="25">
        <v>84</v>
      </c>
      <c r="T104" s="21"/>
      <c r="U104" s="21">
        <v>4</v>
      </c>
      <c r="V104" s="21">
        <v>5</v>
      </c>
      <c r="W104" s="21">
        <v>20</v>
      </c>
      <c r="X104" s="21">
        <v>24</v>
      </c>
      <c r="Y104" s="21">
        <v>28</v>
      </c>
      <c r="Z104" s="21">
        <v>39</v>
      </c>
      <c r="AA104" s="26">
        <f t="shared" si="24"/>
        <v>8.3000000000000007</v>
      </c>
      <c r="AB104" s="27">
        <f t="shared" si="25"/>
        <v>7.6999999999999993</v>
      </c>
      <c r="AC104" s="26">
        <f t="shared" si="26"/>
        <v>9.5</v>
      </c>
      <c r="AD104" s="27">
        <f t="shared" si="27"/>
        <v>10.5</v>
      </c>
      <c r="AE104" s="26">
        <f t="shared" si="28"/>
        <v>10.7</v>
      </c>
      <c r="AF104" s="27">
        <f t="shared" si="29"/>
        <v>13.299999999999999</v>
      </c>
      <c r="AG104" s="26">
        <f t="shared" si="30"/>
        <v>14</v>
      </c>
      <c r="AH104" s="27">
        <f t="shared" si="31"/>
        <v>21</v>
      </c>
      <c r="AI104" s="28" t="s">
        <v>45</v>
      </c>
      <c r="AJ104" s="32"/>
      <c r="AK104" s="32"/>
    </row>
    <row r="105" spans="1:37" ht="14.25" customHeight="1">
      <c r="A105" s="15" t="s">
        <v>50</v>
      </c>
      <c r="B105" s="16">
        <v>10</v>
      </c>
      <c r="C105" s="17" t="s">
        <v>40</v>
      </c>
      <c r="D105" s="15" t="s">
        <v>41</v>
      </c>
      <c r="E105" s="18" t="s">
        <v>42</v>
      </c>
      <c r="F105" s="17">
        <v>4</v>
      </c>
      <c r="G105" s="19">
        <v>1</v>
      </c>
      <c r="H105" s="19">
        <f>F105*G105</f>
        <v>4</v>
      </c>
      <c r="I105" s="20" t="s">
        <v>42</v>
      </c>
      <c r="K105" s="39">
        <v>1.37</v>
      </c>
      <c r="L105" s="32" t="s">
        <v>221</v>
      </c>
      <c r="M105" s="17">
        <v>24</v>
      </c>
      <c r="N105" s="25">
        <v>84</v>
      </c>
      <c r="T105" s="21"/>
      <c r="U105" s="21">
        <v>4</v>
      </c>
      <c r="V105" s="21">
        <v>5</v>
      </c>
      <c r="W105" s="21">
        <v>20</v>
      </c>
      <c r="X105" s="21">
        <v>24</v>
      </c>
      <c r="Y105" s="21">
        <v>28</v>
      </c>
      <c r="Z105" s="21">
        <v>39</v>
      </c>
      <c r="AA105" s="26">
        <f t="shared" si="24"/>
        <v>8.3000000000000007</v>
      </c>
      <c r="AB105" s="27">
        <f t="shared" si="25"/>
        <v>7.6999999999999993</v>
      </c>
      <c r="AC105" s="26">
        <f t="shared" si="26"/>
        <v>9.5</v>
      </c>
      <c r="AD105" s="27">
        <f t="shared" si="27"/>
        <v>10.5</v>
      </c>
      <c r="AE105" s="26">
        <f t="shared" si="28"/>
        <v>10.7</v>
      </c>
      <c r="AF105" s="27">
        <f t="shared" si="29"/>
        <v>13.299999999999999</v>
      </c>
      <c r="AG105" s="26">
        <f t="shared" si="30"/>
        <v>14</v>
      </c>
      <c r="AH105" s="27">
        <f t="shared" si="31"/>
        <v>21</v>
      </c>
      <c r="AI105" s="28" t="s">
        <v>45</v>
      </c>
      <c r="AJ105" s="32"/>
      <c r="AK105" s="32"/>
    </row>
    <row r="106" spans="1:37" ht="14.25" customHeight="1">
      <c r="A106" s="15" t="s">
        <v>50</v>
      </c>
      <c r="B106" s="16">
        <v>20</v>
      </c>
      <c r="C106" s="17" t="s">
        <v>40</v>
      </c>
      <c r="D106" s="15" t="s">
        <v>41</v>
      </c>
      <c r="E106" s="18" t="s">
        <v>42</v>
      </c>
      <c r="F106" s="17">
        <v>4</v>
      </c>
      <c r="G106" s="19">
        <v>1</v>
      </c>
      <c r="H106" s="19">
        <f>F106*G106</f>
        <v>4</v>
      </c>
      <c r="I106" s="20" t="s">
        <v>42</v>
      </c>
      <c r="K106" s="37">
        <v>13.37</v>
      </c>
      <c r="L106" s="32" t="s">
        <v>221</v>
      </c>
      <c r="M106" s="17">
        <v>12</v>
      </c>
      <c r="N106" s="25">
        <v>84</v>
      </c>
      <c r="U106" s="17">
        <f>K106</f>
        <v>13.37</v>
      </c>
      <c r="V106" s="21">
        <v>5</v>
      </c>
      <c r="W106" s="21">
        <f>(20+($U$374-4))</f>
        <v>16</v>
      </c>
      <c r="X106" s="21">
        <f>(24+($U$374-4))</f>
        <v>20</v>
      </c>
      <c r="Y106" s="21">
        <f>(28+($U$374-4))</f>
        <v>24</v>
      </c>
      <c r="Z106" s="21">
        <f>(37+($U$374-4))</f>
        <v>33</v>
      </c>
      <c r="AA106" s="26">
        <f t="shared" si="24"/>
        <v>4.2890000000000006</v>
      </c>
      <c r="AB106" s="27">
        <f t="shared" si="25"/>
        <v>-1.6589999999999994</v>
      </c>
      <c r="AC106" s="26">
        <f t="shared" si="26"/>
        <v>5.4889999999999999</v>
      </c>
      <c r="AD106" s="27">
        <f t="shared" si="27"/>
        <v>1.1410000000000005</v>
      </c>
      <c r="AE106" s="26">
        <f t="shared" si="28"/>
        <v>6.6890000000000001</v>
      </c>
      <c r="AF106" s="27">
        <f t="shared" si="29"/>
        <v>3.9410000000000003</v>
      </c>
      <c r="AG106" s="26">
        <f t="shared" si="30"/>
        <v>9.3889999999999993</v>
      </c>
      <c r="AH106" s="27">
        <f t="shared" si="31"/>
        <v>10.241000000000001</v>
      </c>
      <c r="AI106" s="28" t="s">
        <v>45</v>
      </c>
      <c r="AJ106" s="32"/>
      <c r="AK106" s="32"/>
    </row>
    <row r="107" spans="1:37" ht="14.25" customHeight="1">
      <c r="A107" s="15" t="s">
        <v>161</v>
      </c>
      <c r="B107" s="35" t="s">
        <v>162</v>
      </c>
      <c r="C107" s="17" t="s">
        <v>54</v>
      </c>
      <c r="D107" s="15" t="s">
        <v>41</v>
      </c>
      <c r="E107" s="38" t="s">
        <v>156</v>
      </c>
      <c r="F107" s="15">
        <v>20</v>
      </c>
      <c r="G107" s="19">
        <v>1</v>
      </c>
      <c r="H107" s="19">
        <f>F107*G107</f>
        <v>20</v>
      </c>
      <c r="I107" s="38" t="s">
        <v>56</v>
      </c>
      <c r="K107" s="39">
        <v>3.3</v>
      </c>
      <c r="L107" s="32" t="s">
        <v>221</v>
      </c>
      <c r="M107" s="17">
        <v>12</v>
      </c>
      <c r="N107" s="25">
        <v>84</v>
      </c>
      <c r="T107" s="21"/>
      <c r="U107" s="21">
        <v>4</v>
      </c>
      <c r="V107" s="21">
        <v>5</v>
      </c>
      <c r="W107" s="21">
        <v>20</v>
      </c>
      <c r="X107" s="21">
        <v>24</v>
      </c>
      <c r="Y107" s="21">
        <v>28</v>
      </c>
      <c r="Z107" s="21">
        <v>39</v>
      </c>
      <c r="AA107" s="26">
        <f t="shared" si="24"/>
        <v>8.3000000000000007</v>
      </c>
      <c r="AB107" s="27">
        <f t="shared" si="25"/>
        <v>7.6999999999999993</v>
      </c>
      <c r="AC107" s="26">
        <f t="shared" si="26"/>
        <v>9.5</v>
      </c>
      <c r="AD107" s="27">
        <f t="shared" si="27"/>
        <v>10.5</v>
      </c>
      <c r="AE107" s="26">
        <f t="shared" si="28"/>
        <v>10.7</v>
      </c>
      <c r="AF107" s="27">
        <f t="shared" si="29"/>
        <v>13.299999999999999</v>
      </c>
      <c r="AG107" s="26">
        <f t="shared" si="30"/>
        <v>14</v>
      </c>
      <c r="AH107" s="27">
        <f t="shared" si="31"/>
        <v>21</v>
      </c>
      <c r="AI107" s="28" t="s">
        <v>45</v>
      </c>
      <c r="AJ107" s="32"/>
      <c r="AK107" s="32"/>
    </row>
    <row r="108" spans="1:37" ht="14.25" customHeight="1">
      <c r="A108" s="15" t="s">
        <v>77</v>
      </c>
      <c r="B108" s="41">
        <v>45381</v>
      </c>
      <c r="C108" s="17" t="s">
        <v>78</v>
      </c>
      <c r="D108" s="15" t="s">
        <v>41</v>
      </c>
      <c r="E108" s="33" t="s">
        <v>42</v>
      </c>
      <c r="F108" s="32">
        <v>63</v>
      </c>
      <c r="G108" s="19">
        <v>1</v>
      </c>
      <c r="H108" s="19">
        <f>F108*G108</f>
        <v>63</v>
      </c>
      <c r="I108" s="38" t="s">
        <v>42</v>
      </c>
      <c r="K108" s="39">
        <v>2.21</v>
      </c>
      <c r="L108" s="32" t="s">
        <v>221</v>
      </c>
      <c r="M108" s="17">
        <v>24</v>
      </c>
      <c r="N108" s="25">
        <v>84</v>
      </c>
      <c r="T108" s="21"/>
      <c r="U108" s="21">
        <v>4</v>
      </c>
      <c r="V108" s="21">
        <v>5</v>
      </c>
      <c r="W108" s="21">
        <v>20</v>
      </c>
      <c r="X108" s="21">
        <v>24</v>
      </c>
      <c r="Y108" s="21">
        <v>28</v>
      </c>
      <c r="Z108" s="21">
        <v>39</v>
      </c>
      <c r="AA108" s="26">
        <f t="shared" si="24"/>
        <v>8.3000000000000007</v>
      </c>
      <c r="AB108" s="27">
        <f t="shared" si="25"/>
        <v>7.6999999999999993</v>
      </c>
      <c r="AC108" s="26">
        <f t="shared" si="26"/>
        <v>9.5</v>
      </c>
      <c r="AD108" s="27">
        <f t="shared" si="27"/>
        <v>10.5</v>
      </c>
      <c r="AE108" s="26">
        <f t="shared" si="28"/>
        <v>10.7</v>
      </c>
      <c r="AF108" s="27">
        <f t="shared" si="29"/>
        <v>13.299999999999999</v>
      </c>
      <c r="AG108" s="26">
        <f t="shared" si="30"/>
        <v>14</v>
      </c>
      <c r="AH108" s="27">
        <f t="shared" si="31"/>
        <v>21</v>
      </c>
      <c r="AI108" s="28" t="s">
        <v>45</v>
      </c>
      <c r="AJ108" s="32"/>
      <c r="AK108" s="32"/>
    </row>
    <row r="109" spans="1:37" ht="14.25" customHeight="1">
      <c r="A109" s="15" t="s">
        <v>196</v>
      </c>
      <c r="B109" s="35" t="s">
        <v>197</v>
      </c>
      <c r="C109" s="17" t="s">
        <v>121</v>
      </c>
      <c r="D109" s="15" t="s">
        <v>41</v>
      </c>
      <c r="E109" s="38" t="s">
        <v>148</v>
      </c>
      <c r="F109" s="15">
        <v>30</v>
      </c>
      <c r="G109" s="19">
        <v>1</v>
      </c>
      <c r="H109" s="19">
        <f>F109*G109</f>
        <v>30</v>
      </c>
      <c r="I109" s="38" t="s">
        <v>56</v>
      </c>
      <c r="K109" s="37">
        <v>36</v>
      </c>
      <c r="L109" s="32" t="s">
        <v>221</v>
      </c>
      <c r="M109" s="17">
        <v>24</v>
      </c>
      <c r="N109" s="25">
        <v>84</v>
      </c>
      <c r="U109" s="17">
        <f>K109</f>
        <v>36</v>
      </c>
      <c r="V109" s="21">
        <v>5</v>
      </c>
      <c r="W109" s="65">
        <f>(20+(36-4))</f>
        <v>52</v>
      </c>
      <c r="X109" s="21">
        <f>(24+(36-4))</f>
        <v>56</v>
      </c>
      <c r="Y109" s="21">
        <f>(28+(36-4))</f>
        <v>60</v>
      </c>
      <c r="Z109" s="21">
        <f>(37+(36-4))</f>
        <v>69</v>
      </c>
      <c r="AA109" s="26">
        <f t="shared" si="24"/>
        <v>8.3000000000000007</v>
      </c>
      <c r="AB109" s="27">
        <f t="shared" si="25"/>
        <v>7.6999999999999993</v>
      </c>
      <c r="AC109" s="26">
        <f t="shared" si="26"/>
        <v>9.5</v>
      </c>
      <c r="AD109" s="27">
        <f t="shared" si="27"/>
        <v>10.5</v>
      </c>
      <c r="AE109" s="26">
        <f t="shared" si="28"/>
        <v>10.7</v>
      </c>
      <c r="AF109" s="27">
        <f t="shared" si="29"/>
        <v>13.299999999999999</v>
      </c>
      <c r="AG109" s="26">
        <f t="shared" si="30"/>
        <v>13.4</v>
      </c>
      <c r="AH109" s="27">
        <f t="shared" si="31"/>
        <v>19.599999999999998</v>
      </c>
      <c r="AI109" s="28" t="s">
        <v>45</v>
      </c>
      <c r="AJ109" s="32"/>
      <c r="AK109" s="32"/>
    </row>
    <row r="110" spans="1:37" ht="14.25" customHeight="1">
      <c r="A110" s="15" t="s">
        <v>223</v>
      </c>
      <c r="B110" s="35">
        <v>2.5</v>
      </c>
      <c r="C110" s="17" t="s">
        <v>40</v>
      </c>
      <c r="D110" s="15" t="s">
        <v>41</v>
      </c>
      <c r="E110" s="38" t="s">
        <v>42</v>
      </c>
      <c r="F110" s="17">
        <v>6</v>
      </c>
      <c r="G110" s="19">
        <v>1</v>
      </c>
      <c r="H110" s="19">
        <f>F110*G110</f>
        <v>6</v>
      </c>
      <c r="I110" s="38" t="s">
        <v>42</v>
      </c>
      <c r="K110" s="39">
        <v>1.23</v>
      </c>
      <c r="L110" s="32" t="s">
        <v>225</v>
      </c>
      <c r="M110" s="17">
        <v>8</v>
      </c>
      <c r="N110" s="25">
        <v>84</v>
      </c>
      <c r="T110" s="21"/>
      <c r="U110" s="21">
        <v>4</v>
      </c>
      <c r="V110" s="21">
        <v>5</v>
      </c>
      <c r="W110" s="21">
        <v>20</v>
      </c>
      <c r="X110" s="21">
        <v>24</v>
      </c>
      <c r="Y110" s="21">
        <v>28</v>
      </c>
      <c r="Z110" s="21">
        <v>39</v>
      </c>
      <c r="AA110" s="26">
        <f t="shared" si="24"/>
        <v>8.3000000000000007</v>
      </c>
      <c r="AB110" s="27">
        <f t="shared" si="25"/>
        <v>7.6999999999999993</v>
      </c>
      <c r="AC110" s="26">
        <f t="shared" si="26"/>
        <v>9.5</v>
      </c>
      <c r="AD110" s="27">
        <f t="shared" si="27"/>
        <v>10.5</v>
      </c>
      <c r="AE110" s="26">
        <f t="shared" si="28"/>
        <v>10.7</v>
      </c>
      <c r="AF110" s="27">
        <f t="shared" si="29"/>
        <v>13.299999999999999</v>
      </c>
      <c r="AG110" s="26">
        <f t="shared" si="30"/>
        <v>14</v>
      </c>
      <c r="AH110" s="27">
        <f t="shared" si="31"/>
        <v>21</v>
      </c>
      <c r="AI110" s="28" t="s">
        <v>45</v>
      </c>
      <c r="AJ110" s="32"/>
      <c r="AK110" s="32"/>
    </row>
    <row r="111" spans="1:37" ht="14.25" customHeight="1">
      <c r="A111" s="15" t="s">
        <v>223</v>
      </c>
      <c r="B111" s="35">
        <v>5</v>
      </c>
      <c r="C111" s="17" t="s">
        <v>40</v>
      </c>
      <c r="D111" s="15" t="s">
        <v>41</v>
      </c>
      <c r="E111" s="38" t="s">
        <v>42</v>
      </c>
      <c r="F111" s="17">
        <v>6</v>
      </c>
      <c r="G111" s="19">
        <v>1</v>
      </c>
      <c r="H111" s="19">
        <f>F111*G111</f>
        <v>6</v>
      </c>
      <c r="I111" s="38" t="s">
        <v>42</v>
      </c>
      <c r="K111" s="39">
        <v>1.0900000000000001</v>
      </c>
      <c r="L111" s="32" t="s">
        <v>225</v>
      </c>
      <c r="M111" s="17">
        <v>8</v>
      </c>
      <c r="N111" s="25">
        <v>84</v>
      </c>
      <c r="T111" s="21"/>
      <c r="U111" s="21">
        <v>4</v>
      </c>
      <c r="V111" s="21">
        <v>5</v>
      </c>
      <c r="W111" s="21">
        <v>20</v>
      </c>
      <c r="X111" s="21">
        <v>24</v>
      </c>
      <c r="Y111" s="21">
        <v>28</v>
      </c>
      <c r="Z111" s="21">
        <v>39</v>
      </c>
      <c r="AA111" s="26">
        <f t="shared" si="24"/>
        <v>8.3000000000000007</v>
      </c>
      <c r="AB111" s="27">
        <f t="shared" si="25"/>
        <v>7.6999999999999993</v>
      </c>
      <c r="AC111" s="26">
        <f t="shared" si="26"/>
        <v>9.5</v>
      </c>
      <c r="AD111" s="27">
        <f t="shared" si="27"/>
        <v>10.5</v>
      </c>
      <c r="AE111" s="26">
        <f t="shared" si="28"/>
        <v>10.7</v>
      </c>
      <c r="AF111" s="27">
        <f t="shared" si="29"/>
        <v>13.299999999999999</v>
      </c>
      <c r="AG111" s="26">
        <f t="shared" si="30"/>
        <v>14</v>
      </c>
      <c r="AH111" s="27">
        <f t="shared" si="31"/>
        <v>21</v>
      </c>
      <c r="AI111" s="28" t="s">
        <v>45</v>
      </c>
      <c r="AJ111" s="32"/>
      <c r="AK111" s="32"/>
    </row>
  </sheetData>
  <sortState xmlns:xlrd2="http://schemas.microsoft.com/office/spreadsheetml/2017/richdata2" ref="A2:I111">
    <sortCondition ref="A52:A111"/>
  </sortState>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Testing notes</vt:lpstr>
      <vt:lpstr>notes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Rohit Bhatia</cp:lastModifiedBy>
  <dcterms:modified xsi:type="dcterms:W3CDTF">2024-08-03T04:37:41Z</dcterms:modified>
</cp:coreProperties>
</file>