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ARTHIK\Documents\Financial Modeling\"/>
    </mc:Choice>
  </mc:AlternateContent>
  <xr:revisionPtr revIDLastSave="0" documentId="13_ncr:1_{A5E8A331-04C4-40FA-B162-7BC1CBB02C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ACC" sheetId="3" r:id="rId1"/>
    <sheet name="Companies" sheetId="4" r:id="rId2"/>
    <sheet name="Beta-Regression" sheetId="2" r:id="rId3"/>
    <sheet name="Rm" sheetId="5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"01/26/2023 09:21:20"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sNs8ZnJZ63QGSsMj/eWmahoXrCWUpkRU5Q/NoxLRjI="/>
    </ext>
  </extLst>
</workbook>
</file>

<file path=xl/calcChain.xml><?xml version="1.0" encoding="utf-8"?>
<calcChain xmlns="http://schemas.openxmlformats.org/spreadsheetml/2006/main">
  <c r="D11" i="3" l="1"/>
  <c r="C32" i="3" s="1"/>
  <c r="E23" i="3"/>
  <c r="E25" i="3" s="1"/>
  <c r="J41" i="3" s="1"/>
  <c r="F7" i="5"/>
  <c r="F9" i="5" s="1"/>
  <c r="J24" i="3" s="1"/>
  <c r="J33" i="3"/>
  <c r="J23" i="3"/>
  <c r="E34" i="3"/>
  <c r="C33" i="3"/>
  <c r="B2" i="3"/>
  <c r="F18" i="3"/>
  <c r="E24" i="3" s="1"/>
  <c r="F17" i="3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5" i="2"/>
  <c r="H12" i="3"/>
  <c r="H11" i="3"/>
  <c r="G15" i="3"/>
  <c r="E12" i="3"/>
  <c r="E13" i="3"/>
  <c r="E14" i="3"/>
  <c r="E15" i="3"/>
  <c r="E11" i="3"/>
  <c r="G11" i="3" s="1"/>
  <c r="D12" i="3"/>
  <c r="G12" i="3" s="1"/>
  <c r="D13" i="3"/>
  <c r="H13" i="3" s="1"/>
  <c r="D14" i="3"/>
  <c r="H14" i="3" s="1"/>
  <c r="D15" i="3"/>
  <c r="H15" i="3" s="1"/>
  <c r="G14" i="3" l="1"/>
  <c r="G13" i="3"/>
  <c r="G18" i="3"/>
  <c r="H17" i="3"/>
  <c r="E32" i="3" s="1"/>
  <c r="J42" i="3" s="1"/>
  <c r="H18" i="3"/>
  <c r="E33" i="3"/>
  <c r="G17" i="3"/>
  <c r="C34" i="3"/>
  <c r="D33" i="3" s="1"/>
  <c r="P10" i="2"/>
  <c r="M10" i="2"/>
  <c r="S10" i="2"/>
  <c r="E36" i="3" l="1"/>
  <c r="J32" i="3" s="1"/>
  <c r="J39" i="3"/>
  <c r="D32" i="3"/>
  <c r="S11" i="2"/>
  <c r="I15" i="3" s="1"/>
  <c r="J15" i="3" s="1"/>
  <c r="M11" i="2"/>
  <c r="I13" i="3" s="1"/>
  <c r="J13" i="3" s="1"/>
  <c r="P11" i="2"/>
  <c r="I14" i="3" s="1"/>
  <c r="J14" i="3" s="1"/>
  <c r="D34" i="3" l="1"/>
  <c r="D36" i="3"/>
  <c r="J10" i="2"/>
  <c r="G10" i="2"/>
  <c r="W10" i="2" l="1"/>
  <c r="W16" i="2" s="1"/>
  <c r="G11" i="2"/>
  <c r="I11" i="3" s="1"/>
  <c r="J11" i="2"/>
  <c r="I12" i="3" s="1"/>
  <c r="J12" i="3" s="1"/>
  <c r="I17" i="3" l="1"/>
  <c r="I18" i="3"/>
  <c r="J11" i="3"/>
  <c r="J17" i="3" l="1"/>
  <c r="J18" i="3"/>
  <c r="J31" i="3" s="1"/>
  <c r="J34" i="3" s="1"/>
  <c r="J25" i="3" s="1"/>
  <c r="J26" i="3" s="1"/>
  <c r="J38" i="3" s="1"/>
  <c r="J44" i="3" s="1"/>
</calcChain>
</file>

<file path=xl/sharedStrings.xml><?xml version="1.0" encoding="utf-8"?>
<sst xmlns="http://schemas.openxmlformats.org/spreadsheetml/2006/main" count="117" uniqueCount="81">
  <si>
    <t>Weighted Average Cost of Capital</t>
  </si>
  <si>
    <t>All figures are in INR unless stated otherwise.</t>
  </si>
  <si>
    <t>Peer Comps</t>
  </si>
  <si>
    <t>Debt/</t>
  </si>
  <si>
    <t>Levered</t>
  </si>
  <si>
    <t>Unlevered</t>
  </si>
  <si>
    <t>Name</t>
  </si>
  <si>
    <t>Country</t>
  </si>
  <si>
    <t>Total Debt</t>
  </si>
  <si>
    <t>Equity</t>
  </si>
  <si>
    <t>Capital</t>
  </si>
  <si>
    <t>India</t>
  </si>
  <si>
    <t>Average</t>
  </si>
  <si>
    <t>Median</t>
  </si>
  <si>
    <t>Cost of Debt</t>
  </si>
  <si>
    <t>Cost of Equity</t>
  </si>
  <si>
    <t>Pre-tax Cost of Debt</t>
  </si>
  <si>
    <t>Risk Free Rate</t>
  </si>
  <si>
    <t>Tax Rate</t>
  </si>
  <si>
    <t>Equity Risk Premium</t>
  </si>
  <si>
    <t>After Tax Cost of Debt</t>
  </si>
  <si>
    <t>Capital Structure</t>
  </si>
  <si>
    <t xml:space="preserve">Levered Beta </t>
  </si>
  <si>
    <t>Current</t>
  </si>
  <si>
    <t>Target</t>
  </si>
  <si>
    <t>Comps Median Unlevered Beta</t>
  </si>
  <si>
    <t xml:space="preserve">Target Debt/ Equity  </t>
  </si>
  <si>
    <t>Market Capitalization</t>
  </si>
  <si>
    <t>Total Capitalization</t>
  </si>
  <si>
    <t>Levered Beta</t>
  </si>
  <si>
    <t>Debt / Equity</t>
  </si>
  <si>
    <t>2. Levered Beta is based on 5 year monthly data</t>
  </si>
  <si>
    <t>3. Unlevered Beta = Levered Beta/(1+(1-Tax Rate) x Debt/Equity)</t>
  </si>
  <si>
    <t>Regression Beta 2Yr Weekly</t>
  </si>
  <si>
    <t>Year</t>
  </si>
  <si>
    <t>Closing Price</t>
  </si>
  <si>
    <t>Return</t>
  </si>
  <si>
    <t>Nifty 50 Returns</t>
  </si>
  <si>
    <t>Beta</t>
  </si>
  <si>
    <t>-</t>
  </si>
  <si>
    <t>O N G C</t>
  </si>
  <si>
    <t>Coal India</t>
  </si>
  <si>
    <t>I O C L</t>
  </si>
  <si>
    <t>B P C L</t>
  </si>
  <si>
    <t>S No</t>
  </si>
  <si>
    <t>Current Price Rs</t>
  </si>
  <si>
    <t>Market Cap Cr</t>
  </si>
  <si>
    <t>Debt Cr.</t>
  </si>
  <si>
    <t>Debt/Eq</t>
  </si>
  <si>
    <t>Companies</t>
  </si>
  <si>
    <t>Reliance Industries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</si>
  <si>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</si>
  <si>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</si>
  <si>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</si>
  <si>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t>Reliance Returns</t>
  </si>
  <si>
    <t>ONGC Returns</t>
  </si>
  <si>
    <t>COAL India Returns</t>
  </si>
  <si>
    <t>IOCL Returns</t>
  </si>
  <si>
    <t>BPCL Returns</t>
  </si>
  <si>
    <t>Beta Drifting</t>
  </si>
  <si>
    <t>Levered Raw Beta</t>
  </si>
  <si>
    <t>Raw Beta Weight</t>
  </si>
  <si>
    <t xml:space="preserve">Market Beta </t>
  </si>
  <si>
    <t>Market Beta Weight</t>
  </si>
  <si>
    <t>Adjusted Beta</t>
  </si>
  <si>
    <t>Cost Of Debt</t>
  </si>
  <si>
    <t>Tax-Rate</t>
  </si>
  <si>
    <t>Cost Of Equity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</si>
  <si>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</si>
  <si>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Annual</t>
  </si>
  <si>
    <t>Return On Market</t>
  </si>
  <si>
    <t xml:space="preserve">Average Return </t>
  </si>
  <si>
    <t>Dividend Yield</t>
  </si>
  <si>
    <t>Total Market Return</t>
  </si>
  <si>
    <t>Total Debt Cr.</t>
  </si>
  <si>
    <t>Total Equity Cr.</t>
  </si>
  <si>
    <t>Equity Weight</t>
  </si>
  <si>
    <t>Debt Weight</t>
  </si>
  <si>
    <t>WACC</t>
  </si>
  <si>
    <t>1.Tax Rate is Considered from their financial statements of repective Companies</t>
  </si>
  <si>
    <t>3. Levered Beta = Unlevered Beta/(1+(1-Tax Rate) x Debt/Equity)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</si>
</sst>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14009]dd/mm/yy;@"/>
  </numFmts>
  <fonts count="1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22222F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8" tint="-0.249977111117893"/>
      <name val="Arial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333FF"/>
      <name val="calibri"/>
      <family val="2"/>
    </font>
    <font>
      <b/>
      <sz val="11"/>
      <color theme="2"/>
      <name val="Calibri"/>
      <family val="2"/>
      <scheme val="minor"/>
    </font>
    <font>
      <i/>
      <sz val="9"/>
      <color theme="1"/>
      <name val="calibri"/>
      <family val="2"/>
    </font>
    <font>
      <sz val="11"/>
      <color theme="1" tint="0.24997711111789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0" fillId="0" borderId="0" xfId="0" applyNumberFormat="1" applyAlignment="1">
      <alignment horizontal="left"/>
    </xf>
    <xf numFmtId="10" fontId="0" fillId="0" borderId="0" xfId="1" applyNumberFormat="1" applyFont="1"/>
    <xf numFmtId="0" fontId="5" fillId="4" borderId="0" xfId="0" applyFont="1" applyFill="1" applyAlignment="1">
      <alignment horizontal="center"/>
    </xf>
    <xf numFmtId="0" fontId="3" fillId="3" borderId="2" xfId="0" applyNumberFormat="1" applyFont="1" applyFill="1" applyBorder="1"/>
    <xf numFmtId="0" fontId="3" fillId="3" borderId="2" xfId="0" applyNumberFormat="1" applyFont="1" applyFill="1" applyBorder="1" applyAlignment="1">
      <alignment horizontal="right"/>
    </xf>
    <xf numFmtId="0" fontId="0" fillId="3" borderId="2" xfId="0" applyNumberFormat="1" applyFill="1" applyBorder="1"/>
    <xf numFmtId="0" fontId="5" fillId="5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8" fillId="6" borderId="0" xfId="0" applyFont="1" applyFill="1" applyAlignment="1">
      <alignment horizontal="left" vertical="center" indent="2"/>
    </xf>
    <xf numFmtId="0" fontId="4" fillId="8" borderId="0" xfId="0" applyFont="1" applyFill="1"/>
    <xf numFmtId="0" fontId="3" fillId="0" borderId="3" xfId="0" applyFont="1" applyBorder="1"/>
    <xf numFmtId="0" fontId="0" fillId="0" borderId="3" xfId="0" applyBorder="1"/>
    <xf numFmtId="0" fontId="4" fillId="0" borderId="3" xfId="0" applyFont="1" applyBorder="1"/>
    <xf numFmtId="0" fontId="0" fillId="0" borderId="1" xfId="0" applyBorder="1"/>
    <xf numFmtId="0" fontId="6" fillId="10" borderId="0" xfId="0" applyFont="1" applyFill="1" applyAlignment="1">
      <alignment horizontal="center"/>
    </xf>
    <xf numFmtId="0" fontId="0" fillId="0" borderId="0" xfId="0" applyNumberFormat="1"/>
    <xf numFmtId="10" fontId="4" fillId="0" borderId="0" xfId="1" applyNumberFormat="1" applyFont="1" applyAlignment="1">
      <alignment horizontal="right"/>
    </xf>
    <xf numFmtId="0" fontId="10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/>
    <xf numFmtId="2" fontId="0" fillId="12" borderId="0" xfId="0" applyNumberFormat="1" applyFill="1"/>
    <xf numFmtId="0" fontId="3" fillId="0" borderId="4" xfId="0" applyFont="1" applyBorder="1"/>
    <xf numFmtId="9" fontId="0" fillId="0" borderId="4" xfId="0" applyNumberFormat="1" applyBorder="1"/>
    <xf numFmtId="2" fontId="0" fillId="0" borderId="4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11" fillId="9" borderId="0" xfId="0" applyFont="1" applyFill="1" applyAlignment="1">
      <alignment horizontal="left" vertical="center" indent="2"/>
    </xf>
    <xf numFmtId="0" fontId="11" fillId="9" borderId="0" xfId="0" applyFont="1" applyFill="1" applyAlignment="1">
      <alignment vertical="center"/>
    </xf>
    <xf numFmtId="2" fontId="11" fillId="9" borderId="0" xfId="0" applyNumberFormat="1" applyFont="1" applyFill="1" applyAlignment="1">
      <alignment horizontal="right" vertical="center" wrapText="1" indent="1"/>
    </xf>
    <xf numFmtId="4" fontId="0" fillId="0" borderId="0" xfId="0" applyNumberFormat="1"/>
    <xf numFmtId="0" fontId="3" fillId="0" borderId="3" xfId="0" applyNumberFormat="1" applyFont="1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0" fontId="13" fillId="0" borderId="3" xfId="0" applyFont="1" applyBorder="1"/>
    <xf numFmtId="0" fontId="13" fillId="0" borderId="0" xfId="0" applyFont="1"/>
    <xf numFmtId="0" fontId="13" fillId="0" borderId="3" xfId="0" applyFont="1" applyBorder="1" applyAlignment="1">
      <alignment horizontal="right"/>
    </xf>
    <xf numFmtId="164" fontId="14" fillId="0" borderId="0" xfId="0" applyNumberFormat="1" applyFont="1"/>
    <xf numFmtId="10" fontId="14" fillId="0" borderId="0" xfId="0" applyNumberFormat="1" applyFont="1"/>
    <xf numFmtId="10" fontId="0" fillId="0" borderId="1" xfId="1" applyNumberFormat="1" applyFont="1" applyBorder="1"/>
    <xf numFmtId="10" fontId="0" fillId="0" borderId="0" xfId="0" applyNumberFormat="1"/>
    <xf numFmtId="10" fontId="0" fillId="0" borderId="6" xfId="1" applyNumberFormat="1" applyFont="1" applyBorder="1"/>
    <xf numFmtId="10" fontId="0" fillId="0" borderId="6" xfId="0" applyNumberFormat="1" applyBorder="1"/>
    <xf numFmtId="10" fontId="14" fillId="0" borderId="0" xfId="1" applyNumberFormat="1" applyFont="1"/>
    <xf numFmtId="9" fontId="0" fillId="0" borderId="5" xfId="0" applyNumberFormat="1" applyBorder="1"/>
    <xf numFmtId="0" fontId="4" fillId="3" borderId="0" xfId="0" applyFont="1" applyFill="1"/>
    <xf numFmtId="0" fontId="15" fillId="13" borderId="0" xfId="0" applyFont="1" applyFill="1" applyAlignment="1">
      <alignment horizontal="center"/>
    </xf>
    <xf numFmtId="0" fontId="3" fillId="14" borderId="2" xfId="0" applyFont="1" applyFill="1" applyBorder="1"/>
    <xf numFmtId="10" fontId="0" fillId="0" borderId="1" xfId="0" applyNumberFormat="1" applyBorder="1"/>
    <xf numFmtId="10" fontId="4" fillId="0" borderId="0" xfId="0" applyNumberFormat="1" applyFont="1" applyAlignment="1">
      <alignment horizontal="right"/>
    </xf>
    <xf numFmtId="10" fontId="3" fillId="14" borderId="2" xfId="1" applyNumberFormat="1" applyFont="1" applyFill="1" applyBorder="1"/>
    <xf numFmtId="3" fontId="8" fillId="6" borderId="0" xfId="0" applyNumberFormat="1" applyFont="1" applyFill="1" applyAlignment="1">
      <alignment horizontal="right" vertical="center" wrapText="1" indent="1"/>
    </xf>
    <xf numFmtId="3" fontId="8" fillId="7" borderId="0" xfId="0" applyNumberFormat="1" applyFont="1" applyFill="1" applyAlignment="1">
      <alignment horizontal="right" vertical="center" wrapText="1" indent="1"/>
    </xf>
    <xf numFmtId="3" fontId="0" fillId="0" borderId="0" xfId="0" applyNumberFormat="1"/>
    <xf numFmtId="4" fontId="14" fillId="0" borderId="0" xfId="1" applyNumberFormat="1" applyFont="1"/>
    <xf numFmtId="0" fontId="16" fillId="0" borderId="0" xfId="0" applyFont="1"/>
    <xf numFmtId="0" fontId="4" fillId="14" borderId="1" xfId="0" applyFont="1" applyFill="1" applyBorder="1"/>
    <xf numFmtId="0" fontId="0" fillId="14" borderId="1" xfId="0" applyFill="1" applyBorder="1"/>
    <xf numFmtId="10" fontId="0" fillId="14" borderId="1" xfId="0" applyNumberFormat="1" applyFill="1" applyBorder="1"/>
    <xf numFmtId="164" fontId="17" fillId="0" borderId="0" xfId="0" applyNumberFormat="1" applyFont="1"/>
    <xf numFmtId="10" fontId="0" fillId="15" borderId="0" xfId="1" applyNumberFormat="1" applyFont="1" applyFill="1"/>
    <xf numFmtId="2" fontId="0" fillId="15" borderId="0" xfId="0" applyNumberFormat="1" applyFill="1"/>
    <xf numFmtId="10" fontId="0" fillId="12" borderId="0" xfId="0" applyNumberFormat="1" applyFill="1"/>
    <xf numFmtId="2" fontId="0" fillId="12" borderId="5" xfId="0" applyNumberFormat="1" applyFill="1" applyBorder="1"/>
    <xf numFmtId="2" fontId="0" fillId="12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9525</xdr:rowOff>
    </xdr:from>
    <xdr:ext cx="12573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5E92900D-8D74-4717-A5CB-8CD7127915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9525"/>
          <a:ext cx="1257300" cy="64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reener.in/company/IOC/consolidated/" TargetMode="External"/><Relationship Id="rId2" Type="http://schemas.openxmlformats.org/officeDocument/2006/relationships/hyperlink" Target="https://www.screener.in/company/COALINDIA/consolidated/" TargetMode="External"/><Relationship Id="rId1" Type="http://schemas.openxmlformats.org/officeDocument/2006/relationships/hyperlink" Target="https://www.screener.in/company/ONGC/consolidated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reener.in/company/BPCL/consolidate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reener.in/company/IOC/consolidated/" TargetMode="External"/><Relationship Id="rId2" Type="http://schemas.openxmlformats.org/officeDocument/2006/relationships/hyperlink" Target="https://www.screener.in/company/COALINDIA/consolidated/" TargetMode="External"/><Relationship Id="rId1" Type="http://schemas.openxmlformats.org/officeDocument/2006/relationships/hyperlink" Target="https://www.screener.in/company/ONGC/consolidated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creener.in/company/BPCL/consolidate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EA53-7E35-4751-B3D6-4EAD965F1955}">
  <dimension ref="B2:P45"/>
  <sheetViews>
    <sheetView showGridLines="0" tabSelected="1" topLeftCell="A27" zoomScaleNormal="100" workbookViewId="0">
      <selection activeCell="B38" sqref="B38"/>
    </sheetView>
  </sheetViews>
  <sheetFormatPr defaultRowHeight="15" x14ac:dyDescent="0.25"/>
  <cols>
    <col min="1" max="1" width="1.85546875" customWidth="1"/>
    <col min="2" max="2" width="19.28515625" customWidth="1"/>
    <col min="3" max="3" width="11" bestFit="1" customWidth="1"/>
    <col min="4" max="4" width="11.28515625" customWidth="1"/>
    <col min="5" max="5" width="13.42578125" customWidth="1"/>
    <col min="6" max="6" width="9.5703125" bestFit="1" customWidth="1"/>
    <col min="7" max="8" width="8.28515625" customWidth="1"/>
    <col min="9" max="9" width="7.42578125" customWidth="1"/>
    <col min="10" max="10" width="9.140625" customWidth="1"/>
  </cols>
  <sheetData>
    <row r="2" spans="2:12" ht="18.75" x14ac:dyDescent="0.3">
      <c r="B2" s="24" t="str">
        <f>"Weighted Average Cost of Capital for " &amp;B11</f>
        <v>Weighted Average Cost of Capital for Reliance Industries</v>
      </c>
      <c r="C2" s="24"/>
      <c r="D2" s="24"/>
      <c r="E2" s="24"/>
      <c r="F2" s="24"/>
      <c r="G2" s="24"/>
      <c r="H2" s="24"/>
      <c r="I2" s="24"/>
      <c r="J2" s="24"/>
    </row>
    <row r="5" spans="2:12" x14ac:dyDescent="0.25">
      <c r="B5" s="16" t="s">
        <v>1</v>
      </c>
    </row>
    <row r="7" spans="2:12" x14ac:dyDescent="0.25">
      <c r="B7" s="20" t="s">
        <v>2</v>
      </c>
      <c r="C7" s="21"/>
      <c r="D7" s="21"/>
      <c r="E7" s="21"/>
      <c r="F7" s="21"/>
      <c r="G7" s="21"/>
      <c r="H7" s="21"/>
      <c r="I7" s="21"/>
      <c r="J7" s="21"/>
      <c r="K7" s="23"/>
      <c r="L7" s="23"/>
    </row>
    <row r="8" spans="2:12" x14ac:dyDescent="0.25">
      <c r="G8" s="3" t="s">
        <v>3</v>
      </c>
      <c r="H8" s="3" t="s">
        <v>3</v>
      </c>
      <c r="I8" s="3" t="s">
        <v>4</v>
      </c>
      <c r="J8" s="3" t="s">
        <v>5</v>
      </c>
      <c r="K8" s="23"/>
      <c r="L8" s="23"/>
    </row>
    <row r="9" spans="2:12" ht="17.25" x14ac:dyDescent="0.25">
      <c r="B9" s="22" t="s">
        <v>6</v>
      </c>
      <c r="C9" s="22" t="s">
        <v>7</v>
      </c>
      <c r="D9" s="22" t="s">
        <v>74</v>
      </c>
      <c r="E9" s="22" t="s">
        <v>75</v>
      </c>
      <c r="F9" s="22" t="s">
        <v>51</v>
      </c>
      <c r="G9" s="22" t="s">
        <v>9</v>
      </c>
      <c r="H9" s="22" t="s">
        <v>10</v>
      </c>
      <c r="I9" s="22" t="s">
        <v>52</v>
      </c>
      <c r="J9" s="22" t="s">
        <v>53</v>
      </c>
      <c r="K9" s="23"/>
      <c r="L9" s="23"/>
    </row>
    <row r="11" spans="2:12" x14ac:dyDescent="0.25">
      <c r="B11" s="54" t="s">
        <v>50</v>
      </c>
      <c r="C11" s="54" t="s">
        <v>11</v>
      </c>
      <c r="D11" s="65">
        <f>Companies!F6</f>
        <v>374593</v>
      </c>
      <c r="E11" s="65">
        <f>Companies!E6</f>
        <v>1917623.05</v>
      </c>
      <c r="F11" s="54">
        <v>0.24</v>
      </c>
      <c r="G11" s="71">
        <f>D11/E11</f>
        <v>0.19534235364974362</v>
      </c>
      <c r="H11" s="71">
        <f>WACC!D11/(WACC!D11+WACC!E11)</f>
        <v>0.1634195869102304</v>
      </c>
      <c r="I11" s="72">
        <f>'Beta-Regression'!G11</f>
        <v>1.1126614182159302</v>
      </c>
      <c r="J11" s="72">
        <f>I11/(1+(1-F11)*G11)</f>
        <v>0.96882889724188292</v>
      </c>
    </row>
    <row r="12" spans="2:12" x14ac:dyDescent="0.25">
      <c r="B12" s="54" t="s">
        <v>40</v>
      </c>
      <c r="C12" s="54" t="s">
        <v>11</v>
      </c>
      <c r="D12" s="65">
        <f>Companies!F7</f>
        <v>187817.3</v>
      </c>
      <c r="E12" s="65">
        <f>Companies!E7</f>
        <v>311600.93</v>
      </c>
      <c r="F12" s="54">
        <v>0.26</v>
      </c>
      <c r="G12" s="71">
        <f t="shared" ref="G12:G15" si="0">D12/E12</f>
        <v>0.60274948473356604</v>
      </c>
      <c r="H12" s="71">
        <f>WACC!D12/(WACC!D12+WACC!E12)</f>
        <v>0.37607217501852103</v>
      </c>
      <c r="I12" s="72">
        <f>'Beta-Regression'!J11</f>
        <v>1.0684155968276379</v>
      </c>
      <c r="J12" s="72">
        <f t="shared" ref="J12:J15" si="1">I12/(1+(1-F12)*G12)</f>
        <v>0.73885893394866098</v>
      </c>
    </row>
    <row r="13" spans="2:12" x14ac:dyDescent="0.25">
      <c r="B13" s="54" t="s">
        <v>41</v>
      </c>
      <c r="C13" s="54" t="s">
        <v>11</v>
      </c>
      <c r="D13" s="65">
        <f>Companies!F8</f>
        <v>9145.73</v>
      </c>
      <c r="E13" s="65">
        <f>Companies!E8</f>
        <v>239668.71</v>
      </c>
      <c r="F13" s="54">
        <v>0.25</v>
      </c>
      <c r="G13" s="71">
        <f t="shared" si="0"/>
        <v>3.8159883282219025E-2</v>
      </c>
      <c r="H13" s="71">
        <f>WACC!D13/(WACC!D13+WACC!E13)</f>
        <v>3.675723161404941E-2</v>
      </c>
      <c r="I13" s="72">
        <f>'Beta-Regression'!M11</f>
        <v>1.0453223213229281</v>
      </c>
      <c r="J13" s="72">
        <f t="shared" si="1"/>
        <v>1.0162376876618033</v>
      </c>
    </row>
    <row r="14" spans="2:12" x14ac:dyDescent="0.25">
      <c r="B14" s="54" t="s">
        <v>42</v>
      </c>
      <c r="C14" s="54" t="s">
        <v>11</v>
      </c>
      <c r="D14" s="65">
        <f>Companies!F9</f>
        <v>152270.56</v>
      </c>
      <c r="E14" s="65">
        <f>Companies!E9</f>
        <v>215955.96</v>
      </c>
      <c r="F14" s="54">
        <v>0.22</v>
      </c>
      <c r="G14" s="71">
        <f t="shared" si="0"/>
        <v>0.70510005836375156</v>
      </c>
      <c r="H14" s="71">
        <f>WACC!D14/(WACC!D14+WACC!E14)</f>
        <v>0.41352415355634892</v>
      </c>
      <c r="I14" s="72">
        <f>'Beta-Regression'!P11</f>
        <v>1.3388231492350224</v>
      </c>
      <c r="J14" s="72">
        <f t="shared" si="1"/>
        <v>0.86376910505377125</v>
      </c>
    </row>
    <row r="15" spans="2:12" x14ac:dyDescent="0.25">
      <c r="B15" s="54" t="s">
        <v>43</v>
      </c>
      <c r="C15" s="54" t="s">
        <v>11</v>
      </c>
      <c r="D15" s="65">
        <f>Companies!F10</f>
        <v>61100.57</v>
      </c>
      <c r="E15" s="65">
        <f>Companies!E10</f>
        <v>145752.1</v>
      </c>
      <c r="F15" s="54">
        <v>0.23</v>
      </c>
      <c r="G15" s="71">
        <f t="shared" si="0"/>
        <v>0.41920884844883882</v>
      </c>
      <c r="H15" s="71">
        <f>WACC!D15/(WACC!D15+WACC!E15)</f>
        <v>0.29538207072695749</v>
      </c>
      <c r="I15" s="72">
        <f>'Beta-Regression'!S11</f>
        <v>1.2009351309336018</v>
      </c>
      <c r="J15" s="72">
        <f t="shared" si="1"/>
        <v>0.9078798543607276</v>
      </c>
    </row>
    <row r="17" spans="2:16" x14ac:dyDescent="0.25">
      <c r="E17" s="31" t="s">
        <v>12</v>
      </c>
      <c r="F17" s="32">
        <f>AVERAGE(F11:F15)</f>
        <v>0.24</v>
      </c>
      <c r="G17" s="32">
        <f t="shared" ref="G17:J17" si="2">AVERAGE(G11:G15)</f>
        <v>0.39211212569562381</v>
      </c>
      <c r="H17" s="32">
        <f t="shared" si="2"/>
        <v>0.25703104356522144</v>
      </c>
      <c r="I17" s="33">
        <f t="shared" si="2"/>
        <v>1.1532315233070241</v>
      </c>
      <c r="J17" s="33">
        <f t="shared" si="2"/>
        <v>0.89911489565336922</v>
      </c>
    </row>
    <row r="18" spans="2:16" x14ac:dyDescent="0.25">
      <c r="E18" s="20" t="s">
        <v>13</v>
      </c>
      <c r="F18" s="34">
        <f>MEDIAN(F11:F15)</f>
        <v>0.24</v>
      </c>
      <c r="G18" s="34">
        <f t="shared" ref="G18:J18" si="3">MEDIAN(G11:G15)</f>
        <v>0.41920884844883882</v>
      </c>
      <c r="H18" s="34">
        <f t="shared" si="3"/>
        <v>0.29538207072695749</v>
      </c>
      <c r="I18" s="35">
        <f t="shared" si="3"/>
        <v>1.1126614182159302</v>
      </c>
      <c r="J18" s="35">
        <f t="shared" si="3"/>
        <v>0.9078798543607276</v>
      </c>
    </row>
    <row r="21" spans="2:16" x14ac:dyDescent="0.25">
      <c r="B21" s="40" t="s">
        <v>65</v>
      </c>
      <c r="C21" s="21"/>
      <c r="D21" s="21"/>
      <c r="E21" s="21"/>
      <c r="G21" s="40" t="s">
        <v>67</v>
      </c>
      <c r="H21" s="21"/>
      <c r="I21" s="21"/>
      <c r="J21" s="21"/>
    </row>
    <row r="22" spans="2:16" x14ac:dyDescent="0.25">
      <c r="B22" s="3"/>
      <c r="G22" s="3"/>
    </row>
    <row r="23" spans="2:16" x14ac:dyDescent="0.25">
      <c r="B23" s="3" t="s">
        <v>16</v>
      </c>
      <c r="E23" s="54">
        <f>9.4%</f>
        <v>9.4E-2</v>
      </c>
      <c r="G23" t="s">
        <v>17</v>
      </c>
      <c r="J23" s="54">
        <f>0.06506</f>
        <v>6.5060000000000007E-2</v>
      </c>
    </row>
    <row r="24" spans="2:16" x14ac:dyDescent="0.25">
      <c r="B24" s="41" t="s">
        <v>66</v>
      </c>
      <c r="C24" s="42"/>
      <c r="D24" s="42"/>
      <c r="E24" s="55">
        <f>F18</f>
        <v>0.24</v>
      </c>
      <c r="G24" t="s">
        <v>19</v>
      </c>
      <c r="H24" s="23"/>
      <c r="I24" s="23"/>
      <c r="J24" s="59">
        <f>Rm!F9-WACC!J23</f>
        <v>0.10178799999999999</v>
      </c>
    </row>
    <row r="25" spans="2:16" ht="17.25" x14ac:dyDescent="0.25">
      <c r="B25" s="2" t="s">
        <v>20</v>
      </c>
      <c r="E25" s="73">
        <f>E23*(1-E24)</f>
        <v>7.1440000000000003E-2</v>
      </c>
      <c r="G25" s="42" t="s">
        <v>68</v>
      </c>
      <c r="H25" s="42"/>
      <c r="I25" s="42"/>
      <c r="J25" s="74">
        <f>J34</f>
        <v>1.1465823079782289</v>
      </c>
    </row>
    <row r="26" spans="2:16" x14ac:dyDescent="0.25">
      <c r="G26" s="44" t="s">
        <v>15</v>
      </c>
      <c r="J26" s="73">
        <f>J23+J24*J25</f>
        <v>0.18176831996448795</v>
      </c>
    </row>
    <row r="29" spans="2:16" x14ac:dyDescent="0.25">
      <c r="B29" s="45" t="s">
        <v>21</v>
      </c>
      <c r="C29" s="21"/>
      <c r="D29" s="21"/>
      <c r="E29" s="21"/>
      <c r="G29" s="45" t="s">
        <v>22</v>
      </c>
      <c r="H29" s="21"/>
      <c r="I29" s="21"/>
      <c r="J29" s="21"/>
    </row>
    <row r="30" spans="2:16" x14ac:dyDescent="0.25">
      <c r="G30" s="46"/>
    </row>
    <row r="31" spans="2:16" x14ac:dyDescent="0.25">
      <c r="D31" s="47" t="s">
        <v>23</v>
      </c>
      <c r="E31" s="47" t="s">
        <v>24</v>
      </c>
      <c r="G31" s="4" t="s">
        <v>25</v>
      </c>
      <c r="J31" s="4">
        <f>J18</f>
        <v>0.9078798543607276</v>
      </c>
    </row>
    <row r="32" spans="2:16" x14ac:dyDescent="0.25">
      <c r="B32" t="s">
        <v>8</v>
      </c>
      <c r="C32" s="48">
        <f>D11</f>
        <v>374593</v>
      </c>
      <c r="D32" s="6">
        <f>C32/C34</f>
        <v>0.1634195869102304</v>
      </c>
      <c r="E32" s="49">
        <f>H17</f>
        <v>0.25703104356522144</v>
      </c>
      <c r="G32" t="s">
        <v>26</v>
      </c>
      <c r="J32" s="50">
        <f>E36</f>
        <v>0.34595125588909431</v>
      </c>
      <c r="M32" s="62"/>
      <c r="N32" s="62"/>
      <c r="O32" s="62"/>
      <c r="P32" s="63"/>
    </row>
    <row r="33" spans="2:13" x14ac:dyDescent="0.25">
      <c r="B33" t="s">
        <v>27</v>
      </c>
      <c r="C33" s="48">
        <f>E11</f>
        <v>1917623.05</v>
      </c>
      <c r="D33" s="6">
        <f>C33/C34</f>
        <v>0.83658041308976971</v>
      </c>
      <c r="E33" s="51">
        <f>E34-E32</f>
        <v>0.74296895643477856</v>
      </c>
      <c r="G33" t="s">
        <v>18</v>
      </c>
      <c r="J33" s="51">
        <f>F11</f>
        <v>0.24</v>
      </c>
      <c r="M33" s="64"/>
    </row>
    <row r="34" spans="2:13" x14ac:dyDescent="0.25">
      <c r="B34" t="s">
        <v>28</v>
      </c>
      <c r="C34" s="70">
        <f>SUM(C32:C33)</f>
        <v>2292216.0499999998</v>
      </c>
      <c r="D34" s="52">
        <f>SUM(D32:D33)</f>
        <v>1</v>
      </c>
      <c r="E34" s="53">
        <f>1</f>
        <v>1</v>
      </c>
      <c r="G34" s="43" t="s">
        <v>29</v>
      </c>
      <c r="H34" s="43"/>
      <c r="I34" s="43"/>
      <c r="J34" s="75">
        <f>J31*(1+(1-J33)*J32)</f>
        <v>1.1465823079782289</v>
      </c>
    </row>
    <row r="36" spans="2:13" x14ac:dyDescent="0.25">
      <c r="B36" t="s">
        <v>30</v>
      </c>
      <c r="D36" s="73">
        <f>D32/D33</f>
        <v>0.19534235364974362</v>
      </c>
      <c r="E36" s="73">
        <f>E32/E33</f>
        <v>0.34595125588909431</v>
      </c>
      <c r="G36" s="45" t="s">
        <v>0</v>
      </c>
      <c r="H36" s="21"/>
      <c r="I36" s="21"/>
      <c r="J36" s="21"/>
    </row>
    <row r="38" spans="2:13" x14ac:dyDescent="0.25">
      <c r="G38" s="3" t="s">
        <v>15</v>
      </c>
      <c r="J38" s="51">
        <f>J26</f>
        <v>0.18176831996448795</v>
      </c>
    </row>
    <row r="39" spans="2:13" x14ac:dyDescent="0.25">
      <c r="G39" s="3" t="s">
        <v>76</v>
      </c>
      <c r="J39" s="51">
        <f>E33</f>
        <v>0.74296895643477856</v>
      </c>
    </row>
    <row r="40" spans="2:13" x14ac:dyDescent="0.25">
      <c r="B40" s="66" t="s">
        <v>79</v>
      </c>
    </row>
    <row r="41" spans="2:13" x14ac:dyDescent="0.25">
      <c r="B41" s="66" t="s">
        <v>31</v>
      </c>
      <c r="G41" s="3" t="s">
        <v>14</v>
      </c>
      <c r="J41" s="51">
        <f>E25</f>
        <v>7.1440000000000003E-2</v>
      </c>
    </row>
    <row r="42" spans="2:13" x14ac:dyDescent="0.25">
      <c r="B42" s="66" t="s">
        <v>32</v>
      </c>
      <c r="G42" s="3" t="s">
        <v>77</v>
      </c>
      <c r="J42" s="51">
        <f>E32</f>
        <v>0.25703104356522144</v>
      </c>
    </row>
    <row r="43" spans="2:13" x14ac:dyDescent="0.25">
      <c r="B43" s="66" t="s">
        <v>80</v>
      </c>
      <c r="G43" s="3"/>
      <c r="J43" s="51"/>
    </row>
    <row r="44" spans="2:13" x14ac:dyDescent="0.25">
      <c r="G44" s="67" t="s">
        <v>78</v>
      </c>
      <c r="H44" s="68"/>
      <c r="I44" s="68"/>
      <c r="J44" s="69">
        <f>(J38*J39)+(J41*J42)</f>
        <v>0.15341051674921796</v>
      </c>
    </row>
    <row r="45" spans="2:13" x14ac:dyDescent="0.25">
      <c r="G45" s="23"/>
      <c r="H45" s="23"/>
      <c r="I45" s="23"/>
      <c r="J45" s="23"/>
    </row>
  </sheetData>
  <mergeCells count="1">
    <mergeCell ref="B2:J2"/>
  </mergeCells>
  <hyperlinks>
    <hyperlink ref="B12" r:id="rId1" display="https://www.screener.in/company/ONGC/consolidated/" xr:uid="{FEB9AD66-ADFD-435D-B868-4F5DB45B6BEC}"/>
    <hyperlink ref="B13" r:id="rId2" display="https://www.screener.in/company/COALINDIA/consolidated/" xr:uid="{66F4E51F-579C-4BAF-97EF-D1B56C8A46C5}"/>
    <hyperlink ref="B14" r:id="rId3" display="https://www.screener.in/company/IOC/consolidated/" xr:uid="{A4F8DEC9-ECFB-4C43-A3AA-468C2E99BC9F}"/>
    <hyperlink ref="B15" r:id="rId4" display="https://www.screener.in/company/BPCL/consolidated/" xr:uid="{13E9C3E3-05C5-4749-8290-8C36FF0731F8}"/>
  </hyperlinks>
  <pageMargins left="0.25" right="0.25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ED71-F956-449A-9F97-4D395B23E535}">
  <dimension ref="B5:G11"/>
  <sheetViews>
    <sheetView showGridLines="0" workbookViewId="0">
      <selection activeCell="C16" sqref="C16"/>
    </sheetView>
  </sheetViews>
  <sheetFormatPr defaultRowHeight="15" x14ac:dyDescent="0.25"/>
  <cols>
    <col min="1" max="1" width="6" customWidth="1"/>
    <col min="2" max="2" width="5" bestFit="1" customWidth="1"/>
    <col min="3" max="3" width="19" bestFit="1" customWidth="1"/>
    <col min="4" max="4" width="15.140625" bestFit="1" customWidth="1"/>
    <col min="5" max="5" width="13.42578125" bestFit="1" customWidth="1"/>
    <col min="6" max="6" width="12" bestFit="1" customWidth="1"/>
    <col min="7" max="7" width="8.28515625" bestFit="1" customWidth="1"/>
  </cols>
  <sheetData>
    <row r="5" spans="2:7" x14ac:dyDescent="0.25">
      <c r="B5" s="19" t="s">
        <v>44</v>
      </c>
      <c r="C5" s="19" t="s">
        <v>49</v>
      </c>
      <c r="D5" s="19" t="s">
        <v>45</v>
      </c>
      <c r="E5" s="19" t="s">
        <v>46</v>
      </c>
      <c r="F5" s="19" t="s">
        <v>47</v>
      </c>
      <c r="G5" s="19" t="s">
        <v>48</v>
      </c>
    </row>
    <row r="6" spans="2:7" x14ac:dyDescent="0.25">
      <c r="B6" s="36">
        <v>1</v>
      </c>
      <c r="C6" s="37" t="s">
        <v>50</v>
      </c>
      <c r="D6" s="38">
        <v>1416.8</v>
      </c>
      <c r="E6" s="38">
        <v>1917623.05</v>
      </c>
      <c r="F6" s="38">
        <v>374593</v>
      </c>
      <c r="G6" s="38">
        <v>0.43</v>
      </c>
    </row>
    <row r="7" spans="2:7" x14ac:dyDescent="0.25">
      <c r="B7" s="36">
        <v>2</v>
      </c>
      <c r="C7" s="37" t="s">
        <v>40</v>
      </c>
      <c r="D7" s="38">
        <v>247.69</v>
      </c>
      <c r="E7" s="38">
        <v>311600.93</v>
      </c>
      <c r="F7" s="38">
        <v>187817.3</v>
      </c>
      <c r="G7" s="38">
        <v>0.55000000000000004</v>
      </c>
    </row>
    <row r="8" spans="2:7" x14ac:dyDescent="0.25">
      <c r="B8" s="36">
        <v>3</v>
      </c>
      <c r="C8" s="37" t="s">
        <v>41</v>
      </c>
      <c r="D8" s="38">
        <v>388.8</v>
      </c>
      <c r="E8" s="38">
        <v>239668.71</v>
      </c>
      <c r="F8" s="38">
        <v>9145.73</v>
      </c>
      <c r="G8" s="38">
        <v>0.09</v>
      </c>
    </row>
    <row r="9" spans="2:7" x14ac:dyDescent="0.25">
      <c r="B9" s="36">
        <v>4</v>
      </c>
      <c r="C9" s="37" t="s">
        <v>42</v>
      </c>
      <c r="D9" s="38">
        <v>152.91</v>
      </c>
      <c r="E9" s="38">
        <v>215955.96</v>
      </c>
      <c r="F9" s="38">
        <v>152270.56</v>
      </c>
      <c r="G9" s="38">
        <v>0.82</v>
      </c>
    </row>
    <row r="10" spans="2:7" x14ac:dyDescent="0.25">
      <c r="B10" s="36">
        <v>5</v>
      </c>
      <c r="C10" s="37" t="s">
        <v>43</v>
      </c>
      <c r="D10" s="38">
        <v>335.85</v>
      </c>
      <c r="E10" s="38">
        <v>145752.1</v>
      </c>
      <c r="F10" s="38">
        <v>61100.57</v>
      </c>
      <c r="G10" s="38">
        <v>0.75</v>
      </c>
    </row>
    <row r="11" spans="2:7" x14ac:dyDescent="0.25">
      <c r="B11" s="18"/>
      <c r="C11" s="17"/>
      <c r="D11" s="17"/>
      <c r="E11" s="17"/>
      <c r="F11" s="17"/>
      <c r="G11" s="17"/>
    </row>
  </sheetData>
  <hyperlinks>
    <hyperlink ref="C7" r:id="rId1" display="https://www.screener.in/company/ONGC/consolidated/" xr:uid="{44B6547B-762F-4C87-A63E-BA25966F5E8F}"/>
    <hyperlink ref="C8" r:id="rId2" display="https://www.screener.in/company/COALINDIA/consolidated/" xr:uid="{17A5A75E-49F2-4154-8DE8-0A2AA6306135}"/>
    <hyperlink ref="C9" r:id="rId3" display="https://www.screener.in/company/IOC/consolidated/" xr:uid="{78A02D08-98F2-4297-AE98-71969908AE2E}"/>
    <hyperlink ref="C10" r:id="rId4" display="https://www.screener.in/company/BPCL/consolidated/" xr:uid="{CDAEC850-F7D1-4997-8E7E-83DD2B3855CA}"/>
  </hyperlinks>
  <pageMargins left="0.7" right="0.7" top="0.75" bottom="0.75" header="0.3" footer="0.3"/>
  <pageSetup paperSize="0" orientation="portrait" horizontalDpi="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4"/>
  <sheetViews>
    <sheetView showGridLines="0" workbookViewId="0">
      <pane xSplit="1" ySplit="13" topLeftCell="B109" activePane="bottomRight" state="frozen"/>
      <selection pane="topRight" activeCell="B1" sqref="B1"/>
      <selection pane="bottomLeft" activeCell="A13" sqref="A13"/>
      <selection pane="bottomRight" activeCell="O113" sqref="O113"/>
    </sheetView>
  </sheetViews>
  <sheetFormatPr defaultColWidth="14.42578125" defaultRowHeight="15" customHeight="1" x14ac:dyDescent="0.25"/>
  <cols>
    <col min="1" max="1" width="1.85546875" customWidth="1"/>
    <col min="2" max="2" width="15.42578125" customWidth="1"/>
    <col min="3" max="3" width="12.28515625" bestFit="1" customWidth="1"/>
    <col min="4" max="4" width="12" bestFit="1" customWidth="1"/>
    <col min="5" max="5" width="5.42578125" customWidth="1"/>
    <col min="6" max="6" width="12.28515625" style="25" bestFit="1" customWidth="1"/>
    <col min="7" max="7" width="10.85546875" style="25" customWidth="1"/>
    <col min="8" max="8" width="5.5703125" style="25" customWidth="1"/>
    <col min="9" max="9" width="12.28515625" style="25" bestFit="1" customWidth="1"/>
    <col min="10" max="10" width="8.7109375" style="25" customWidth="1"/>
    <col min="11" max="11" width="3.28515625" style="25" customWidth="1"/>
    <col min="12" max="12" width="12.28515625" style="25" bestFit="1" customWidth="1"/>
    <col min="13" max="13" width="8.7109375" style="25" customWidth="1"/>
    <col min="14" max="14" width="3.85546875" style="25" customWidth="1"/>
    <col min="15" max="15" width="12.28515625" style="25" bestFit="1" customWidth="1"/>
    <col min="16" max="16" width="8.7109375" style="25" customWidth="1"/>
    <col min="17" max="17" width="3.42578125" style="25" customWidth="1"/>
    <col min="18" max="18" width="12.28515625" style="25" bestFit="1" customWidth="1"/>
    <col min="19" max="19" width="8.7109375" style="25" customWidth="1"/>
    <col min="20" max="21" width="8.7109375" customWidth="1"/>
    <col min="22" max="22" width="18.85546875" bestFit="1" customWidth="1"/>
    <col min="23" max="23" width="7.140625" bestFit="1" customWidth="1"/>
    <col min="24" max="27" width="8.7109375" customWidth="1"/>
  </cols>
  <sheetData>
    <row r="1" spans="2:23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/>
      <c r="S1"/>
    </row>
    <row r="2" spans="2:23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/>
      <c r="L2"/>
      <c r="M2"/>
      <c r="N2"/>
      <c r="O2"/>
      <c r="P2"/>
      <c r="Q2"/>
      <c r="R2"/>
      <c r="S2"/>
    </row>
    <row r="3" spans="2:23" ht="15" customHeight="1" x14ac:dyDescent="0.25">
      <c r="B3" s="1"/>
      <c r="C3" s="1"/>
      <c r="D3" s="1"/>
      <c r="E3" s="1"/>
      <c r="F3" s="1"/>
      <c r="G3" s="1"/>
      <c r="H3" s="1"/>
      <c r="I3" s="1"/>
      <c r="J3" s="1"/>
      <c r="K3"/>
      <c r="L3"/>
      <c r="M3"/>
      <c r="N3"/>
      <c r="O3"/>
      <c r="P3"/>
      <c r="Q3"/>
      <c r="R3"/>
      <c r="S3"/>
    </row>
    <row r="4" spans="2:23" ht="15" customHeight="1" x14ac:dyDescent="0.25">
      <c r="B4" s="1"/>
      <c r="C4" s="1"/>
      <c r="D4" s="1"/>
      <c r="E4" s="1"/>
      <c r="F4" s="1"/>
      <c r="G4" s="1"/>
      <c r="H4" s="1"/>
      <c r="I4" s="1"/>
      <c r="J4" s="1"/>
      <c r="K4"/>
      <c r="L4"/>
      <c r="M4"/>
      <c r="N4"/>
      <c r="O4"/>
      <c r="P4"/>
      <c r="Q4"/>
      <c r="R4"/>
      <c r="S4"/>
    </row>
    <row r="5" spans="2:23" ht="15" customHeight="1" x14ac:dyDescent="0.25"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2:23" ht="15" customHeight="1" x14ac:dyDescent="0.25">
      <c r="B6" s="2" t="s">
        <v>33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2:23" ht="15" customHeight="1" x14ac:dyDescent="0.25">
      <c r="B7" s="2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2:23" ht="15" customHeight="1" x14ac:dyDescent="0.25">
      <c r="C8" s="7" t="s">
        <v>37</v>
      </c>
      <c r="D8" s="7"/>
      <c r="F8" s="7" t="s">
        <v>54</v>
      </c>
      <c r="G8" s="7"/>
      <c r="H8"/>
      <c r="I8" s="7" t="s">
        <v>55</v>
      </c>
      <c r="J8" s="7"/>
      <c r="K8"/>
      <c r="L8" s="7" t="s">
        <v>56</v>
      </c>
      <c r="M8" s="7"/>
      <c r="N8"/>
      <c r="O8" s="7" t="s">
        <v>57</v>
      </c>
      <c r="P8" s="7"/>
      <c r="Q8"/>
      <c r="R8" s="7" t="s">
        <v>58</v>
      </c>
      <c r="S8" s="7"/>
      <c r="V8" s="27" t="s">
        <v>59</v>
      </c>
      <c r="W8" s="27"/>
    </row>
    <row r="9" spans="2:23" ht="15" customHeight="1" x14ac:dyDescent="0.25">
      <c r="C9" s="11"/>
      <c r="D9" s="11"/>
      <c r="F9" s="11"/>
      <c r="G9" s="11"/>
      <c r="H9" s="12"/>
      <c r="I9" s="11"/>
      <c r="J9" s="11"/>
      <c r="K9" s="12"/>
      <c r="L9" s="11"/>
      <c r="M9" s="11"/>
      <c r="N9" s="12"/>
      <c r="O9" s="11"/>
      <c r="P9" s="11"/>
      <c r="Q9" s="12"/>
      <c r="R9" s="11"/>
      <c r="S9" s="11"/>
      <c r="U9" s="15"/>
    </row>
    <row r="10" spans="2:23" ht="15" customHeight="1" x14ac:dyDescent="0.25">
      <c r="C10" s="11"/>
      <c r="D10" s="11"/>
      <c r="F10" s="13" t="s">
        <v>38</v>
      </c>
      <c r="G10" s="14">
        <f>SLOPE(G14:G117,$D$14:$D$117)</f>
        <v>1.1502152242879069</v>
      </c>
      <c r="H10" s="12"/>
      <c r="I10" s="13" t="s">
        <v>38</v>
      </c>
      <c r="J10" s="14">
        <f>SLOPE(J14:J117,$D$14:$D$117)</f>
        <v>1.0912207957701838</v>
      </c>
      <c r="K10" s="12"/>
      <c r="L10" s="13" t="s">
        <v>38</v>
      </c>
      <c r="M10" s="14">
        <f>SLOPE(M14:M117,$D$14:$D$117)</f>
        <v>1.0604297617639042</v>
      </c>
      <c r="N10" s="12"/>
      <c r="O10" s="13" t="s">
        <v>38</v>
      </c>
      <c r="P10" s="14">
        <f>SLOPE(P14:P117,$D$14:$D$117)</f>
        <v>1.4517641989800298</v>
      </c>
      <c r="Q10" s="12"/>
      <c r="R10" s="13" t="s">
        <v>38</v>
      </c>
      <c r="S10" s="14">
        <f>SLOPE(S14:S117,$D$14:$D$117)</f>
        <v>1.2679135079114692</v>
      </c>
      <c r="V10" s="28" t="s">
        <v>60</v>
      </c>
      <c r="W10" s="4">
        <f>G10</f>
        <v>1.1502152242879069</v>
      </c>
    </row>
    <row r="11" spans="2:23" ht="15" customHeight="1" x14ac:dyDescent="0.25">
      <c r="C11" s="11"/>
      <c r="D11" s="11"/>
      <c r="F11" s="13" t="s">
        <v>64</v>
      </c>
      <c r="G11" s="14">
        <f>(G10*0.75)+(1*0.25)</f>
        <v>1.1126614182159302</v>
      </c>
      <c r="H11" s="12"/>
      <c r="I11" s="13" t="s">
        <v>64</v>
      </c>
      <c r="J11" s="14">
        <f>(J10*0.75)+(1*0.25)</f>
        <v>1.0684155968276379</v>
      </c>
      <c r="K11" s="12"/>
      <c r="L11" s="13" t="s">
        <v>64</v>
      </c>
      <c r="M11" s="14">
        <f>(M10*0.75)+(1*0.25)</f>
        <v>1.0453223213229281</v>
      </c>
      <c r="N11" s="12"/>
      <c r="O11" s="13" t="s">
        <v>64</v>
      </c>
      <c r="P11" s="14">
        <f>(P10*0.75)+(1*0.25)</f>
        <v>1.3388231492350224</v>
      </c>
      <c r="Q11" s="12"/>
      <c r="R11" s="13" t="s">
        <v>64</v>
      </c>
      <c r="S11" s="14">
        <f>(S10*0.75)+(1*0.25)</f>
        <v>1.2009351309336018</v>
      </c>
      <c r="V11" t="s">
        <v>61</v>
      </c>
      <c r="W11" s="6">
        <v>0.75</v>
      </c>
    </row>
    <row r="12" spans="2:23" ht="15" customHeight="1" x14ac:dyDescent="0.25">
      <c r="C12" s="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W12" s="4"/>
    </row>
    <row r="13" spans="2:23" ht="15" customHeight="1" x14ac:dyDescent="0.25">
      <c r="B13" s="8" t="s">
        <v>34</v>
      </c>
      <c r="C13" s="8" t="s">
        <v>35</v>
      </c>
      <c r="D13" s="9" t="s">
        <v>36</v>
      </c>
      <c r="E13" s="10"/>
      <c r="F13" s="8" t="s">
        <v>35</v>
      </c>
      <c r="G13" s="9" t="s">
        <v>36</v>
      </c>
      <c r="H13" s="10"/>
      <c r="I13" s="8" t="s">
        <v>35</v>
      </c>
      <c r="J13" s="9" t="s">
        <v>36</v>
      </c>
      <c r="K13" s="10"/>
      <c r="L13" s="8" t="s">
        <v>35</v>
      </c>
      <c r="M13" s="9" t="s">
        <v>36</v>
      </c>
      <c r="N13" s="10"/>
      <c r="O13" s="8" t="s">
        <v>35</v>
      </c>
      <c r="P13" s="9" t="s">
        <v>36</v>
      </c>
      <c r="Q13" s="10"/>
      <c r="R13" s="8" t="s">
        <v>35</v>
      </c>
      <c r="S13" s="9" t="s">
        <v>36</v>
      </c>
      <c r="V13" t="s">
        <v>62</v>
      </c>
      <c r="W13" s="4">
        <v>1</v>
      </c>
    </row>
    <row r="14" spans="2:23" ht="15" customHeight="1" x14ac:dyDescent="0.25">
      <c r="B14" s="5">
        <v>45215</v>
      </c>
      <c r="C14" s="39">
        <v>19542.650390625</v>
      </c>
      <c r="D14" s="26" t="s">
        <v>39</v>
      </c>
      <c r="F14" s="39">
        <v>1141.104248046875</v>
      </c>
      <c r="G14" s="26" t="s">
        <v>39</v>
      </c>
      <c r="I14" s="39">
        <v>168.32167053222659</v>
      </c>
      <c r="J14" s="26" t="s">
        <v>39</v>
      </c>
      <c r="L14" s="39">
        <v>270.1907958984375</v>
      </c>
      <c r="M14" s="26" t="s">
        <v>39</v>
      </c>
      <c r="O14" s="39">
        <v>80.720451354980469</v>
      </c>
      <c r="P14" s="26" t="s">
        <v>39</v>
      </c>
      <c r="R14" s="39">
        <v>154.81694030761719</v>
      </c>
      <c r="S14" s="26" t="s">
        <v>39</v>
      </c>
      <c r="V14" t="s">
        <v>63</v>
      </c>
      <c r="W14" s="6">
        <v>0.25</v>
      </c>
    </row>
    <row r="15" spans="2:23" ht="15" customHeight="1" x14ac:dyDescent="0.25">
      <c r="B15" s="5">
        <v>45222</v>
      </c>
      <c r="C15" s="39">
        <v>19047.25</v>
      </c>
      <c r="D15" s="6">
        <f>C15/C14-1</f>
        <v>-2.5349703378138133E-2</v>
      </c>
      <c r="F15" s="39">
        <v>1124.576538085938</v>
      </c>
      <c r="G15" s="6">
        <f>F15/F14-1</f>
        <v>-1.4483961469099804E-2</v>
      </c>
      <c r="I15" s="39">
        <v>167.0108947753906</v>
      </c>
      <c r="J15" s="6">
        <f>I15/I14-1</f>
        <v>-7.7873262111252117E-3</v>
      </c>
      <c r="L15" s="39">
        <v>271.5313720703125</v>
      </c>
      <c r="M15" s="6">
        <f>L15/L14-1</f>
        <v>4.9615908173974432E-3</v>
      </c>
      <c r="O15" s="39">
        <v>77.681144714355469</v>
      </c>
      <c r="P15" s="6">
        <f>O15/O14-1</f>
        <v>-3.7652250323269243E-2</v>
      </c>
      <c r="R15" s="39">
        <v>149.69960021972659</v>
      </c>
      <c r="S15" s="6">
        <f>R15/R14-1</f>
        <v>-3.3054135275652485E-2</v>
      </c>
    </row>
    <row r="16" spans="2:23" ht="15" customHeight="1" x14ac:dyDescent="0.25">
      <c r="B16" s="5">
        <v>45229</v>
      </c>
      <c r="C16" s="39">
        <v>19230.599609375</v>
      </c>
      <c r="D16" s="6">
        <f t="shared" ref="D16:D79" si="0">C16/C15-1</f>
        <v>9.6260409967319216E-3</v>
      </c>
      <c r="F16" s="39">
        <v>1151.328491210938</v>
      </c>
      <c r="G16" s="6">
        <f t="shared" ref="G16:G79" si="1">F16/F15-1</f>
        <v>2.3788468120215844E-2</v>
      </c>
      <c r="I16" s="39">
        <v>171.7568054199219</v>
      </c>
      <c r="J16" s="6">
        <f t="shared" ref="J16:J79" si="2">I16/I15-1</f>
        <v>2.8416772755537778E-2</v>
      </c>
      <c r="L16" s="39">
        <v>269.84481811523438</v>
      </c>
      <c r="M16" s="6">
        <f t="shared" ref="M16:M79" si="3">L16/L15-1</f>
        <v>-6.2112673840184485E-3</v>
      </c>
      <c r="O16" s="39">
        <v>85.726371765136719</v>
      </c>
      <c r="P16" s="6">
        <f t="shared" ref="P16:P79" si="4">O16/O15-1</f>
        <v>0.10356730813332748</v>
      </c>
      <c r="R16" s="39">
        <v>161.56562805175781</v>
      </c>
      <c r="S16" s="6">
        <f t="shared" ref="S16:S79" si="5">R16/R15-1</f>
        <v>7.9265594661672267E-2</v>
      </c>
      <c r="V16" s="29" t="s">
        <v>64</v>
      </c>
      <c r="W16" s="30">
        <f>(W10*W11)+(W13*W14)</f>
        <v>1.1126614182159302</v>
      </c>
    </row>
    <row r="17" spans="2:19" ht="15" customHeight="1" x14ac:dyDescent="0.25">
      <c r="B17" s="5">
        <v>45236</v>
      </c>
      <c r="C17" s="39">
        <v>19425.349609375</v>
      </c>
      <c r="D17" s="6">
        <f t="shared" si="0"/>
        <v>1.0127089324092564E-2</v>
      </c>
      <c r="F17" s="39">
        <v>1148.946044921875</v>
      </c>
      <c r="G17" s="6">
        <f t="shared" si="1"/>
        <v>-2.0693019474895546E-3</v>
      </c>
      <c r="I17" s="39">
        <v>177.0903015136719</v>
      </c>
      <c r="J17" s="6">
        <f t="shared" si="2"/>
        <v>3.1052604178974708E-2</v>
      </c>
      <c r="L17" s="39">
        <v>279.70458984375</v>
      </c>
      <c r="M17" s="6">
        <f t="shared" si="3"/>
        <v>3.6538673587962478E-2</v>
      </c>
      <c r="O17" s="39">
        <v>87.648284912109375</v>
      </c>
      <c r="P17" s="6">
        <f t="shared" si="4"/>
        <v>2.2419158858584254E-2</v>
      </c>
      <c r="R17" s="39">
        <v>171.64390563964841</v>
      </c>
      <c r="S17" s="6">
        <f t="shared" si="5"/>
        <v>6.2378846970235546E-2</v>
      </c>
    </row>
    <row r="18" spans="2:19" ht="15" customHeight="1" x14ac:dyDescent="0.25">
      <c r="B18" s="5">
        <v>45243</v>
      </c>
      <c r="C18" s="39">
        <v>19731.80078125</v>
      </c>
      <c r="D18" s="6">
        <f t="shared" si="0"/>
        <v>1.5775838172153334E-2</v>
      </c>
      <c r="F18" s="39">
        <v>1169.121826171875</v>
      </c>
      <c r="G18" s="6">
        <f t="shared" si="1"/>
        <v>1.7560251274786332E-2</v>
      </c>
      <c r="I18" s="39">
        <v>177.4971008300781</v>
      </c>
      <c r="J18" s="6">
        <f t="shared" si="2"/>
        <v>2.2971292777136387E-3</v>
      </c>
      <c r="L18" s="39">
        <v>298.60232543945313</v>
      </c>
      <c r="M18" s="6">
        <f t="shared" si="3"/>
        <v>6.7563194462628928E-2</v>
      </c>
      <c r="O18" s="39">
        <v>96.491310119628906</v>
      </c>
      <c r="P18" s="6">
        <f t="shared" si="4"/>
        <v>0.10089216481973384</v>
      </c>
      <c r="R18" s="39">
        <v>174.41490173339841</v>
      </c>
      <c r="S18" s="6">
        <f t="shared" si="5"/>
        <v>1.6143865308958061E-2</v>
      </c>
    </row>
    <row r="19" spans="2:19" ht="15" customHeight="1" x14ac:dyDescent="0.25">
      <c r="B19" s="5">
        <v>45250</v>
      </c>
      <c r="C19" s="39">
        <v>19794.69921875</v>
      </c>
      <c r="D19" s="6">
        <f t="shared" si="0"/>
        <v>3.1876683835045938E-3</v>
      </c>
      <c r="F19" s="39">
        <v>1188.155883789062</v>
      </c>
      <c r="G19" s="6">
        <f t="shared" si="1"/>
        <v>1.6280645174088892E-2</v>
      </c>
      <c r="I19" s="39">
        <v>170.71722412109381</v>
      </c>
      <c r="J19" s="6">
        <f t="shared" si="2"/>
        <v>-3.8197112388189458E-2</v>
      </c>
      <c r="L19" s="39">
        <v>287.83444213867188</v>
      </c>
      <c r="M19" s="6">
        <f t="shared" si="3"/>
        <v>-3.606094924054648E-2</v>
      </c>
      <c r="O19" s="39">
        <v>97.195968627929688</v>
      </c>
      <c r="P19" s="6">
        <f t="shared" si="4"/>
        <v>7.3028183307610739E-3</v>
      </c>
      <c r="R19" s="39">
        <v>183.50993347167969</v>
      </c>
      <c r="S19" s="6">
        <f t="shared" si="5"/>
        <v>5.2145955694677282E-2</v>
      </c>
    </row>
    <row r="20" spans="2:19" ht="15" customHeight="1" x14ac:dyDescent="0.25">
      <c r="B20" s="5">
        <v>45257</v>
      </c>
      <c r="C20" s="39">
        <v>20267.900390625</v>
      </c>
      <c r="D20" s="6">
        <f t="shared" si="0"/>
        <v>2.3905448961142772E-2</v>
      </c>
      <c r="F20" s="39">
        <v>1188.3544921875</v>
      </c>
      <c r="G20" s="6">
        <f t="shared" si="1"/>
        <v>1.6715685302548522E-4</v>
      </c>
      <c r="I20" s="39">
        <v>181.13410949707031</v>
      </c>
      <c r="J20" s="6">
        <f t="shared" si="2"/>
        <v>6.1018361970246016E-2</v>
      </c>
      <c r="L20" s="39">
        <v>313.56396484375</v>
      </c>
      <c r="M20" s="6">
        <f t="shared" si="3"/>
        <v>8.9390006678499834E-2</v>
      </c>
      <c r="O20" s="39">
        <v>104.5244216918945</v>
      </c>
      <c r="P20" s="6">
        <f t="shared" si="4"/>
        <v>7.5398734818091562E-2</v>
      </c>
      <c r="R20" s="39">
        <v>195.755859375</v>
      </c>
      <c r="S20" s="6">
        <f t="shared" si="5"/>
        <v>6.6731678616243295E-2</v>
      </c>
    </row>
    <row r="21" spans="2:19" ht="15" customHeight="1" x14ac:dyDescent="0.25">
      <c r="B21" s="5">
        <v>45264</v>
      </c>
      <c r="C21" s="39">
        <v>20969.400390625</v>
      </c>
      <c r="D21" s="6">
        <f t="shared" si="0"/>
        <v>3.4611379890365113E-2</v>
      </c>
      <c r="F21" s="39">
        <v>1218.853759765625</v>
      </c>
      <c r="G21" s="6">
        <f t="shared" si="1"/>
        <v>2.5665125834617442E-2</v>
      </c>
      <c r="I21" s="39">
        <v>182.43757629394531</v>
      </c>
      <c r="J21" s="6">
        <f t="shared" si="2"/>
        <v>7.1961421318942342E-3</v>
      </c>
      <c r="L21" s="39">
        <v>317.49884033203119</v>
      </c>
      <c r="M21" s="6">
        <f t="shared" si="3"/>
        <v>1.2548876559339117E-2</v>
      </c>
      <c r="O21" s="39">
        <v>111.6179885864258</v>
      </c>
      <c r="P21" s="6">
        <f t="shared" si="4"/>
        <v>6.7865162798421697E-2</v>
      </c>
      <c r="R21" s="39">
        <v>210.25877380371091</v>
      </c>
      <c r="S21" s="6">
        <f t="shared" si="5"/>
        <v>7.408674496393175E-2</v>
      </c>
    </row>
    <row r="22" spans="2:19" ht="15" customHeight="1" x14ac:dyDescent="0.25">
      <c r="B22" s="5">
        <v>45271</v>
      </c>
      <c r="C22" s="39">
        <v>21456.650390625</v>
      </c>
      <c r="D22" s="6">
        <f t="shared" si="0"/>
        <v>2.3236239039903017E-2</v>
      </c>
      <c r="F22" s="39">
        <v>1238.632446289062</v>
      </c>
      <c r="G22" s="6">
        <f t="shared" si="1"/>
        <v>1.6227284335768255E-2</v>
      </c>
      <c r="I22" s="39">
        <v>187.18589782714841</v>
      </c>
      <c r="J22" s="6">
        <f t="shared" si="2"/>
        <v>2.6027102692663284E-2</v>
      </c>
      <c r="L22" s="39">
        <v>316.59429931640619</v>
      </c>
      <c r="M22" s="6">
        <f t="shared" si="3"/>
        <v>-2.848958486522557E-3</v>
      </c>
      <c r="O22" s="39">
        <v>116.3157196044922</v>
      </c>
      <c r="P22" s="6">
        <f t="shared" si="4"/>
        <v>4.2087579946210596E-2</v>
      </c>
      <c r="R22" s="39">
        <v>200.6720886230469</v>
      </c>
      <c r="S22" s="6">
        <f t="shared" si="5"/>
        <v>-4.5594697463677503E-2</v>
      </c>
    </row>
    <row r="23" spans="2:19" ht="15" customHeight="1" x14ac:dyDescent="0.25">
      <c r="B23" s="5">
        <v>45278</v>
      </c>
      <c r="C23" s="39">
        <v>21349.400390625</v>
      </c>
      <c r="D23" s="6">
        <f t="shared" si="0"/>
        <v>-4.9984502728748215E-3</v>
      </c>
      <c r="F23" s="39">
        <v>1273.102172851562</v>
      </c>
      <c r="G23" s="6">
        <f t="shared" si="1"/>
        <v>2.7828858081161423E-2</v>
      </c>
      <c r="I23" s="39">
        <v>189.8858947753906</v>
      </c>
      <c r="J23" s="6">
        <f t="shared" si="2"/>
        <v>1.4424147222540373E-2</v>
      </c>
      <c r="L23" s="39">
        <v>328.57962036132813</v>
      </c>
      <c r="M23" s="6">
        <f t="shared" si="3"/>
        <v>3.7857033657272998E-2</v>
      </c>
      <c r="O23" s="39">
        <v>116.2217636108398</v>
      </c>
      <c r="P23" s="6">
        <f t="shared" si="4"/>
        <v>-8.0776694647877179E-4</v>
      </c>
      <c r="R23" s="39">
        <v>209.0527648925781</v>
      </c>
      <c r="S23" s="6">
        <f t="shared" si="5"/>
        <v>4.1763039030674021E-2</v>
      </c>
    </row>
    <row r="24" spans="2:19" ht="15" customHeight="1" x14ac:dyDescent="0.25">
      <c r="B24" s="5">
        <v>45285</v>
      </c>
      <c r="C24" s="39">
        <v>21731.400390625</v>
      </c>
      <c r="D24" s="6">
        <f t="shared" si="0"/>
        <v>1.7892774176821558E-2</v>
      </c>
      <c r="F24" s="39">
        <v>1282.979125976562</v>
      </c>
      <c r="G24" s="6">
        <f t="shared" si="1"/>
        <v>7.758177886757478E-3</v>
      </c>
      <c r="I24" s="39">
        <v>190.9100646972656</v>
      </c>
      <c r="J24" s="6">
        <f t="shared" si="2"/>
        <v>5.3936071612188385E-3</v>
      </c>
      <c r="L24" s="39">
        <v>340.11270141601563</v>
      </c>
      <c r="M24" s="6">
        <f t="shared" si="3"/>
        <v>3.5099806378755094E-2</v>
      </c>
      <c r="O24" s="39">
        <v>121.99997711181641</v>
      </c>
      <c r="P24" s="6">
        <f t="shared" si="4"/>
        <v>4.9717138352198376E-2</v>
      </c>
      <c r="R24" s="39">
        <v>210.92494201660159</v>
      </c>
      <c r="S24" s="6">
        <f t="shared" si="5"/>
        <v>8.9555243384871197E-3</v>
      </c>
    </row>
    <row r="25" spans="2:19" ht="15.75" customHeight="1" x14ac:dyDescent="0.25">
      <c r="B25" s="5">
        <v>45292</v>
      </c>
      <c r="C25" s="39">
        <v>21710.80078125</v>
      </c>
      <c r="D25" s="6">
        <f t="shared" si="0"/>
        <v>-9.4791909424696286E-4</v>
      </c>
      <c r="F25" s="39">
        <v>1294.2705078125</v>
      </c>
      <c r="G25" s="6">
        <f t="shared" si="1"/>
        <v>8.8009084538638316E-3</v>
      </c>
      <c r="I25" s="39">
        <v>201.52391052246091</v>
      </c>
      <c r="J25" s="6">
        <f t="shared" si="2"/>
        <v>5.5596051690758985E-2</v>
      </c>
      <c r="L25" s="39">
        <v>347.57522583007813</v>
      </c>
      <c r="M25" s="6">
        <f t="shared" si="3"/>
        <v>2.1941328221478429E-2</v>
      </c>
      <c r="O25" s="39">
        <v>124.6776657104492</v>
      </c>
      <c r="P25" s="6">
        <f t="shared" si="4"/>
        <v>2.1948271319580881E-2</v>
      </c>
      <c r="R25" s="39">
        <v>212.0716552734375</v>
      </c>
      <c r="S25" s="6">
        <f t="shared" si="5"/>
        <v>5.436593917591992E-3</v>
      </c>
    </row>
    <row r="26" spans="2:19" ht="15.75" customHeight="1" x14ac:dyDescent="0.25">
      <c r="B26" s="5">
        <v>45299</v>
      </c>
      <c r="C26" s="39">
        <v>21894.55078125</v>
      </c>
      <c r="D26" s="6">
        <f t="shared" si="0"/>
        <v>8.4635293673134271E-3</v>
      </c>
      <c r="F26" s="39">
        <v>1360.654174804688</v>
      </c>
      <c r="G26" s="6">
        <f t="shared" si="1"/>
        <v>5.129041154185443E-2</v>
      </c>
      <c r="I26" s="39">
        <v>207.9946594238281</v>
      </c>
      <c r="J26" s="6">
        <f t="shared" si="2"/>
        <v>3.2109087624349053E-2</v>
      </c>
      <c r="L26" s="39">
        <v>344.72592163085938</v>
      </c>
      <c r="M26" s="6">
        <f t="shared" si="3"/>
        <v>-8.1976619375390136E-3</v>
      </c>
      <c r="O26" s="39">
        <v>127.12049865722661</v>
      </c>
      <c r="P26" s="6">
        <f t="shared" si="4"/>
        <v>1.9593188024955577E-2</v>
      </c>
      <c r="R26" s="39">
        <v>214.48210144042969</v>
      </c>
      <c r="S26" s="6">
        <f t="shared" si="5"/>
        <v>1.1366187357213065E-2</v>
      </c>
    </row>
    <row r="27" spans="2:19" ht="15.75" customHeight="1" x14ac:dyDescent="0.25">
      <c r="B27" s="5">
        <v>45306</v>
      </c>
      <c r="C27" s="39">
        <v>21622.400390625</v>
      </c>
      <c r="D27" s="6">
        <f t="shared" si="0"/>
        <v>-1.2430051355886373E-2</v>
      </c>
      <c r="F27" s="39">
        <v>1357.403198242188</v>
      </c>
      <c r="G27" s="6">
        <f t="shared" si="1"/>
        <v>-2.3892746758864547E-3</v>
      </c>
      <c r="I27" s="39">
        <v>225.35858154296881</v>
      </c>
      <c r="J27" s="6">
        <f t="shared" si="2"/>
        <v>8.3482538288439656E-2</v>
      </c>
      <c r="L27" s="39">
        <v>346.67071533203119</v>
      </c>
      <c r="M27" s="6">
        <f t="shared" si="3"/>
        <v>5.6415650206147472E-3</v>
      </c>
      <c r="O27" s="39">
        <v>139.66340637207031</v>
      </c>
      <c r="P27" s="6">
        <f t="shared" si="4"/>
        <v>9.8669434491953645E-2</v>
      </c>
      <c r="R27" s="39">
        <v>225.10673522949219</v>
      </c>
      <c r="S27" s="6">
        <f t="shared" si="5"/>
        <v>4.9536225716314108E-2</v>
      </c>
    </row>
    <row r="28" spans="2:19" ht="15.75" customHeight="1" x14ac:dyDescent="0.25">
      <c r="B28" s="5">
        <v>45313</v>
      </c>
      <c r="C28" s="39">
        <v>21352.599609375</v>
      </c>
      <c r="D28" s="6">
        <f t="shared" si="0"/>
        <v>-1.247783670526148E-2</v>
      </c>
      <c r="F28" s="39">
        <v>1343.1337890625</v>
      </c>
      <c r="G28" s="6">
        <f t="shared" si="1"/>
        <v>-1.0512284926222804E-2</v>
      </c>
      <c r="I28" s="39">
        <v>217.9102478027344</v>
      </c>
      <c r="J28" s="6">
        <f t="shared" si="2"/>
        <v>-3.3051032222681243E-2</v>
      </c>
      <c r="L28" s="39">
        <v>352.2337646484375</v>
      </c>
      <c r="M28" s="6">
        <f t="shared" si="3"/>
        <v>1.6047070232275473E-2</v>
      </c>
      <c r="O28" s="39">
        <v>135.0126647949219</v>
      </c>
      <c r="P28" s="6">
        <f t="shared" si="4"/>
        <v>-3.3299643034329307E-2</v>
      </c>
      <c r="R28" s="39">
        <v>222.04103088378909</v>
      </c>
      <c r="S28" s="6">
        <f t="shared" si="5"/>
        <v>-1.3618892133892224E-2</v>
      </c>
    </row>
    <row r="29" spans="2:19" ht="15.75" customHeight="1" x14ac:dyDescent="0.25">
      <c r="B29" s="5">
        <v>45320</v>
      </c>
      <c r="C29" s="39">
        <v>21853.80078125</v>
      </c>
      <c r="D29" s="6">
        <f t="shared" si="0"/>
        <v>2.3472606663543782E-2</v>
      </c>
      <c r="F29" s="39">
        <v>1446.990234375</v>
      </c>
      <c r="G29" s="6">
        <f t="shared" si="1"/>
        <v>7.7323976329261468E-2</v>
      </c>
      <c r="I29" s="39">
        <v>239.51042175292969</v>
      </c>
      <c r="J29" s="6">
        <f t="shared" si="2"/>
        <v>9.912417689391595E-2</v>
      </c>
      <c r="L29" s="39">
        <v>379.732177734375</v>
      </c>
      <c r="M29" s="6">
        <f t="shared" si="3"/>
        <v>7.8068646012353415E-2</v>
      </c>
      <c r="O29" s="39">
        <v>153.05194091796881</v>
      </c>
      <c r="P29" s="6">
        <f t="shared" si="4"/>
        <v>0.13361173302110396</v>
      </c>
      <c r="R29" s="39">
        <v>261.33349609375</v>
      </c>
      <c r="S29" s="6">
        <f t="shared" si="5"/>
        <v>0.17696038004131598</v>
      </c>
    </row>
    <row r="30" spans="2:19" ht="15.75" customHeight="1" x14ac:dyDescent="0.25">
      <c r="B30" s="5">
        <v>45327</v>
      </c>
      <c r="C30" s="39">
        <v>21782.5</v>
      </c>
      <c r="D30" s="6">
        <f t="shared" si="0"/>
        <v>-3.2626261199916184E-3</v>
      </c>
      <c r="F30" s="39">
        <v>1450.017700195312</v>
      </c>
      <c r="G30" s="6">
        <f t="shared" si="1"/>
        <v>2.0922503472318166E-3</v>
      </c>
      <c r="I30" s="39">
        <v>249.10014343261719</v>
      </c>
      <c r="J30" s="6">
        <f t="shared" si="2"/>
        <v>4.0038849288904554E-2</v>
      </c>
      <c r="L30" s="39">
        <v>412.65802001953119</v>
      </c>
      <c r="M30" s="6">
        <f t="shared" si="3"/>
        <v>8.6708064830334219E-2</v>
      </c>
      <c r="O30" s="39">
        <v>171.46702575683591</v>
      </c>
      <c r="P30" s="6">
        <f t="shared" si="4"/>
        <v>0.12031918529368424</v>
      </c>
      <c r="R30" s="39">
        <v>287.52069091796881</v>
      </c>
      <c r="S30" s="6">
        <f t="shared" si="5"/>
        <v>0.10020604023459923</v>
      </c>
    </row>
    <row r="31" spans="2:19" ht="15.75" customHeight="1" x14ac:dyDescent="0.25">
      <c r="B31" s="5">
        <v>45334</v>
      </c>
      <c r="C31" s="39">
        <v>22040.69921875</v>
      </c>
      <c r="D31" s="6">
        <f t="shared" si="0"/>
        <v>1.1853516297486433E-2</v>
      </c>
      <c r="F31" s="39">
        <v>1449.843994140625</v>
      </c>
      <c r="G31" s="6">
        <f t="shared" si="1"/>
        <v>-1.1979581674326223E-4</v>
      </c>
      <c r="I31" s="39">
        <v>255.7571105957031</v>
      </c>
      <c r="J31" s="6">
        <f t="shared" si="2"/>
        <v>2.6724059935704814E-2</v>
      </c>
      <c r="L31" s="39">
        <v>434.1864013671875</v>
      </c>
      <c r="M31" s="6">
        <f t="shared" si="3"/>
        <v>5.217003015387256E-2</v>
      </c>
      <c r="O31" s="39">
        <v>175.6949768066406</v>
      </c>
      <c r="P31" s="6">
        <f t="shared" si="4"/>
        <v>2.4657516692454307E-2</v>
      </c>
      <c r="R31" s="39">
        <v>306.3829345703125</v>
      </c>
      <c r="S31" s="6">
        <f t="shared" si="5"/>
        <v>6.5603082658580503E-2</v>
      </c>
    </row>
    <row r="32" spans="2:19" ht="15.75" customHeight="1" x14ac:dyDescent="0.25">
      <c r="B32" s="5">
        <v>45341</v>
      </c>
      <c r="C32" s="39">
        <v>22212.69921875</v>
      </c>
      <c r="D32" s="6">
        <f t="shared" si="0"/>
        <v>7.8037451667449798E-3</v>
      </c>
      <c r="F32" s="39">
        <v>1482.651245117188</v>
      </c>
      <c r="G32" s="6">
        <f t="shared" si="1"/>
        <v>2.2628124894229718E-2</v>
      </c>
      <c r="I32" s="39">
        <v>257.138671875</v>
      </c>
      <c r="J32" s="6">
        <f t="shared" si="2"/>
        <v>5.4018489498846023E-3</v>
      </c>
      <c r="L32" s="39">
        <v>401.531982421875</v>
      </c>
      <c r="M32" s="6">
        <f t="shared" si="3"/>
        <v>-7.5208294968448275E-2</v>
      </c>
      <c r="O32" s="39">
        <v>165.21905517578119</v>
      </c>
      <c r="P32" s="6">
        <f t="shared" si="4"/>
        <v>-5.9625618337333486E-2</v>
      </c>
      <c r="R32" s="39">
        <v>289.22903442382813</v>
      </c>
      <c r="S32" s="6">
        <f t="shared" si="5"/>
        <v>-5.5988432157756729E-2</v>
      </c>
    </row>
    <row r="33" spans="2:19" ht="15.75" customHeight="1" x14ac:dyDescent="0.25">
      <c r="B33" s="5">
        <v>45348</v>
      </c>
      <c r="C33" s="39">
        <v>22338.75</v>
      </c>
      <c r="D33" s="6">
        <f t="shared" si="0"/>
        <v>5.6747169719741919E-3</v>
      </c>
      <c r="F33" s="39">
        <v>1481.162231445312</v>
      </c>
      <c r="G33" s="6">
        <f t="shared" si="1"/>
        <v>-1.0042912497323364E-3</v>
      </c>
      <c r="I33" s="39">
        <v>255.57991027832031</v>
      </c>
      <c r="J33" s="6">
        <f t="shared" si="2"/>
        <v>-6.0619493182940687E-3</v>
      </c>
      <c r="L33" s="39">
        <v>408.39910888671881</v>
      </c>
      <c r="M33" s="6">
        <f t="shared" si="3"/>
        <v>1.7102315047045957E-2</v>
      </c>
      <c r="O33" s="39">
        <v>159.1589660644531</v>
      </c>
      <c r="P33" s="6">
        <f t="shared" si="4"/>
        <v>-3.6679117338376033E-2</v>
      </c>
      <c r="R33" s="39">
        <v>291.73309326171881</v>
      </c>
      <c r="S33" s="6">
        <f t="shared" si="5"/>
        <v>8.6577021663092335E-3</v>
      </c>
    </row>
    <row r="34" spans="2:19" ht="15.75" customHeight="1" x14ac:dyDescent="0.25">
      <c r="B34" s="5">
        <v>45355</v>
      </c>
      <c r="C34" s="39">
        <v>22493.55078125</v>
      </c>
      <c r="D34" s="6">
        <f t="shared" si="0"/>
        <v>6.9296975546975226E-3</v>
      </c>
      <c r="F34" s="39">
        <v>1468.059326171875</v>
      </c>
      <c r="G34" s="6">
        <f t="shared" si="1"/>
        <v>-8.8463673966702183E-3</v>
      </c>
      <c r="I34" s="39">
        <v>262.71218872070313</v>
      </c>
      <c r="J34" s="6">
        <f t="shared" si="2"/>
        <v>2.7906256147503639E-2</v>
      </c>
      <c r="L34" s="39">
        <v>419.60760498046881</v>
      </c>
      <c r="M34" s="6">
        <f t="shared" si="3"/>
        <v>2.7444957273055737E-2</v>
      </c>
      <c r="O34" s="39">
        <v>164.04461669921881</v>
      </c>
      <c r="P34" s="6">
        <f t="shared" si="4"/>
        <v>3.069667236206608E-2</v>
      </c>
      <c r="R34" s="39">
        <v>292.38836669921881</v>
      </c>
      <c r="S34" s="6">
        <f t="shared" si="5"/>
        <v>2.2461402310369749E-3</v>
      </c>
    </row>
    <row r="35" spans="2:19" ht="15.75" customHeight="1" x14ac:dyDescent="0.25">
      <c r="B35" s="5">
        <v>45362</v>
      </c>
      <c r="C35" s="39">
        <v>22023.349609375</v>
      </c>
      <c r="D35" s="6">
        <f t="shared" si="0"/>
        <v>-2.0903821564132397E-2</v>
      </c>
      <c r="F35" s="39">
        <v>1407.80517578125</v>
      </c>
      <c r="G35" s="6">
        <f t="shared" si="1"/>
        <v>-4.104340289008912E-2</v>
      </c>
      <c r="I35" s="39">
        <v>244.432861328125</v>
      </c>
      <c r="J35" s="6">
        <f t="shared" si="2"/>
        <v>-6.9579289341658246E-2</v>
      </c>
      <c r="L35" s="39">
        <v>379.943359375</v>
      </c>
      <c r="M35" s="6">
        <f t="shared" si="3"/>
        <v>-9.4526994112308915E-2</v>
      </c>
      <c r="O35" s="39">
        <v>151.26679992675781</v>
      </c>
      <c r="P35" s="6">
        <f t="shared" si="4"/>
        <v>-7.7892326060839512E-2</v>
      </c>
      <c r="R35" s="39">
        <v>274.485595703125</v>
      </c>
      <c r="S35" s="6">
        <f t="shared" si="5"/>
        <v>-6.1229423038264952E-2</v>
      </c>
    </row>
    <row r="36" spans="2:19" ht="15.75" customHeight="1" x14ac:dyDescent="0.25">
      <c r="B36" s="5">
        <v>45369</v>
      </c>
      <c r="C36" s="39">
        <v>22096.75</v>
      </c>
      <c r="D36" s="6">
        <f t="shared" si="0"/>
        <v>3.332844091697762E-3</v>
      </c>
      <c r="F36" s="39">
        <v>1444.334838867188</v>
      </c>
      <c r="G36" s="6">
        <f t="shared" si="1"/>
        <v>2.594795339182232E-2</v>
      </c>
      <c r="I36" s="39">
        <v>248.68388366699219</v>
      </c>
      <c r="J36" s="6">
        <f t="shared" si="2"/>
        <v>1.7391370030074071E-2</v>
      </c>
      <c r="L36" s="39">
        <v>395.22348022460938</v>
      </c>
      <c r="M36" s="6">
        <f t="shared" si="3"/>
        <v>4.0216838832885182E-2</v>
      </c>
      <c r="O36" s="39">
        <v>155.16590881347659</v>
      </c>
      <c r="P36" s="6">
        <f t="shared" si="4"/>
        <v>2.5776369227131779E-2</v>
      </c>
      <c r="R36" s="39">
        <v>277.45770263671881</v>
      </c>
      <c r="S36" s="6">
        <f t="shared" si="5"/>
        <v>1.082791585467513E-2</v>
      </c>
    </row>
    <row r="37" spans="2:19" ht="15.75" customHeight="1" x14ac:dyDescent="0.25">
      <c r="B37" s="5">
        <v>45376</v>
      </c>
      <c r="C37" s="39">
        <v>22326.900390625</v>
      </c>
      <c r="D37" s="6">
        <f t="shared" si="0"/>
        <v>1.0415576527091019E-2</v>
      </c>
      <c r="F37" s="39">
        <v>1474.933349609375</v>
      </c>
      <c r="G37" s="6">
        <f t="shared" si="1"/>
        <v>2.1185191908952294E-2</v>
      </c>
      <c r="I37" s="39">
        <v>253.21827697753909</v>
      </c>
      <c r="J37" s="6">
        <f t="shared" si="2"/>
        <v>1.8233563203552183E-2</v>
      </c>
      <c r="L37" s="39">
        <v>397.190673828125</v>
      </c>
      <c r="M37" s="6">
        <f t="shared" si="3"/>
        <v>4.9774208819719501E-3</v>
      </c>
      <c r="O37" s="39">
        <v>157.6087341308594</v>
      </c>
      <c r="P37" s="6">
        <f t="shared" si="4"/>
        <v>1.5743312020421341E-2</v>
      </c>
      <c r="R37" s="39">
        <v>281.95095825195313</v>
      </c>
      <c r="S37" s="6">
        <f t="shared" si="5"/>
        <v>1.6194380521911134E-2</v>
      </c>
    </row>
    <row r="38" spans="2:19" ht="15.75" customHeight="1" x14ac:dyDescent="0.25">
      <c r="B38" s="5">
        <v>45383</v>
      </c>
      <c r="C38" s="39">
        <v>22513.69921875</v>
      </c>
      <c r="D38" s="6">
        <f t="shared" si="0"/>
        <v>8.3665365481468967E-3</v>
      </c>
      <c r="F38" s="39">
        <v>1449.372436523438</v>
      </c>
      <c r="G38" s="6">
        <f t="shared" si="1"/>
        <v>-1.733021569598836E-2</v>
      </c>
      <c r="I38" s="39">
        <v>253.1238098144531</v>
      </c>
      <c r="J38" s="6">
        <f t="shared" si="2"/>
        <v>-3.730661317720152E-4</v>
      </c>
      <c r="L38" s="39">
        <v>408.9481201171875</v>
      </c>
      <c r="M38" s="6">
        <f t="shared" si="3"/>
        <v>2.9601516510305181E-2</v>
      </c>
      <c r="O38" s="39">
        <v>157.84361267089841</v>
      </c>
      <c r="P38" s="6">
        <f t="shared" si="4"/>
        <v>1.4902634764135669E-3</v>
      </c>
      <c r="R38" s="39">
        <v>276.3577880859375</v>
      </c>
      <c r="S38" s="6">
        <f t="shared" si="5"/>
        <v>-1.9837386617489461E-2</v>
      </c>
    </row>
    <row r="39" spans="2:19" ht="15.75" customHeight="1" x14ac:dyDescent="0.25">
      <c r="B39" s="5">
        <v>45390</v>
      </c>
      <c r="C39" s="39">
        <v>22519.400390625</v>
      </c>
      <c r="D39" s="6">
        <f t="shared" si="0"/>
        <v>2.5323123577369877E-4</v>
      </c>
      <c r="F39" s="39">
        <v>1456.370849609375</v>
      </c>
      <c r="G39" s="6">
        <f t="shared" si="1"/>
        <v>4.8285816051008013E-3</v>
      </c>
      <c r="I39" s="39">
        <v>250.99833679199219</v>
      </c>
      <c r="J39" s="6">
        <f t="shared" si="2"/>
        <v>-8.3969699413853904E-3</v>
      </c>
      <c r="L39" s="39">
        <v>416.86264038085938</v>
      </c>
      <c r="M39" s="6">
        <f t="shared" si="3"/>
        <v>1.9353360180269119E-2</v>
      </c>
      <c r="O39" s="39">
        <v>159.86363220214841</v>
      </c>
      <c r="P39" s="6">
        <f t="shared" si="4"/>
        <v>1.2797600720541702E-2</v>
      </c>
      <c r="R39" s="39">
        <v>281.3892822265625</v>
      </c>
      <c r="S39" s="6">
        <f t="shared" si="5"/>
        <v>1.8206449600980168E-2</v>
      </c>
    </row>
    <row r="40" spans="2:19" ht="15.75" customHeight="1" x14ac:dyDescent="0.25">
      <c r="B40" s="5">
        <v>45397</v>
      </c>
      <c r="C40" s="39">
        <v>22147</v>
      </c>
      <c r="D40" s="6">
        <f t="shared" si="0"/>
        <v>-1.6536869728557835E-2</v>
      </c>
      <c r="F40" s="39">
        <v>1459.323974609375</v>
      </c>
      <c r="G40" s="6">
        <f t="shared" si="1"/>
        <v>2.0277287208763095E-3</v>
      </c>
      <c r="I40" s="39">
        <v>260.01986694335938</v>
      </c>
      <c r="J40" s="6">
        <f t="shared" si="2"/>
        <v>3.5942589368006539E-2</v>
      </c>
      <c r="L40" s="39">
        <v>398.28863525390619</v>
      </c>
      <c r="M40" s="6">
        <f t="shared" si="3"/>
        <v>-4.4556655664761302E-2</v>
      </c>
      <c r="O40" s="39">
        <v>156.57524108886719</v>
      </c>
      <c r="P40" s="6">
        <f t="shared" si="4"/>
        <v>-2.0569976222753583E-2</v>
      </c>
      <c r="R40" s="39">
        <v>274.18136596679688</v>
      </c>
      <c r="S40" s="6">
        <f t="shared" si="5"/>
        <v>-2.5615461266794481E-2</v>
      </c>
    </row>
    <row r="41" spans="2:19" ht="15.75" customHeight="1" x14ac:dyDescent="0.25">
      <c r="B41" s="5">
        <v>45404</v>
      </c>
      <c r="C41" s="39">
        <v>22419.94921875</v>
      </c>
      <c r="D41" s="6">
        <f t="shared" si="0"/>
        <v>1.2324433049623051E-2</v>
      </c>
      <c r="F41" s="39">
        <v>1441.878051757812</v>
      </c>
      <c r="G41" s="6">
        <f t="shared" si="1"/>
        <v>-1.1954797670087447E-2</v>
      </c>
      <c r="I41" s="39">
        <v>267.24661254882813</v>
      </c>
      <c r="J41" s="6">
        <f t="shared" si="2"/>
        <v>2.7793051701864524E-2</v>
      </c>
      <c r="L41" s="39">
        <v>417.04562377929688</v>
      </c>
      <c r="M41" s="6">
        <f t="shared" si="3"/>
        <v>4.7093958665009872E-2</v>
      </c>
      <c r="O41" s="39">
        <v>161.17900085449219</v>
      </c>
      <c r="P41" s="6">
        <f t="shared" si="4"/>
        <v>2.9402859185201802E-2</v>
      </c>
      <c r="R41" s="39">
        <v>285.25064086914063</v>
      </c>
      <c r="S41" s="6">
        <f t="shared" si="5"/>
        <v>4.0372090434782626E-2</v>
      </c>
    </row>
    <row r="42" spans="2:19" ht="15.75" customHeight="1" x14ac:dyDescent="0.25">
      <c r="B42" s="5">
        <v>45411</v>
      </c>
      <c r="C42" s="39">
        <v>22475.849609375</v>
      </c>
      <c r="D42" s="6">
        <f t="shared" si="0"/>
        <v>2.4933326155016644E-3</v>
      </c>
      <c r="F42" s="39">
        <v>1423.46435546875</v>
      </c>
      <c r="G42" s="6">
        <f t="shared" si="1"/>
        <v>-1.277063359596442E-2</v>
      </c>
      <c r="I42" s="39">
        <v>270.26953125</v>
      </c>
      <c r="J42" s="6">
        <f t="shared" si="2"/>
        <v>1.1311345249023663E-2</v>
      </c>
      <c r="L42" s="39">
        <v>434.24716186523438</v>
      </c>
      <c r="M42" s="6">
        <f t="shared" si="3"/>
        <v>4.1246178128080846E-2</v>
      </c>
      <c r="O42" s="39">
        <v>160.4273681640625</v>
      </c>
      <c r="P42" s="6">
        <f t="shared" si="4"/>
        <v>-4.6633412941196051E-3</v>
      </c>
      <c r="R42" s="39">
        <v>294.79876708984381</v>
      </c>
      <c r="S42" s="6">
        <f t="shared" si="5"/>
        <v>3.3472759926535645E-2</v>
      </c>
    </row>
    <row r="43" spans="2:19" ht="15.75" customHeight="1" x14ac:dyDescent="0.25">
      <c r="B43" s="5">
        <v>45418</v>
      </c>
      <c r="C43" s="39">
        <v>22055.19921875</v>
      </c>
      <c r="D43" s="6">
        <f t="shared" si="0"/>
        <v>-1.8715661384811066E-2</v>
      </c>
      <c r="F43" s="39">
        <v>1397.084594726562</v>
      </c>
      <c r="G43" s="6">
        <f t="shared" si="1"/>
        <v>-1.8532083814280731E-2</v>
      </c>
      <c r="I43" s="39">
        <v>255.2965393066406</v>
      </c>
      <c r="J43" s="6">
        <f t="shared" si="2"/>
        <v>-5.5400221675410921E-2</v>
      </c>
      <c r="L43" s="39">
        <v>411.1898193359375</v>
      </c>
      <c r="M43" s="6">
        <f t="shared" si="3"/>
        <v>-5.3097278587286523E-2</v>
      </c>
      <c r="O43" s="39">
        <v>149.3407287597656</v>
      </c>
      <c r="P43" s="6">
        <f t="shared" si="4"/>
        <v>-6.910690819884957E-2</v>
      </c>
      <c r="R43" s="39">
        <v>289.55667114257813</v>
      </c>
      <c r="S43" s="6">
        <f t="shared" si="5"/>
        <v>-1.778194664453292E-2</v>
      </c>
    </row>
    <row r="44" spans="2:19" ht="15.75" customHeight="1" x14ac:dyDescent="0.25">
      <c r="B44" s="5">
        <v>45425</v>
      </c>
      <c r="C44" s="39">
        <v>22466.099609375</v>
      </c>
      <c r="D44" s="6">
        <f t="shared" si="0"/>
        <v>1.8630545412424926E-2</v>
      </c>
      <c r="F44" s="39">
        <v>1424.283203125</v>
      </c>
      <c r="G44" s="6">
        <f t="shared" si="1"/>
        <v>1.9468118466914541E-2</v>
      </c>
      <c r="I44" s="39">
        <v>263.56240844726563</v>
      </c>
      <c r="J44" s="6">
        <f t="shared" si="2"/>
        <v>3.2377521305515078E-2</v>
      </c>
      <c r="L44" s="39">
        <v>429.76376342773438</v>
      </c>
      <c r="M44" s="6">
        <f t="shared" si="3"/>
        <v>4.5171215867633618E-2</v>
      </c>
      <c r="O44" s="39">
        <v>154.9310302734375</v>
      </c>
      <c r="P44" s="6">
        <f t="shared" si="4"/>
        <v>3.7433200976705105E-2</v>
      </c>
      <c r="R44" s="39">
        <v>294.40097045898438</v>
      </c>
      <c r="S44" s="6">
        <f t="shared" si="5"/>
        <v>1.673005597588495E-2</v>
      </c>
    </row>
    <row r="45" spans="2:19" ht="15.75" customHeight="1" x14ac:dyDescent="0.25">
      <c r="B45" s="5">
        <v>45432</v>
      </c>
      <c r="C45" s="39">
        <v>22957.099609375</v>
      </c>
      <c r="D45" s="6">
        <f t="shared" si="0"/>
        <v>2.1855151029202657E-2</v>
      </c>
      <c r="F45" s="39">
        <v>1469.37451171875</v>
      </c>
      <c r="G45" s="6">
        <f t="shared" si="1"/>
        <v>3.1658948511655405E-2</v>
      </c>
      <c r="I45" s="39">
        <v>267.57723999023438</v>
      </c>
      <c r="J45" s="6">
        <f t="shared" si="2"/>
        <v>1.5232944510643387E-2</v>
      </c>
      <c r="L45" s="39">
        <v>458.40249633789063</v>
      </c>
      <c r="M45" s="6">
        <f t="shared" si="3"/>
        <v>6.6638314691163769E-2</v>
      </c>
      <c r="O45" s="39">
        <v>158.59526062011719</v>
      </c>
      <c r="P45" s="6">
        <f t="shared" si="4"/>
        <v>2.3650719550581289E-2</v>
      </c>
      <c r="R45" s="39">
        <v>306.14889526367188</v>
      </c>
      <c r="S45" s="6">
        <f t="shared" si="5"/>
        <v>3.9904504344438596E-2</v>
      </c>
    </row>
    <row r="46" spans="2:19" ht="15.75" customHeight="1" x14ac:dyDescent="0.25">
      <c r="B46" s="5">
        <v>45439</v>
      </c>
      <c r="C46" s="39">
        <v>22530.69921875</v>
      </c>
      <c r="D46" s="6">
        <f t="shared" si="0"/>
        <v>-1.8573791893592317E-2</v>
      </c>
      <c r="F46" s="39">
        <v>1419.890747070312</v>
      </c>
      <c r="G46" s="6">
        <f t="shared" si="1"/>
        <v>-3.3676754465106429E-2</v>
      </c>
      <c r="I46" s="39">
        <v>249.72300720214841</v>
      </c>
      <c r="J46" s="6">
        <f t="shared" si="2"/>
        <v>-6.6725528631424669E-2</v>
      </c>
      <c r="L46" s="39">
        <v>449.43576049804688</v>
      </c>
      <c r="M46" s="6">
        <f t="shared" si="3"/>
        <v>-1.9560835535315957E-2</v>
      </c>
      <c r="O46" s="39">
        <v>152.5821533203125</v>
      </c>
      <c r="P46" s="6">
        <f t="shared" si="4"/>
        <v>-3.7914798186863052E-2</v>
      </c>
      <c r="R46" s="39">
        <v>293.83926391601563</v>
      </c>
      <c r="S46" s="6">
        <f t="shared" si="5"/>
        <v>-4.0207988786157611E-2</v>
      </c>
    </row>
    <row r="47" spans="2:19" ht="15.75" customHeight="1" x14ac:dyDescent="0.25">
      <c r="B47" s="5">
        <v>45446</v>
      </c>
      <c r="C47" s="39">
        <v>23290.150390625</v>
      </c>
      <c r="D47" s="6">
        <f t="shared" si="0"/>
        <v>3.3707394719600492E-2</v>
      </c>
      <c r="F47" s="39">
        <v>1459.150024414062</v>
      </c>
      <c r="G47" s="6">
        <f t="shared" si="1"/>
        <v>2.7649505727644463E-2</v>
      </c>
      <c r="I47" s="39">
        <v>245.99156188964841</v>
      </c>
      <c r="J47" s="6">
        <f t="shared" si="2"/>
        <v>-1.4942336928849498E-2</v>
      </c>
      <c r="L47" s="39">
        <v>438.41024780273438</v>
      </c>
      <c r="M47" s="6">
        <f t="shared" si="3"/>
        <v>-2.4531899026224546E-2</v>
      </c>
      <c r="O47" s="39">
        <v>154.2733459472656</v>
      </c>
      <c r="P47" s="6">
        <f t="shared" si="4"/>
        <v>1.1083816751509712E-2</v>
      </c>
      <c r="R47" s="39">
        <v>280.7340087890625</v>
      </c>
      <c r="S47" s="6">
        <f t="shared" si="5"/>
        <v>-4.460008152858308E-2</v>
      </c>
    </row>
    <row r="48" spans="2:19" ht="15.75" customHeight="1" x14ac:dyDescent="0.25">
      <c r="B48" s="5">
        <v>45453</v>
      </c>
      <c r="C48" s="39">
        <v>23465.599609375</v>
      </c>
      <c r="D48" s="6">
        <f t="shared" si="0"/>
        <v>7.5331938955887079E-3</v>
      </c>
      <c r="F48" s="39">
        <v>1466.694458007812</v>
      </c>
      <c r="G48" s="6">
        <f t="shared" si="1"/>
        <v>5.1704303652939654E-3</v>
      </c>
      <c r="I48" s="39">
        <v>260.16159057617188</v>
      </c>
      <c r="J48" s="6">
        <f t="shared" si="2"/>
        <v>5.7603718508361323E-2</v>
      </c>
      <c r="L48" s="39">
        <v>445.54708862304688</v>
      </c>
      <c r="M48" s="6">
        <f t="shared" si="3"/>
        <v>1.6278909665277119E-2</v>
      </c>
      <c r="O48" s="39">
        <v>160.06095886230469</v>
      </c>
      <c r="P48" s="6">
        <f t="shared" si="4"/>
        <v>3.7515313351779156E-2</v>
      </c>
      <c r="R48" s="39">
        <v>293.30105590820313</v>
      </c>
      <c r="S48" s="6">
        <f t="shared" si="5"/>
        <v>4.4764961585339158E-2</v>
      </c>
    </row>
    <row r="49" spans="2:19" ht="15.75" customHeight="1" x14ac:dyDescent="0.25">
      <c r="B49" s="5">
        <v>45460</v>
      </c>
      <c r="C49" s="39">
        <v>23501.099609375</v>
      </c>
      <c r="D49" s="6">
        <f t="shared" si="0"/>
        <v>1.5128528821319875E-3</v>
      </c>
      <c r="F49" s="39">
        <v>1443.515869140625</v>
      </c>
      <c r="G49" s="6">
        <f t="shared" si="1"/>
        <v>-1.5803283867773077E-2</v>
      </c>
      <c r="I49" s="39">
        <v>254.72975158691409</v>
      </c>
      <c r="J49" s="6">
        <f t="shared" si="2"/>
        <v>-2.0878712254288057E-2</v>
      </c>
      <c r="L49" s="39">
        <v>439.37103271484381</v>
      </c>
      <c r="M49" s="6">
        <f t="shared" si="3"/>
        <v>-1.3861735528987618E-2</v>
      </c>
      <c r="O49" s="39">
        <v>156.54704284667969</v>
      </c>
      <c r="P49" s="6">
        <f t="shared" si="4"/>
        <v>-2.195361092799597E-2</v>
      </c>
      <c r="R49" s="39">
        <v>287.94192504882813</v>
      </c>
      <c r="S49" s="6">
        <f t="shared" si="5"/>
        <v>-1.827177485870457E-2</v>
      </c>
    </row>
    <row r="50" spans="2:19" ht="15.75" customHeight="1" x14ac:dyDescent="0.25">
      <c r="B50" s="5">
        <v>45467</v>
      </c>
      <c r="C50" s="39">
        <v>24010.599609375</v>
      </c>
      <c r="D50" s="6">
        <f t="shared" si="0"/>
        <v>2.1679836623336168E-2</v>
      </c>
      <c r="F50" s="39">
        <v>1553.89892578125</v>
      </c>
      <c r="G50" s="6">
        <f t="shared" si="1"/>
        <v>7.6468197544887317E-2</v>
      </c>
      <c r="I50" s="39">
        <v>259.02798461914063</v>
      </c>
      <c r="J50" s="6">
        <f t="shared" si="2"/>
        <v>1.6873698519507041E-2</v>
      </c>
      <c r="L50" s="39">
        <v>432.92044067382813</v>
      </c>
      <c r="M50" s="6">
        <f t="shared" si="3"/>
        <v>-1.4681423126959303E-2</v>
      </c>
      <c r="O50" s="39">
        <v>155.61689758300781</v>
      </c>
      <c r="P50" s="6">
        <f t="shared" si="4"/>
        <v>-5.9416341999053435E-3</v>
      </c>
      <c r="R50" s="39">
        <v>284.52520751953119</v>
      </c>
      <c r="S50" s="6">
        <f t="shared" si="5"/>
        <v>-1.1865995299981225E-2</v>
      </c>
    </row>
    <row r="51" spans="2:19" ht="15.75" customHeight="1" x14ac:dyDescent="0.25">
      <c r="B51" s="5">
        <v>45474</v>
      </c>
      <c r="C51" s="39">
        <v>24323.849609375</v>
      </c>
      <c r="D51" s="6">
        <f t="shared" si="0"/>
        <v>1.3046321420381757E-2</v>
      </c>
      <c r="F51" s="39">
        <v>1576.953247070312</v>
      </c>
      <c r="G51" s="6">
        <f t="shared" si="1"/>
        <v>1.4836435566406569E-2</v>
      </c>
      <c r="I51" s="39">
        <v>272.25335693359381</v>
      </c>
      <c r="J51" s="6">
        <f t="shared" si="2"/>
        <v>5.1057696850396184E-2</v>
      </c>
      <c r="L51" s="39">
        <v>449.710205078125</v>
      </c>
      <c r="M51" s="6">
        <f t="shared" si="3"/>
        <v>3.8782563323099595E-2</v>
      </c>
      <c r="O51" s="39">
        <v>160.9253234863281</v>
      </c>
      <c r="P51" s="6">
        <f t="shared" si="4"/>
        <v>3.4112143255450089E-2</v>
      </c>
      <c r="R51" s="39">
        <v>287.05264282226563</v>
      </c>
      <c r="S51" s="6">
        <f t="shared" si="5"/>
        <v>8.8829925642386343E-3</v>
      </c>
    </row>
    <row r="52" spans="2:19" ht="15.75" customHeight="1" x14ac:dyDescent="0.25">
      <c r="B52" s="5">
        <v>45481</v>
      </c>
      <c r="C52" s="39">
        <v>24502.150390625</v>
      </c>
      <c r="D52" s="6">
        <f t="shared" si="0"/>
        <v>7.3302862874664587E-3</v>
      </c>
      <c r="F52" s="39">
        <v>1584.993774414062</v>
      </c>
      <c r="G52" s="6">
        <f t="shared" si="1"/>
        <v>5.0987734472711654E-3</v>
      </c>
      <c r="I52" s="39">
        <v>290.10757446289063</v>
      </c>
      <c r="J52" s="6">
        <f t="shared" si="2"/>
        <v>6.5579421059817067E-2</v>
      </c>
      <c r="L52" s="39">
        <v>454.01065063476563</v>
      </c>
      <c r="M52" s="6">
        <f t="shared" si="3"/>
        <v>9.5627039548580317E-3</v>
      </c>
      <c r="O52" s="39">
        <v>156.941650390625</v>
      </c>
      <c r="P52" s="6">
        <f t="shared" si="4"/>
        <v>-2.4754793151256504E-2</v>
      </c>
      <c r="R52" s="39">
        <v>285.08682250976563</v>
      </c>
      <c r="S52" s="6">
        <f t="shared" si="5"/>
        <v>-6.8482919828651845E-3</v>
      </c>
    </row>
    <row r="53" spans="2:19" ht="15.75" customHeight="1" x14ac:dyDescent="0.25">
      <c r="B53" s="5">
        <v>45488</v>
      </c>
      <c r="C53" s="39">
        <v>24530.900390625</v>
      </c>
      <c r="D53" s="6">
        <f t="shared" si="0"/>
        <v>1.1733664001589705E-3</v>
      </c>
      <c r="F53" s="39">
        <v>1543.724243164062</v>
      </c>
      <c r="G53" s="6">
        <f t="shared" si="1"/>
        <v>-2.6037661419368363E-2</v>
      </c>
      <c r="I53" s="39">
        <v>301.963134765625</v>
      </c>
      <c r="J53" s="6">
        <f t="shared" si="2"/>
        <v>4.086608329577035E-2</v>
      </c>
      <c r="L53" s="39">
        <v>446.50784301757813</v>
      </c>
      <c r="M53" s="6">
        <f t="shared" si="3"/>
        <v>-1.6525620283792009E-2</v>
      </c>
      <c r="O53" s="39">
        <v>161.985595703125</v>
      </c>
      <c r="P53" s="6">
        <f t="shared" si="4"/>
        <v>3.2138984775206048E-2</v>
      </c>
      <c r="R53" s="39">
        <v>284.384765625</v>
      </c>
      <c r="S53" s="6">
        <f t="shared" si="5"/>
        <v>-2.4626072807751864E-3</v>
      </c>
    </row>
    <row r="54" spans="2:19" ht="15.75" customHeight="1" x14ac:dyDescent="0.25">
      <c r="B54" s="5">
        <v>45495</v>
      </c>
      <c r="C54" s="39">
        <v>24834.849609375</v>
      </c>
      <c r="D54" s="6">
        <f t="shared" si="0"/>
        <v>1.2390463208034497E-2</v>
      </c>
      <c r="F54" s="39">
        <v>1497.938110351562</v>
      </c>
      <c r="G54" s="6">
        <f t="shared" si="1"/>
        <v>-2.9659528257880652E-2</v>
      </c>
      <c r="I54" s="39">
        <v>313.25192260742188</v>
      </c>
      <c r="J54" s="6">
        <f t="shared" si="2"/>
        <v>3.7384655747990214E-2</v>
      </c>
      <c r="L54" s="39">
        <v>466.50006103515619</v>
      </c>
      <c r="M54" s="6">
        <f t="shared" si="3"/>
        <v>4.4774617803949868E-2</v>
      </c>
      <c r="O54" s="39">
        <v>172.81138610839841</v>
      </c>
      <c r="P54" s="6">
        <f t="shared" si="4"/>
        <v>6.6831809077111393E-2</v>
      </c>
      <c r="R54" s="39">
        <v>307.78707885742188</v>
      </c>
      <c r="S54" s="6">
        <f t="shared" si="5"/>
        <v>8.229102280141487E-2</v>
      </c>
    </row>
    <row r="55" spans="2:19" ht="15.75" customHeight="1" x14ac:dyDescent="0.25">
      <c r="B55" s="5">
        <v>45502</v>
      </c>
      <c r="C55" s="39">
        <v>24717.69921875</v>
      </c>
      <c r="D55" s="6">
        <f t="shared" si="0"/>
        <v>-4.7171773724281607E-3</v>
      </c>
      <c r="F55" s="39">
        <v>1488.309326171875</v>
      </c>
      <c r="G55" s="6">
        <f t="shared" si="1"/>
        <v>-6.4280253724415815E-3</v>
      </c>
      <c r="I55" s="39">
        <v>311.8349609375</v>
      </c>
      <c r="J55" s="6">
        <f t="shared" si="2"/>
        <v>-4.5233933701905871E-3</v>
      </c>
      <c r="L55" s="39">
        <v>479.9044189453125</v>
      </c>
      <c r="M55" s="6">
        <f t="shared" si="3"/>
        <v>2.8733882435968416E-2</v>
      </c>
      <c r="O55" s="39">
        <v>173.53570556640619</v>
      </c>
      <c r="P55" s="6">
        <f t="shared" si="4"/>
        <v>4.1913873519505707E-3</v>
      </c>
      <c r="R55" s="39">
        <v>324.91757202148438</v>
      </c>
      <c r="S55" s="6">
        <f t="shared" si="5"/>
        <v>5.5656960089601304E-2</v>
      </c>
    </row>
    <row r="56" spans="2:19" ht="15.75" customHeight="1" x14ac:dyDescent="0.25">
      <c r="B56" s="5">
        <v>45509</v>
      </c>
      <c r="C56" s="39">
        <v>24367.5</v>
      </c>
      <c r="D56" s="6">
        <f t="shared" si="0"/>
        <v>-1.4167953726225035E-2</v>
      </c>
      <c r="F56" s="39">
        <v>1463.46826171875</v>
      </c>
      <c r="G56" s="6">
        <f t="shared" si="1"/>
        <v>-1.6690794054902147E-2</v>
      </c>
      <c r="I56" s="39">
        <v>314.14935302734381</v>
      </c>
      <c r="J56" s="6">
        <f t="shared" si="2"/>
        <v>7.4218493105642214E-3</v>
      </c>
      <c r="L56" s="39">
        <v>484.75372314453119</v>
      </c>
      <c r="M56" s="6">
        <f t="shared" si="3"/>
        <v>1.0104729208112007E-2</v>
      </c>
      <c r="O56" s="39">
        <v>165.50935363769531</v>
      </c>
      <c r="P56" s="6">
        <f t="shared" si="4"/>
        <v>-4.6251875961281441E-2</v>
      </c>
      <c r="R56" s="39">
        <v>312.09307861328119</v>
      </c>
      <c r="S56" s="6">
        <f t="shared" si="5"/>
        <v>-3.9469990276042033E-2</v>
      </c>
    </row>
    <row r="57" spans="2:19" ht="15.75" customHeight="1" x14ac:dyDescent="0.25">
      <c r="B57" s="5">
        <v>45516</v>
      </c>
      <c r="C57" s="39">
        <v>24541.150390625</v>
      </c>
      <c r="D57" s="6">
        <f t="shared" si="0"/>
        <v>7.126311300913013E-3</v>
      </c>
      <c r="F57" s="39">
        <v>1467.339599609375</v>
      </c>
      <c r="G57" s="6">
        <f t="shared" si="1"/>
        <v>2.6453172862650476E-3</v>
      </c>
      <c r="I57" s="39">
        <v>311.36264038085938</v>
      </c>
      <c r="J57" s="6">
        <f t="shared" si="2"/>
        <v>-8.8706617398058851E-3</v>
      </c>
      <c r="L57" s="39">
        <v>468.74172973632813</v>
      </c>
      <c r="M57" s="6">
        <f t="shared" si="3"/>
        <v>-3.3031192219289074E-2</v>
      </c>
      <c r="O57" s="39">
        <v>163.6300048828125</v>
      </c>
      <c r="P57" s="6">
        <f t="shared" si="4"/>
        <v>-1.1354939848274404E-2</v>
      </c>
      <c r="R57" s="39">
        <v>321.22052001953119</v>
      </c>
      <c r="S57" s="6">
        <f t="shared" si="5"/>
        <v>2.9245894996472899E-2</v>
      </c>
    </row>
    <row r="58" spans="2:19" ht="15.75" customHeight="1" x14ac:dyDescent="0.25">
      <c r="B58" s="5">
        <v>45523</v>
      </c>
      <c r="C58" s="39">
        <v>24823.150390625</v>
      </c>
      <c r="D58" s="6">
        <f t="shared" si="0"/>
        <v>1.1490903870086111E-2</v>
      </c>
      <c r="F58" s="39">
        <v>1488.95458984375</v>
      </c>
      <c r="G58" s="6">
        <f t="shared" si="1"/>
        <v>1.4730734616668961E-2</v>
      </c>
      <c r="I58" s="39">
        <v>301.25466918945313</v>
      </c>
      <c r="J58" s="6">
        <f t="shared" si="2"/>
        <v>-3.2463660955091345E-2</v>
      </c>
      <c r="L58" s="39">
        <v>497.967529296875</v>
      </c>
      <c r="M58" s="6">
        <f t="shared" si="3"/>
        <v>6.2349472441864062E-2</v>
      </c>
      <c r="O58" s="39">
        <v>169.46380615234381</v>
      </c>
      <c r="P58" s="6">
        <f t="shared" si="4"/>
        <v>3.5652393176357267E-2</v>
      </c>
      <c r="R58" s="39">
        <v>340.25225830078119</v>
      </c>
      <c r="S58" s="6">
        <f t="shared" si="5"/>
        <v>5.9248202076544798E-2</v>
      </c>
    </row>
    <row r="59" spans="2:19" ht="15.75" customHeight="1" x14ac:dyDescent="0.25">
      <c r="B59" s="5">
        <v>45530</v>
      </c>
      <c r="C59" s="39">
        <v>25235.900390625</v>
      </c>
      <c r="D59" s="6">
        <f t="shared" si="0"/>
        <v>1.6627623549180237E-2</v>
      </c>
      <c r="F59" s="39">
        <v>1503.619750976562</v>
      </c>
      <c r="G59" s="6">
        <f t="shared" si="1"/>
        <v>9.8493004641269088E-3</v>
      </c>
      <c r="I59" s="39">
        <v>314.87594604492188</v>
      </c>
      <c r="J59" s="6">
        <f t="shared" si="2"/>
        <v>4.5215155974570376E-2</v>
      </c>
      <c r="L59" s="39">
        <v>485.12222290039063</v>
      </c>
      <c r="M59" s="6">
        <f t="shared" si="3"/>
        <v>-2.5795469866522813E-2</v>
      </c>
      <c r="O59" s="39">
        <v>173.22248840332031</v>
      </c>
      <c r="P59" s="6">
        <f t="shared" si="4"/>
        <v>2.2179852655956234E-2</v>
      </c>
      <c r="R59" s="39">
        <v>345.517333984375</v>
      </c>
      <c r="S59" s="6">
        <f t="shared" si="5"/>
        <v>1.5474035969335054E-2</v>
      </c>
    </row>
    <row r="60" spans="2:19" ht="15.75" customHeight="1" x14ac:dyDescent="0.25">
      <c r="B60" s="5">
        <v>45537</v>
      </c>
      <c r="C60" s="39">
        <v>24852.150390625</v>
      </c>
      <c r="D60" s="6">
        <f t="shared" si="0"/>
        <v>-1.5206511123437516E-2</v>
      </c>
      <c r="F60" s="39">
        <v>1458.997802734375</v>
      </c>
      <c r="G60" s="6">
        <f t="shared" si="1"/>
        <v>-2.9676351493258979E-2</v>
      </c>
      <c r="I60" s="39">
        <v>293.97940063476563</v>
      </c>
      <c r="J60" s="6">
        <f t="shared" si="2"/>
        <v>-6.6364375153556643E-2</v>
      </c>
      <c r="L60" s="39">
        <v>451.48382568359381</v>
      </c>
      <c r="M60" s="6">
        <f t="shared" si="3"/>
        <v>-6.9340045928392269E-2</v>
      </c>
      <c r="O60" s="39">
        <v>172.89947509765619</v>
      </c>
      <c r="P60" s="6">
        <f t="shared" si="4"/>
        <v>-1.864730778558199E-3</v>
      </c>
      <c r="R60" s="39">
        <v>340.20391845703119</v>
      </c>
      <c r="S60" s="6">
        <f t="shared" si="5"/>
        <v>-1.5378144610203814E-2</v>
      </c>
    </row>
    <row r="61" spans="2:19" ht="15.75" customHeight="1" x14ac:dyDescent="0.25">
      <c r="B61" s="5">
        <v>45544</v>
      </c>
      <c r="C61" s="39">
        <v>25356.5</v>
      </c>
      <c r="D61" s="6">
        <f t="shared" si="0"/>
        <v>2.0294002790408605E-2</v>
      </c>
      <c r="F61" s="39">
        <v>1466.766845703125</v>
      </c>
      <c r="G61" s="6">
        <f t="shared" si="1"/>
        <v>5.3249175250227321E-3</v>
      </c>
      <c r="I61" s="39">
        <v>277.46212768554688</v>
      </c>
      <c r="J61" s="6">
        <f t="shared" si="2"/>
        <v>-5.6185137167959254E-2</v>
      </c>
      <c r="L61" s="39">
        <v>453.05490112304688</v>
      </c>
      <c r="M61" s="6">
        <f t="shared" si="3"/>
        <v>3.4798044804247308E-3</v>
      </c>
      <c r="O61" s="39">
        <v>169.52253723144531</v>
      </c>
      <c r="P61" s="6">
        <f t="shared" si="4"/>
        <v>-1.9531221042189628E-2</v>
      </c>
      <c r="R61" s="39">
        <v>330.68804931640619</v>
      </c>
      <c r="S61" s="6">
        <f t="shared" si="5"/>
        <v>-2.7971074477282643E-2</v>
      </c>
    </row>
    <row r="62" spans="2:19" ht="15.75" customHeight="1" x14ac:dyDescent="0.25">
      <c r="B62" s="5">
        <v>45551</v>
      </c>
      <c r="C62" s="39">
        <v>25790.94921875</v>
      </c>
      <c r="D62" s="6">
        <f t="shared" si="0"/>
        <v>1.7133643000808441E-2</v>
      </c>
      <c r="F62" s="39">
        <v>1480.014038085938</v>
      </c>
      <c r="G62" s="6">
        <f t="shared" si="1"/>
        <v>9.031559733996275E-3</v>
      </c>
      <c r="I62" s="39">
        <v>272.51168823242188</v>
      </c>
      <c r="J62" s="6">
        <f t="shared" si="2"/>
        <v>-1.7841856452335048E-2</v>
      </c>
      <c r="L62" s="39">
        <v>453.7017822265625</v>
      </c>
      <c r="M62" s="6">
        <f t="shared" si="3"/>
        <v>1.4278205619497886E-3</v>
      </c>
      <c r="O62" s="39">
        <v>163.51255798339841</v>
      </c>
      <c r="P62" s="6">
        <f t="shared" si="4"/>
        <v>-3.5452390851380522E-2</v>
      </c>
      <c r="R62" s="39">
        <v>319.96463012695313</v>
      </c>
      <c r="S62" s="6">
        <f t="shared" si="5"/>
        <v>-3.2427598189956885E-2</v>
      </c>
    </row>
    <row r="63" spans="2:19" ht="15.75" customHeight="1" x14ac:dyDescent="0.25">
      <c r="B63" s="5">
        <v>45558</v>
      </c>
      <c r="C63" s="39">
        <v>26178.94921875</v>
      </c>
      <c r="D63" s="6">
        <f t="shared" si="0"/>
        <v>1.5044037220542705E-2</v>
      </c>
      <c r="F63" s="39">
        <v>1520.103881835938</v>
      </c>
      <c r="G63" s="6">
        <f t="shared" si="1"/>
        <v>2.7087475333576583E-2</v>
      </c>
      <c r="I63" s="39">
        <v>282.9361572265625</v>
      </c>
      <c r="J63" s="6">
        <f t="shared" si="2"/>
        <v>3.8253291305618164E-2</v>
      </c>
      <c r="L63" s="39">
        <v>476.94363403320313</v>
      </c>
      <c r="M63" s="6">
        <f t="shared" si="3"/>
        <v>5.1227155627602272E-2</v>
      </c>
      <c r="O63" s="39">
        <v>176.19810485839841</v>
      </c>
      <c r="P63" s="6">
        <f t="shared" si="4"/>
        <v>7.7581483841063559E-2</v>
      </c>
      <c r="R63" s="39">
        <v>354.83999633789063</v>
      </c>
      <c r="S63" s="6">
        <f t="shared" si="5"/>
        <v>0.10899756700326502</v>
      </c>
    </row>
    <row r="64" spans="2:19" ht="15.75" customHeight="1" x14ac:dyDescent="0.25">
      <c r="B64" s="5">
        <v>45565</v>
      </c>
      <c r="C64" s="39">
        <v>25014.599609375</v>
      </c>
      <c r="D64" s="6">
        <f t="shared" si="0"/>
        <v>-4.4476560141728849E-2</v>
      </c>
      <c r="F64" s="39">
        <v>1381.009399414062</v>
      </c>
      <c r="G64" s="6">
        <f t="shared" si="1"/>
        <v>-9.150327427220406E-2</v>
      </c>
      <c r="I64" s="39">
        <v>281.07974243164063</v>
      </c>
      <c r="J64" s="6">
        <f t="shared" si="2"/>
        <v>-6.561249764325261E-3</v>
      </c>
      <c r="L64" s="39">
        <v>459.47756958007813</v>
      </c>
      <c r="M64" s="6">
        <f t="shared" si="3"/>
        <v>-3.6620814718556605E-2</v>
      </c>
      <c r="O64" s="39">
        <v>165.07865905761719</v>
      </c>
      <c r="P64" s="6">
        <f t="shared" si="4"/>
        <v>-6.3107635633864345E-2</v>
      </c>
      <c r="R64" s="39">
        <v>328.7076416015625</v>
      </c>
      <c r="S64" s="6">
        <f t="shared" si="5"/>
        <v>-7.3645459942582203E-2</v>
      </c>
    </row>
    <row r="65" spans="2:19" ht="15.75" customHeight="1" x14ac:dyDescent="0.25">
      <c r="B65" s="5">
        <v>45572</v>
      </c>
      <c r="C65" s="39">
        <v>24964.25</v>
      </c>
      <c r="D65" s="6">
        <f t="shared" si="0"/>
        <v>-2.0128089260372795E-3</v>
      </c>
      <c r="F65" s="39">
        <v>1366.641723632812</v>
      </c>
      <c r="G65" s="6">
        <f t="shared" si="1"/>
        <v>-1.0403749451195599E-2</v>
      </c>
      <c r="I65" s="39">
        <v>278.50933837890619</v>
      </c>
      <c r="J65" s="6">
        <f t="shared" si="2"/>
        <v>-9.1447502779733458E-3</v>
      </c>
      <c r="L65" s="39">
        <v>455.550048828125</v>
      </c>
      <c r="M65" s="6">
        <f t="shared" si="3"/>
        <v>-8.5477964801252693E-3</v>
      </c>
      <c r="O65" s="39">
        <v>159.69512939453119</v>
      </c>
      <c r="P65" s="6">
        <f t="shared" si="4"/>
        <v>-3.261190570494632E-2</v>
      </c>
      <c r="R65" s="39">
        <v>326.19580078125</v>
      </c>
      <c r="S65" s="6">
        <f t="shared" si="5"/>
        <v>-7.6415650335175389E-3</v>
      </c>
    </row>
    <row r="66" spans="2:19" ht="15.75" customHeight="1" x14ac:dyDescent="0.25">
      <c r="B66" s="5">
        <v>45579</v>
      </c>
      <c r="C66" s="39">
        <v>24854.05078125</v>
      </c>
      <c r="D66" s="6">
        <f t="shared" si="0"/>
        <v>-4.4142811720760955E-3</v>
      </c>
      <c r="F66" s="39">
        <v>1353.892700195312</v>
      </c>
      <c r="G66" s="6">
        <f t="shared" si="1"/>
        <v>-9.3287239933012023E-3</v>
      </c>
      <c r="I66" s="39">
        <v>269.7032470703125</v>
      </c>
      <c r="J66" s="6">
        <f t="shared" si="2"/>
        <v>-3.1618657240904402E-2</v>
      </c>
      <c r="L66" s="39">
        <v>454.85693359375</v>
      </c>
      <c r="M66" s="6">
        <f t="shared" si="3"/>
        <v>-1.5214908573887298E-3</v>
      </c>
      <c r="O66" s="39">
        <v>161.84855651855469</v>
      </c>
      <c r="P66" s="6">
        <f t="shared" si="4"/>
        <v>1.3484613664724865E-2</v>
      </c>
      <c r="R66" s="39">
        <v>330.88128662109381</v>
      </c>
      <c r="S66" s="6">
        <f t="shared" si="5"/>
        <v>1.4364028686518759E-2</v>
      </c>
    </row>
    <row r="67" spans="2:19" ht="15.75" customHeight="1" x14ac:dyDescent="0.25">
      <c r="B67" s="5">
        <v>45586</v>
      </c>
      <c r="C67" s="39">
        <v>24180.80078125</v>
      </c>
      <c r="D67" s="6">
        <f t="shared" si="0"/>
        <v>-2.7088139713140946E-2</v>
      </c>
      <c r="F67" s="39">
        <v>1322.567749023438</v>
      </c>
      <c r="G67" s="6">
        <f t="shared" si="1"/>
        <v>-2.3136952557137769E-2</v>
      </c>
      <c r="I67" s="39">
        <v>251.37713623046881</v>
      </c>
      <c r="J67" s="6">
        <f t="shared" si="2"/>
        <v>-6.7949166496560687E-2</v>
      </c>
      <c r="L67" s="39">
        <v>426.11648559570313</v>
      </c>
      <c r="M67" s="6">
        <f t="shared" si="3"/>
        <v>-6.3185687356622888E-2</v>
      </c>
      <c r="O67" s="39">
        <v>143.21174621582031</v>
      </c>
      <c r="P67" s="6">
        <f t="shared" si="4"/>
        <v>-0.11514968501185119</v>
      </c>
      <c r="R67" s="39">
        <v>295.9093017578125</v>
      </c>
      <c r="S67" s="6">
        <f t="shared" si="5"/>
        <v>-0.10569345042268652</v>
      </c>
    </row>
    <row r="68" spans="2:19" ht="15.75" customHeight="1" x14ac:dyDescent="0.25">
      <c r="B68" s="5">
        <v>45593</v>
      </c>
      <c r="C68" s="39">
        <v>24304.349609375</v>
      </c>
      <c r="D68" s="6">
        <f t="shared" si="0"/>
        <v>5.1093770319137199E-3</v>
      </c>
      <c r="F68" s="39">
        <v>1333.324829101562</v>
      </c>
      <c r="G68" s="6">
        <f t="shared" si="1"/>
        <v>8.1334813177373899E-3</v>
      </c>
      <c r="I68" s="39">
        <v>258.70761108398438</v>
      </c>
      <c r="J68" s="6">
        <f t="shared" si="2"/>
        <v>2.9161263285276684E-2</v>
      </c>
      <c r="L68" s="39">
        <v>419.69378662109381</v>
      </c>
      <c r="M68" s="6">
        <f t="shared" si="3"/>
        <v>-1.5072636689074548E-2</v>
      </c>
      <c r="O68" s="39">
        <v>141.91969299316409</v>
      </c>
      <c r="P68" s="6">
        <f t="shared" si="4"/>
        <v>-9.0219779927066535E-3</v>
      </c>
      <c r="R68" s="39">
        <v>302.38201904296881</v>
      </c>
      <c r="S68" s="6">
        <f t="shared" si="5"/>
        <v>2.187399060018036E-2</v>
      </c>
    </row>
    <row r="69" spans="2:19" ht="15.75" customHeight="1" x14ac:dyDescent="0.25">
      <c r="B69" s="5">
        <v>45600</v>
      </c>
      <c r="C69" s="39">
        <v>24148.19921875</v>
      </c>
      <c r="D69" s="6">
        <f t="shared" si="0"/>
        <v>-6.424791987223899E-3</v>
      </c>
      <c r="F69" s="39">
        <v>1278.643188476562</v>
      </c>
      <c r="G69" s="6">
        <f t="shared" si="1"/>
        <v>-4.1011492047175246E-2</v>
      </c>
      <c r="I69" s="39">
        <v>249.94911193847659</v>
      </c>
      <c r="J69" s="6">
        <f t="shared" si="2"/>
        <v>-3.3854818220498739E-2</v>
      </c>
      <c r="L69" s="39">
        <v>391.87744140625</v>
      </c>
      <c r="M69" s="6">
        <f t="shared" si="3"/>
        <v>-6.6277715090304223E-2</v>
      </c>
      <c r="O69" s="39">
        <v>137.3681640625</v>
      </c>
      <c r="P69" s="6">
        <f t="shared" si="4"/>
        <v>-3.2071158235124742E-2</v>
      </c>
      <c r="R69" s="39">
        <v>299.91851806640619</v>
      </c>
      <c r="S69" s="6">
        <f t="shared" si="5"/>
        <v>-8.1469823647567496E-3</v>
      </c>
    </row>
    <row r="70" spans="2:19" ht="15.75" customHeight="1" x14ac:dyDescent="0.25">
      <c r="B70" s="5">
        <v>45607</v>
      </c>
      <c r="C70" s="39">
        <v>23532.69921875</v>
      </c>
      <c r="D70" s="6">
        <f t="shared" si="0"/>
        <v>-2.5488443027341434E-2</v>
      </c>
      <c r="F70" s="39">
        <v>1262.557495117188</v>
      </c>
      <c r="G70" s="6">
        <f t="shared" si="1"/>
        <v>-1.2580283150406824E-2</v>
      </c>
      <c r="I70" s="39">
        <v>238.76307678222659</v>
      </c>
      <c r="J70" s="6">
        <f t="shared" si="2"/>
        <v>-4.4753250249608301E-2</v>
      </c>
      <c r="L70" s="39">
        <v>392.61148071289063</v>
      </c>
      <c r="M70" s="6">
        <f t="shared" si="3"/>
        <v>1.873134886270833E-3</v>
      </c>
      <c r="O70" s="39">
        <v>131.90632629394531</v>
      </c>
      <c r="P70" s="6">
        <f t="shared" si="4"/>
        <v>-3.9760579213023894E-2</v>
      </c>
      <c r="R70" s="39">
        <v>288.0841064453125</v>
      </c>
      <c r="S70" s="6">
        <f t="shared" si="5"/>
        <v>-3.9458755989429717E-2</v>
      </c>
    </row>
    <row r="71" spans="2:19" ht="15.75" customHeight="1" x14ac:dyDescent="0.25">
      <c r="B71" s="5">
        <v>45614</v>
      </c>
      <c r="C71" s="39">
        <v>23907.25</v>
      </c>
      <c r="D71" s="6">
        <f t="shared" si="0"/>
        <v>1.5916184444815906E-2</v>
      </c>
      <c r="F71" s="39">
        <v>1260.3662109375</v>
      </c>
      <c r="G71" s="6">
        <f t="shared" si="1"/>
        <v>-1.7355915973431557E-3</v>
      </c>
      <c r="I71" s="39">
        <v>233.81263732910159</v>
      </c>
      <c r="J71" s="6">
        <f t="shared" si="2"/>
        <v>-2.0733689311770109E-2</v>
      </c>
      <c r="L71" s="39">
        <v>396.73162841796881</v>
      </c>
      <c r="M71" s="6">
        <f t="shared" si="3"/>
        <v>1.0494210962952444E-2</v>
      </c>
      <c r="O71" s="39">
        <v>129.8018493652344</v>
      </c>
      <c r="P71" s="6">
        <f t="shared" si="4"/>
        <v>-1.5954329013918578E-2</v>
      </c>
      <c r="R71" s="39">
        <v>276.15304565429688</v>
      </c>
      <c r="S71" s="6">
        <f t="shared" si="5"/>
        <v>-4.1415199672879321E-2</v>
      </c>
    </row>
    <row r="72" spans="2:19" ht="15.75" customHeight="1" x14ac:dyDescent="0.25">
      <c r="B72" s="5">
        <v>45621</v>
      </c>
      <c r="C72" s="39">
        <v>24131.099609375</v>
      </c>
      <c r="D72" s="6">
        <f t="shared" si="0"/>
        <v>9.3632521254012335E-3</v>
      </c>
      <c r="F72" s="39">
        <v>1287.0595703125</v>
      </c>
      <c r="G72" s="6">
        <f t="shared" si="1"/>
        <v>2.1179050297726265E-2</v>
      </c>
      <c r="I72" s="39">
        <v>250.37330627441409</v>
      </c>
      <c r="J72" s="6">
        <f t="shared" si="2"/>
        <v>7.082880178971096E-2</v>
      </c>
      <c r="L72" s="39">
        <v>398.98333740234381</v>
      </c>
      <c r="M72" s="6">
        <f t="shared" si="3"/>
        <v>5.6756477756867429E-3</v>
      </c>
      <c r="O72" s="39">
        <v>135.69438171386719</v>
      </c>
      <c r="P72" s="6">
        <f t="shared" si="4"/>
        <v>4.5396366673116306E-2</v>
      </c>
      <c r="R72" s="39">
        <v>282.19100952148438</v>
      </c>
      <c r="S72" s="6">
        <f t="shared" si="5"/>
        <v>2.1864556492149356E-2</v>
      </c>
    </row>
    <row r="73" spans="2:19" ht="15.75" customHeight="1" x14ac:dyDescent="0.25">
      <c r="B73" s="5">
        <v>45628</v>
      </c>
      <c r="C73" s="39">
        <v>24677.80078125</v>
      </c>
      <c r="D73" s="6">
        <f t="shared" si="0"/>
        <v>2.2655460411037609E-2</v>
      </c>
      <c r="F73" s="39">
        <v>1306.332641601562</v>
      </c>
      <c r="G73" s="6">
        <f t="shared" si="1"/>
        <v>1.4974498254484381E-2</v>
      </c>
      <c r="I73" s="39">
        <v>253.6407165527344</v>
      </c>
      <c r="J73" s="6">
        <f t="shared" si="2"/>
        <v>1.3050154295359162E-2</v>
      </c>
      <c r="L73" s="39">
        <v>399.70196533203119</v>
      </c>
      <c r="M73" s="6">
        <f t="shared" si="3"/>
        <v>1.8011477230255313E-3</v>
      </c>
      <c r="O73" s="39">
        <v>138.953857421875</v>
      </c>
      <c r="P73" s="6">
        <f t="shared" si="4"/>
        <v>2.402071233045544E-2</v>
      </c>
      <c r="R73" s="39">
        <v>290.16116333007813</v>
      </c>
      <c r="S73" s="6">
        <f t="shared" si="5"/>
        <v>2.8243826130778693E-2</v>
      </c>
    </row>
    <row r="74" spans="2:19" ht="15.75" customHeight="1" x14ac:dyDescent="0.25">
      <c r="B74" s="5">
        <v>45635</v>
      </c>
      <c r="C74" s="39">
        <v>24768.30078125</v>
      </c>
      <c r="D74" s="6">
        <f t="shared" si="0"/>
        <v>3.667263578396307E-3</v>
      </c>
      <c r="F74" s="39">
        <v>1267.78662109375</v>
      </c>
      <c r="G74" s="6">
        <f t="shared" si="1"/>
        <v>-2.9507048419577631E-2</v>
      </c>
      <c r="I74" s="39">
        <v>247.9836730957031</v>
      </c>
      <c r="J74" s="6">
        <f t="shared" si="2"/>
        <v>-2.2303372794072462E-2</v>
      </c>
      <c r="L74" s="39">
        <v>393.13845825195313</v>
      </c>
      <c r="M74" s="6">
        <f t="shared" si="3"/>
        <v>-1.6421002770466209E-2</v>
      </c>
      <c r="O74" s="39">
        <v>141.1855773925781</v>
      </c>
      <c r="P74" s="6">
        <f t="shared" si="4"/>
        <v>1.6060870940253436E-2</v>
      </c>
      <c r="R74" s="39">
        <v>291.46536254882813</v>
      </c>
      <c r="S74" s="6">
        <f t="shared" si="5"/>
        <v>4.4947407977764531E-3</v>
      </c>
    </row>
    <row r="75" spans="2:19" ht="15.75" customHeight="1" x14ac:dyDescent="0.25">
      <c r="B75" s="5">
        <v>45642</v>
      </c>
      <c r="C75" s="39">
        <v>23587.5</v>
      </c>
      <c r="D75" s="6">
        <f t="shared" si="0"/>
        <v>-4.7673871198458895E-2</v>
      </c>
      <c r="F75" s="39">
        <v>1200.50537109375</v>
      </c>
      <c r="G75" s="6">
        <f t="shared" si="1"/>
        <v>-5.3069853302249559E-2</v>
      </c>
      <c r="I75" s="39">
        <v>231.25636291503909</v>
      </c>
      <c r="J75" s="6">
        <f t="shared" si="2"/>
        <v>-6.7453272112025342E-2</v>
      </c>
      <c r="L75" s="39">
        <v>366.02218627929688</v>
      </c>
      <c r="M75" s="6">
        <f t="shared" si="3"/>
        <v>-6.8973847262935761E-2</v>
      </c>
      <c r="O75" s="39">
        <v>134.17720031738281</v>
      </c>
      <c r="P75" s="6">
        <f t="shared" si="4"/>
        <v>-4.9639468879373649E-2</v>
      </c>
      <c r="R75" s="39">
        <v>279.24447631835938</v>
      </c>
      <c r="S75" s="6">
        <f t="shared" si="5"/>
        <v>-4.1929120234386108E-2</v>
      </c>
    </row>
    <row r="76" spans="2:19" ht="15.75" customHeight="1" x14ac:dyDescent="0.25">
      <c r="B76" s="5">
        <v>45649</v>
      </c>
      <c r="C76" s="39">
        <v>23813.400390625</v>
      </c>
      <c r="D76" s="6">
        <f t="shared" si="0"/>
        <v>9.5771230789614137E-3</v>
      </c>
      <c r="F76" s="39">
        <v>1216.192749023438</v>
      </c>
      <c r="G76" s="6">
        <f t="shared" si="1"/>
        <v>1.3067311740051268E-2</v>
      </c>
      <c r="I76" s="39">
        <v>231.061279296875</v>
      </c>
      <c r="J76" s="6">
        <f t="shared" si="2"/>
        <v>-8.4358162389575053E-4</v>
      </c>
      <c r="L76" s="39">
        <v>364.58493041992188</v>
      </c>
      <c r="M76" s="6">
        <f t="shared" si="3"/>
        <v>-3.9266905484202086E-3</v>
      </c>
      <c r="O76" s="39">
        <v>133.3647766113281</v>
      </c>
      <c r="P76" s="6">
        <f t="shared" si="4"/>
        <v>-6.0548565936165977E-3</v>
      </c>
      <c r="R76" s="39">
        <v>283.591796875</v>
      </c>
      <c r="S76" s="6">
        <f t="shared" si="5"/>
        <v>1.556815237299225E-2</v>
      </c>
    </row>
    <row r="77" spans="2:19" ht="15.75" customHeight="1" x14ac:dyDescent="0.25">
      <c r="B77" s="5">
        <v>45656</v>
      </c>
      <c r="C77" s="39">
        <v>24004.75</v>
      </c>
      <c r="D77" s="6">
        <f t="shared" si="0"/>
        <v>8.0353753028203911E-3</v>
      </c>
      <c r="F77" s="39">
        <v>1246.172973632812</v>
      </c>
      <c r="G77" s="6">
        <f t="shared" si="1"/>
        <v>2.4650882545918185E-2</v>
      </c>
      <c r="I77" s="39">
        <v>252.50932312011719</v>
      </c>
      <c r="J77" s="6">
        <f t="shared" si="2"/>
        <v>9.2824050349366694E-2</v>
      </c>
      <c r="L77" s="39">
        <v>377.18487548828119</v>
      </c>
      <c r="M77" s="6">
        <f t="shared" si="3"/>
        <v>3.4559697938822964E-2</v>
      </c>
      <c r="O77" s="39">
        <v>135.2147521972656</v>
      </c>
      <c r="P77" s="6">
        <f t="shared" si="4"/>
        <v>1.3871545643037164E-2</v>
      </c>
      <c r="R77" s="39">
        <v>286.34515380859381</v>
      </c>
      <c r="S77" s="6">
        <f t="shared" si="5"/>
        <v>9.7088736837032119E-3</v>
      </c>
    </row>
    <row r="78" spans="2:19" ht="15.75" customHeight="1" x14ac:dyDescent="0.25">
      <c r="B78" s="5">
        <v>45663</v>
      </c>
      <c r="C78" s="39">
        <v>23431.5</v>
      </c>
      <c r="D78" s="6">
        <f t="shared" si="0"/>
        <v>-2.3880690280048689E-2</v>
      </c>
      <c r="F78" s="39">
        <v>1236.959716796875</v>
      </c>
      <c r="G78" s="6">
        <f t="shared" si="1"/>
        <v>-7.3932407706441827E-3</v>
      </c>
      <c r="I78" s="39">
        <v>256.53750610351563</v>
      </c>
      <c r="J78" s="6">
        <f t="shared" si="2"/>
        <v>1.5952610912042475E-2</v>
      </c>
      <c r="L78" s="39">
        <v>353.08685302734381</v>
      </c>
      <c r="M78" s="6">
        <f t="shared" si="3"/>
        <v>-6.388915364048342E-2</v>
      </c>
      <c r="O78" s="39">
        <v>127.5211944580078</v>
      </c>
      <c r="P78" s="6">
        <f t="shared" si="4"/>
        <v>-5.6898804414725612E-2</v>
      </c>
      <c r="R78" s="39">
        <v>268.231201171875</v>
      </c>
      <c r="S78" s="6">
        <f t="shared" si="5"/>
        <v>-6.3259155588248572E-2</v>
      </c>
    </row>
    <row r="79" spans="2:19" ht="15.75" customHeight="1" x14ac:dyDescent="0.25">
      <c r="B79" s="5">
        <v>45670</v>
      </c>
      <c r="C79" s="39">
        <v>23203.19921875</v>
      </c>
      <c r="D79" s="6">
        <f t="shared" si="0"/>
        <v>-9.7433276252053558E-3</v>
      </c>
      <c r="F79" s="39">
        <v>1297.169189453125</v>
      </c>
      <c r="G79" s="6">
        <f t="shared" si="1"/>
        <v>4.8675370619314373E-2</v>
      </c>
      <c r="I79" s="39">
        <v>260.00003051757813</v>
      </c>
      <c r="J79" s="6">
        <f t="shared" si="2"/>
        <v>1.349714693439541E-2</v>
      </c>
      <c r="L79" s="39">
        <v>371.43585205078119</v>
      </c>
      <c r="M79" s="6">
        <f t="shared" si="3"/>
        <v>5.1967381017203662E-2</v>
      </c>
      <c r="O79" s="39">
        <v>125.3580017089844</v>
      </c>
      <c r="P79" s="6">
        <f t="shared" si="4"/>
        <v>-1.6963397796087354E-2</v>
      </c>
      <c r="R79" s="39">
        <v>264.318603515625</v>
      </c>
      <c r="S79" s="6">
        <f t="shared" si="5"/>
        <v>-1.4586661205543083E-2</v>
      </c>
    </row>
    <row r="80" spans="2:19" ht="15.75" customHeight="1" x14ac:dyDescent="0.25">
      <c r="B80" s="5">
        <v>45677</v>
      </c>
      <c r="C80" s="39">
        <v>23092.19921875</v>
      </c>
      <c r="D80" s="6">
        <f t="shared" ref="D80:D118" si="6">C80/C79-1</f>
        <v>-4.7838230820473893E-3</v>
      </c>
      <c r="F80" s="39">
        <v>1241.34228515625</v>
      </c>
      <c r="G80" s="6">
        <f t="shared" ref="G80:G118" si="7">F80/F79-1</f>
        <v>-4.3037488672091562E-2</v>
      </c>
      <c r="I80" s="39">
        <v>250.18798828125</v>
      </c>
      <c r="J80" s="6">
        <f t="shared" ref="J80:J118" si="8">I80/I79-1</f>
        <v>-3.7738619556295538E-2</v>
      </c>
      <c r="L80" s="39">
        <v>367.02822875976563</v>
      </c>
      <c r="M80" s="6">
        <f t="shared" ref="M80:M118" si="9">L80/L79-1</f>
        <v>-1.1866445488985744E-2</v>
      </c>
      <c r="O80" s="39">
        <v>125.54396057128911</v>
      </c>
      <c r="P80" s="6">
        <f t="shared" ref="P80:P118" si="10">O80/O79-1</f>
        <v>1.4834223565274307E-3</v>
      </c>
      <c r="R80" s="39">
        <v>254.8510437011719</v>
      </c>
      <c r="S80" s="6">
        <f t="shared" ref="S80:S118" si="11">R80/R79-1</f>
        <v>-3.5818741808286814E-2</v>
      </c>
    </row>
    <row r="81" spans="2:19" ht="15.75" customHeight="1" x14ac:dyDescent="0.25">
      <c r="B81" s="5">
        <v>45684</v>
      </c>
      <c r="C81" s="39">
        <v>23482.150390625</v>
      </c>
      <c r="D81" s="6">
        <f t="shared" si="6"/>
        <v>1.688670568710382E-2</v>
      </c>
      <c r="F81" s="39">
        <v>1259.5693359375</v>
      </c>
      <c r="G81" s="6">
        <f t="shared" si="7"/>
        <v>1.4683339961270914E-2</v>
      </c>
      <c r="I81" s="39">
        <v>251.20233154296881</v>
      </c>
      <c r="J81" s="6">
        <f t="shared" si="8"/>
        <v>4.0543243849842092E-3</v>
      </c>
      <c r="L81" s="39">
        <v>369.18414306640619</v>
      </c>
      <c r="M81" s="6">
        <f t="shared" si="9"/>
        <v>5.8739740916540217E-3</v>
      </c>
      <c r="O81" s="39">
        <v>122.7641067504883</v>
      </c>
      <c r="P81" s="6">
        <f t="shared" si="10"/>
        <v>-2.2142473506101434E-2</v>
      </c>
      <c r="R81" s="39">
        <v>246.9775085449219</v>
      </c>
      <c r="S81" s="6">
        <f t="shared" si="11"/>
        <v>-3.0894655332399545E-2</v>
      </c>
    </row>
    <row r="82" spans="2:19" ht="15.75" customHeight="1" x14ac:dyDescent="0.25">
      <c r="B82" s="5">
        <v>45691</v>
      </c>
      <c r="C82" s="39">
        <v>23559.94921875</v>
      </c>
      <c r="D82" s="6">
        <f t="shared" si="6"/>
        <v>3.313104925691146E-3</v>
      </c>
      <c r="F82" s="39">
        <v>1261.661010742188</v>
      </c>
      <c r="G82" s="6">
        <f t="shared" si="7"/>
        <v>1.660626965907408E-3</v>
      </c>
      <c r="I82" s="39">
        <v>242.7655334472656</v>
      </c>
      <c r="J82" s="6">
        <f t="shared" si="8"/>
        <v>-3.3585667950936537E-2</v>
      </c>
      <c r="L82" s="39">
        <v>367.77786254882813</v>
      </c>
      <c r="M82" s="6">
        <f t="shared" si="9"/>
        <v>-3.8091574191070343E-3</v>
      </c>
      <c r="O82" s="39">
        <v>122.46067047119141</v>
      </c>
      <c r="P82" s="6">
        <f t="shared" si="10"/>
        <v>-2.4717019276131458E-3</v>
      </c>
      <c r="R82" s="39">
        <v>260.37921142578119</v>
      </c>
      <c r="S82" s="6">
        <f t="shared" si="11"/>
        <v>5.4262847494964017E-2</v>
      </c>
    </row>
    <row r="83" spans="2:19" ht="15.75" customHeight="1" x14ac:dyDescent="0.25">
      <c r="B83" s="5">
        <v>45698</v>
      </c>
      <c r="C83" s="39">
        <v>22929.25</v>
      </c>
      <c r="D83" s="6">
        <f t="shared" si="6"/>
        <v>-2.6769973606227571E-2</v>
      </c>
      <c r="F83" s="39">
        <v>1212.40771484375</v>
      </c>
      <c r="G83" s="6">
        <f t="shared" si="7"/>
        <v>-3.9038454449396132E-2</v>
      </c>
      <c r="I83" s="39">
        <v>229.29481506347659</v>
      </c>
      <c r="J83" s="6">
        <f t="shared" si="8"/>
        <v>-5.5488595075689262E-2</v>
      </c>
      <c r="L83" s="39">
        <v>344.39370727539063</v>
      </c>
      <c r="M83" s="6">
        <f t="shared" si="9"/>
        <v>-6.3582280650002154E-2</v>
      </c>
      <c r="O83" s="39">
        <v>114.76711273193359</v>
      </c>
      <c r="P83" s="6">
        <f t="shared" si="10"/>
        <v>-6.2824723314475972E-2</v>
      </c>
      <c r="R83" s="39">
        <v>247.2765197753906</v>
      </c>
      <c r="S83" s="6">
        <f t="shared" si="11"/>
        <v>-5.0321573595077163E-2</v>
      </c>
    </row>
    <row r="84" spans="2:19" ht="15.75" customHeight="1" x14ac:dyDescent="0.25">
      <c r="B84" s="5">
        <v>45705</v>
      </c>
      <c r="C84" s="39">
        <v>22795.900390625</v>
      </c>
      <c r="D84" s="6">
        <f t="shared" si="6"/>
        <v>-5.8156986981693359E-3</v>
      </c>
      <c r="F84" s="39">
        <v>1223.264404296875</v>
      </c>
      <c r="G84" s="6">
        <f t="shared" si="7"/>
        <v>8.9546522347263569E-3</v>
      </c>
      <c r="I84" s="39">
        <v>238.6456604003906</v>
      </c>
      <c r="J84" s="6">
        <f t="shared" si="8"/>
        <v>4.0780884357657143E-2</v>
      </c>
      <c r="L84" s="39">
        <v>359.7076416015625</v>
      </c>
      <c r="M84" s="6">
        <f t="shared" si="9"/>
        <v>4.4466359293627411E-2</v>
      </c>
      <c r="O84" s="39">
        <v>118.76071929931641</v>
      </c>
      <c r="P84" s="6">
        <f t="shared" si="10"/>
        <v>3.4797482243112965E-2</v>
      </c>
      <c r="R84" s="39">
        <v>247.57206726074219</v>
      </c>
      <c r="S84" s="6">
        <f t="shared" si="11"/>
        <v>1.1952104697203758E-3</v>
      </c>
    </row>
    <row r="85" spans="2:19" ht="15.75" customHeight="1" x14ac:dyDescent="0.25">
      <c r="B85" s="5">
        <v>45712</v>
      </c>
      <c r="C85" s="39">
        <v>22124.69921875</v>
      </c>
      <c r="D85" s="6">
        <f t="shared" si="6"/>
        <v>-2.9443942128780209E-2</v>
      </c>
      <c r="F85" s="39">
        <v>1195.325927734375</v>
      </c>
      <c r="G85" s="6">
        <f t="shared" si="7"/>
        <v>-2.2839278625587767E-2</v>
      </c>
      <c r="I85" s="39">
        <v>224.072265625</v>
      </c>
      <c r="J85" s="6">
        <f t="shared" si="8"/>
        <v>-6.106708477723799E-2</v>
      </c>
      <c r="L85" s="39">
        <v>359.12423706054688</v>
      </c>
      <c r="M85" s="6">
        <f t="shared" si="9"/>
        <v>-1.621885313356386E-3</v>
      </c>
      <c r="O85" s="39">
        <v>111.0867385864258</v>
      </c>
      <c r="P85" s="6">
        <f t="shared" si="10"/>
        <v>-6.4617162628912928E-2</v>
      </c>
      <c r="R85" s="39">
        <v>233.7797546386719</v>
      </c>
      <c r="S85" s="6">
        <f t="shared" si="11"/>
        <v>-5.571029387392179E-2</v>
      </c>
    </row>
    <row r="86" spans="2:19" ht="15.75" customHeight="1" x14ac:dyDescent="0.25">
      <c r="B86" s="5">
        <v>45719</v>
      </c>
      <c r="C86" s="39">
        <v>22552.5</v>
      </c>
      <c r="D86" s="6">
        <f t="shared" si="6"/>
        <v>1.9335891395416249E-2</v>
      </c>
      <c r="F86" s="39">
        <v>1244.828369140625</v>
      </c>
      <c r="G86" s="6">
        <f t="shared" si="7"/>
        <v>4.1413341966133999E-2</v>
      </c>
      <c r="I86" s="39">
        <v>231.67231750488281</v>
      </c>
      <c r="J86" s="6">
        <f t="shared" si="8"/>
        <v>3.3917860645020781E-2</v>
      </c>
      <c r="L86" s="39">
        <v>370.11138916015619</v>
      </c>
      <c r="M86" s="6">
        <f t="shared" si="9"/>
        <v>3.0594292909717824E-2</v>
      </c>
      <c r="O86" s="39">
        <v>122.19638824462891</v>
      </c>
      <c r="P86" s="6">
        <f t="shared" si="10"/>
        <v>0.10000878412286607</v>
      </c>
      <c r="R86" s="39">
        <v>257.38433837890619</v>
      </c>
      <c r="S86" s="6">
        <f t="shared" si="11"/>
        <v>0.10096932378390644</v>
      </c>
    </row>
    <row r="87" spans="2:19" ht="15.75" customHeight="1" x14ac:dyDescent="0.25">
      <c r="B87" s="5">
        <v>45726</v>
      </c>
      <c r="C87" s="39">
        <v>22397.19921875</v>
      </c>
      <c r="D87" s="6">
        <f t="shared" si="6"/>
        <v>-6.8861891697150623E-3</v>
      </c>
      <c r="F87" s="39">
        <v>1242.935913085938</v>
      </c>
      <c r="G87" s="6">
        <f t="shared" si="7"/>
        <v>-1.5202546002334172E-3</v>
      </c>
      <c r="I87" s="39">
        <v>224.2513122558594</v>
      </c>
      <c r="J87" s="6">
        <f t="shared" si="8"/>
        <v>-3.2032334846682775E-2</v>
      </c>
      <c r="L87" s="39">
        <v>367.82644653320313</v>
      </c>
      <c r="M87" s="6">
        <f t="shared" si="9"/>
        <v>-6.1736620214200011E-3</v>
      </c>
      <c r="O87" s="39">
        <v>123.00881195068359</v>
      </c>
      <c r="P87" s="6">
        <f t="shared" si="10"/>
        <v>6.6485083374827614E-3</v>
      </c>
      <c r="R87" s="39">
        <v>260.48757934570313</v>
      </c>
      <c r="S87" s="6">
        <f t="shared" si="11"/>
        <v>1.2056836815876881E-2</v>
      </c>
    </row>
    <row r="88" spans="2:19" ht="15.75" customHeight="1" x14ac:dyDescent="0.25">
      <c r="B88" s="5">
        <v>45733</v>
      </c>
      <c r="C88" s="39">
        <v>23350.400390625</v>
      </c>
      <c r="D88" s="6">
        <f t="shared" si="6"/>
        <v>4.2558945096895062E-2</v>
      </c>
      <c r="F88" s="39">
        <v>1271.272583007812</v>
      </c>
      <c r="G88" s="6">
        <f t="shared" si="7"/>
        <v>2.279817456679667E-2</v>
      </c>
      <c r="I88" s="39">
        <v>241.15248107910159</v>
      </c>
      <c r="J88" s="6">
        <f t="shared" si="8"/>
        <v>7.5367089954679001E-2</v>
      </c>
      <c r="L88" s="39">
        <v>394.1761474609375</v>
      </c>
      <c r="M88" s="6">
        <f t="shared" si="9"/>
        <v>7.1636232729002103E-2</v>
      </c>
      <c r="O88" s="39">
        <v>128.72514343261719</v>
      </c>
      <c r="P88" s="6">
        <f t="shared" si="10"/>
        <v>4.6470910427338863E-2</v>
      </c>
      <c r="R88" s="39">
        <v>275.5113525390625</v>
      </c>
      <c r="S88" s="6">
        <f t="shared" si="11"/>
        <v>5.7675583730695923E-2</v>
      </c>
    </row>
    <row r="89" spans="2:19" ht="15.75" customHeight="1" x14ac:dyDescent="0.25">
      <c r="B89" s="5">
        <v>45740</v>
      </c>
      <c r="C89" s="39">
        <v>23519.349609375</v>
      </c>
      <c r="D89" s="6">
        <f t="shared" si="6"/>
        <v>7.2353885125597817E-3</v>
      </c>
      <c r="F89" s="39">
        <v>1270.027587890625</v>
      </c>
      <c r="G89" s="6">
        <f t="shared" si="7"/>
        <v>-9.7932979427706179E-4</v>
      </c>
      <c r="I89" s="39">
        <v>245.09178161621091</v>
      </c>
      <c r="J89" s="6">
        <f t="shared" si="8"/>
        <v>1.6335310005859638E-2</v>
      </c>
      <c r="L89" s="39">
        <v>387.17550659179688</v>
      </c>
      <c r="M89" s="6">
        <f t="shared" si="9"/>
        <v>-1.776018390314793E-2</v>
      </c>
      <c r="O89" s="39">
        <v>124.99582672119141</v>
      </c>
      <c r="P89" s="6">
        <f t="shared" si="10"/>
        <v>-2.8971159883600661E-2</v>
      </c>
      <c r="R89" s="39">
        <v>274.33901977539063</v>
      </c>
      <c r="S89" s="6">
        <f t="shared" si="11"/>
        <v>-4.2551159974638653E-3</v>
      </c>
    </row>
    <row r="90" spans="2:19" ht="15.75" customHeight="1" x14ac:dyDescent="0.25">
      <c r="B90" s="5">
        <v>45747</v>
      </c>
      <c r="C90" s="39">
        <v>22904.44921875</v>
      </c>
      <c r="D90" s="6">
        <f t="shared" si="6"/>
        <v>-2.6144447054772924E-2</v>
      </c>
      <c r="F90" s="39">
        <v>1199.907592773438</v>
      </c>
      <c r="G90" s="6">
        <f t="shared" si="7"/>
        <v>-5.5211395237207861E-2</v>
      </c>
      <c r="I90" s="39">
        <v>224.8282775878906</v>
      </c>
      <c r="J90" s="6">
        <f t="shared" si="8"/>
        <v>-8.2677207267810027E-2</v>
      </c>
      <c r="L90" s="39">
        <v>374.38955688476563</v>
      </c>
      <c r="M90" s="6">
        <f t="shared" si="9"/>
        <v>-3.3023653328648206E-2</v>
      </c>
      <c r="O90" s="39">
        <v>127.3841552734375</v>
      </c>
      <c r="P90" s="6">
        <f t="shared" si="10"/>
        <v>1.9107266337566431E-2</v>
      </c>
      <c r="R90" s="39">
        <v>275.30447387695313</v>
      </c>
      <c r="S90" s="6">
        <f t="shared" si="11"/>
        <v>3.5192008134787844E-3</v>
      </c>
    </row>
    <row r="91" spans="2:19" ht="15.75" customHeight="1" x14ac:dyDescent="0.25">
      <c r="B91" s="5">
        <v>45754</v>
      </c>
      <c r="C91" s="39">
        <v>22828.55078125</v>
      </c>
      <c r="D91" s="6">
        <f t="shared" si="6"/>
        <v>-3.3136984336592512E-3</v>
      </c>
      <c r="F91" s="39">
        <v>1214.100952148438</v>
      </c>
      <c r="G91" s="6">
        <f t="shared" si="7"/>
        <v>1.182871036109856E-2</v>
      </c>
      <c r="I91" s="39">
        <v>229.16548156738281</v>
      </c>
      <c r="J91" s="6">
        <f t="shared" si="8"/>
        <v>1.9291185370562181E-2</v>
      </c>
      <c r="L91" s="39">
        <v>381.244384765625</v>
      </c>
      <c r="M91" s="6">
        <f t="shared" si="9"/>
        <v>1.8309345853279924E-2</v>
      </c>
      <c r="O91" s="39">
        <v>129.03837585449219</v>
      </c>
      <c r="P91" s="6">
        <f t="shared" si="10"/>
        <v>1.2986078036972604E-2</v>
      </c>
      <c r="R91" s="39">
        <v>288.85052490234381</v>
      </c>
      <c r="S91" s="6">
        <f t="shared" si="11"/>
        <v>4.920388991369995E-2</v>
      </c>
    </row>
    <row r="92" spans="2:19" ht="15.75" customHeight="1" x14ac:dyDescent="0.25">
      <c r="B92" s="5">
        <v>45761</v>
      </c>
      <c r="C92" s="39">
        <v>23851.650390625</v>
      </c>
      <c r="D92" s="6">
        <f t="shared" si="6"/>
        <v>4.4816669230502093E-2</v>
      </c>
      <c r="F92" s="39">
        <v>1269.430053710938</v>
      </c>
      <c r="G92" s="6">
        <f t="shared" si="7"/>
        <v>4.5572076576162246E-2</v>
      </c>
      <c r="I92" s="39">
        <v>242.21690368652341</v>
      </c>
      <c r="J92" s="6">
        <f t="shared" si="8"/>
        <v>5.6951954674303806E-2</v>
      </c>
      <c r="L92" s="39">
        <v>387.80752563476563</v>
      </c>
      <c r="M92" s="6">
        <f t="shared" si="9"/>
        <v>1.7215049273907157E-2</v>
      </c>
      <c r="O92" s="39">
        <v>131.45606994628909</v>
      </c>
      <c r="P92" s="6">
        <f t="shared" si="10"/>
        <v>1.8736240872429866E-2</v>
      </c>
      <c r="R92" s="39">
        <v>293.92410278320313</v>
      </c>
      <c r="S92" s="6">
        <f t="shared" si="11"/>
        <v>1.7564717538853802E-2</v>
      </c>
    </row>
    <row r="93" spans="2:19" ht="15.75" customHeight="1" x14ac:dyDescent="0.25">
      <c r="B93" s="5">
        <v>45768</v>
      </c>
      <c r="C93" s="39">
        <v>24039.349609375</v>
      </c>
      <c r="D93" s="6">
        <f t="shared" si="6"/>
        <v>7.8694436517390276E-3</v>
      </c>
      <c r="F93" s="39">
        <v>1295.22705078125</v>
      </c>
      <c r="G93" s="6">
        <f t="shared" si="7"/>
        <v>2.0321716029094716E-2</v>
      </c>
      <c r="I93" s="39">
        <v>245.04205322265619</v>
      </c>
      <c r="J93" s="6">
        <f t="shared" si="8"/>
        <v>1.1663717490952186E-2</v>
      </c>
      <c r="L93" s="39">
        <v>382.26531982421881</v>
      </c>
      <c r="M93" s="6">
        <f t="shared" si="9"/>
        <v>-1.4291124963279889E-2</v>
      </c>
      <c r="O93" s="39">
        <v>131.79864501953119</v>
      </c>
      <c r="P93" s="6">
        <f t="shared" si="10"/>
        <v>2.6060042216542456E-3</v>
      </c>
      <c r="R93" s="39">
        <v>291.31341552734381</v>
      </c>
      <c r="S93" s="6">
        <f t="shared" si="11"/>
        <v>-8.8821815942905502E-3</v>
      </c>
    </row>
    <row r="94" spans="2:19" ht="15.75" customHeight="1" x14ac:dyDescent="0.25">
      <c r="B94" s="5">
        <v>45775</v>
      </c>
      <c r="C94" s="39">
        <v>24346.69921875</v>
      </c>
      <c r="D94" s="6">
        <f t="shared" si="6"/>
        <v>1.2785271414129218E-2</v>
      </c>
      <c r="F94" s="39">
        <v>1414.152099609375</v>
      </c>
      <c r="G94" s="6">
        <f t="shared" si="7"/>
        <v>9.1817916215070072E-2</v>
      </c>
      <c r="I94" s="39">
        <v>241.4708251953125</v>
      </c>
      <c r="J94" s="6">
        <f t="shared" si="8"/>
        <v>-1.4573939372352185E-2</v>
      </c>
      <c r="L94" s="39">
        <v>372.88247680664063</v>
      </c>
      <c r="M94" s="6">
        <f t="shared" si="9"/>
        <v>-2.454536818012365E-2</v>
      </c>
      <c r="O94" s="39">
        <v>139.95225524902341</v>
      </c>
      <c r="P94" s="6">
        <f t="shared" si="10"/>
        <v>6.1864143051576503E-2</v>
      </c>
      <c r="R94" s="39">
        <v>306.780517578125</v>
      </c>
      <c r="S94" s="6">
        <f t="shared" si="11"/>
        <v>5.3094369247575601E-2</v>
      </c>
    </row>
    <row r="95" spans="2:19" ht="15.75" customHeight="1" x14ac:dyDescent="0.25">
      <c r="B95" s="5">
        <v>45782</v>
      </c>
      <c r="C95" s="39">
        <v>24008</v>
      </c>
      <c r="D95" s="6">
        <f t="shared" si="6"/>
        <v>-1.391150462355728E-2</v>
      </c>
      <c r="F95" s="39">
        <v>1371.721435546875</v>
      </c>
      <c r="G95" s="6">
        <f t="shared" si="7"/>
        <v>-3.0004314298455181E-2</v>
      </c>
      <c r="I95" s="39">
        <v>233.73150634765619</v>
      </c>
      <c r="J95" s="6">
        <f t="shared" si="8"/>
        <v>-3.2050740876859107E-2</v>
      </c>
      <c r="L95" s="39">
        <v>371.81292724609381</v>
      </c>
      <c r="M95" s="6">
        <f t="shared" si="9"/>
        <v>-2.8683288356868841E-3</v>
      </c>
      <c r="O95" s="39">
        <v>137.02557373046881</v>
      </c>
      <c r="P95" s="6">
        <f t="shared" si="10"/>
        <v>-2.0911999691230587E-2</v>
      </c>
      <c r="R95" s="39">
        <v>302.29800415039063</v>
      </c>
      <c r="S95" s="6">
        <f t="shared" si="11"/>
        <v>-1.4611467061603212E-2</v>
      </c>
    </row>
    <row r="96" spans="2:19" ht="15.75" customHeight="1" x14ac:dyDescent="0.25">
      <c r="B96" s="5">
        <v>45789</v>
      </c>
      <c r="C96" s="39">
        <v>25019.80078125</v>
      </c>
      <c r="D96" s="6">
        <f t="shared" si="6"/>
        <v>4.2144317779490237E-2</v>
      </c>
      <c r="F96" s="39">
        <v>1450.6064453125</v>
      </c>
      <c r="G96" s="6">
        <f t="shared" si="7"/>
        <v>5.7508038965779829E-2</v>
      </c>
      <c r="I96" s="39">
        <v>245.97712707519531</v>
      </c>
      <c r="J96" s="6">
        <f t="shared" si="8"/>
        <v>5.2391827353068798E-2</v>
      </c>
      <c r="L96" s="39">
        <v>393.5927734375</v>
      </c>
      <c r="M96" s="6">
        <f t="shared" si="9"/>
        <v>5.8577431270943059E-2</v>
      </c>
      <c r="O96" s="39">
        <v>141.65541076660159</v>
      </c>
      <c r="P96" s="6">
        <f t="shared" si="10"/>
        <v>3.3788123706307127E-2</v>
      </c>
      <c r="R96" s="39">
        <v>315.35147094726563</v>
      </c>
      <c r="S96" s="6">
        <f t="shared" si="11"/>
        <v>4.318079053668189E-2</v>
      </c>
    </row>
    <row r="97" spans="2:19" ht="15.75" customHeight="1" x14ac:dyDescent="0.25">
      <c r="B97" s="5">
        <v>45796</v>
      </c>
      <c r="C97" s="39">
        <v>24853.150390625</v>
      </c>
      <c r="D97" s="6">
        <f t="shared" si="6"/>
        <v>-6.6607401106841824E-3</v>
      </c>
      <c r="F97" s="39">
        <v>1421.124267578125</v>
      </c>
      <c r="G97" s="6">
        <f t="shared" si="7"/>
        <v>-2.0324036081353358E-2</v>
      </c>
      <c r="I97" s="39">
        <v>242.9629821777344</v>
      </c>
      <c r="J97" s="6">
        <f t="shared" si="8"/>
        <v>-1.2253760881350106E-2</v>
      </c>
      <c r="L97" s="39">
        <v>390.38412475585938</v>
      </c>
      <c r="M97" s="6">
        <f t="shared" si="9"/>
        <v>-8.1522042531864125E-3</v>
      </c>
      <c r="O97" s="39">
        <v>141.00938415527341</v>
      </c>
      <c r="P97" s="6">
        <f t="shared" si="10"/>
        <v>-4.5605501959442574E-3</v>
      </c>
      <c r="R97" s="39">
        <v>314.16925048828119</v>
      </c>
      <c r="S97" s="6">
        <f t="shared" si="11"/>
        <v>-3.7488978739602663E-3</v>
      </c>
    </row>
    <row r="98" spans="2:19" ht="15.75" customHeight="1" x14ac:dyDescent="0.25">
      <c r="B98" s="5">
        <v>45803</v>
      </c>
      <c r="C98" s="39">
        <v>24750.69921875</v>
      </c>
      <c r="D98" s="6">
        <f t="shared" si="6"/>
        <v>-4.1222609715364511E-3</v>
      </c>
      <c r="F98" s="39">
        <v>1415.247680664062</v>
      </c>
      <c r="G98" s="6">
        <f t="shared" si="7"/>
        <v>-4.1351675206263705E-3</v>
      </c>
      <c r="I98" s="39">
        <v>238.14826965332031</v>
      </c>
      <c r="J98" s="6">
        <f t="shared" si="8"/>
        <v>-1.9816650591208185E-2</v>
      </c>
      <c r="L98" s="39">
        <v>386.3004150390625</v>
      </c>
      <c r="M98" s="6">
        <f t="shared" si="9"/>
        <v>-1.0460747396812686E-2</v>
      </c>
      <c r="O98" s="39">
        <v>138.9636535644531</v>
      </c>
      <c r="P98" s="6">
        <f t="shared" si="10"/>
        <v>-1.4507762040628758E-2</v>
      </c>
      <c r="R98" s="39">
        <v>313.67666625976563</v>
      </c>
      <c r="S98" s="6">
        <f t="shared" si="11"/>
        <v>-1.567894463732511E-3</v>
      </c>
    </row>
    <row r="99" spans="2:19" ht="15.75" customHeight="1" x14ac:dyDescent="0.25">
      <c r="B99" s="5">
        <v>45810</v>
      </c>
      <c r="C99" s="39">
        <v>25003.05078125</v>
      </c>
      <c r="D99" s="6">
        <f t="shared" si="6"/>
        <v>1.0195734684894431E-2</v>
      </c>
      <c r="F99" s="39">
        <v>1437.757690429688</v>
      </c>
      <c r="G99" s="6">
        <f t="shared" si="7"/>
        <v>1.5905350048031064E-2</v>
      </c>
      <c r="I99" s="39">
        <v>238.80482482910159</v>
      </c>
      <c r="J99" s="6">
        <f t="shared" si="8"/>
        <v>2.7569176829924658E-3</v>
      </c>
      <c r="L99" s="39">
        <v>387.90475463867188</v>
      </c>
      <c r="M99" s="6">
        <f t="shared" si="9"/>
        <v>4.1530879521503028E-3</v>
      </c>
      <c r="O99" s="39">
        <v>137.79884338378909</v>
      </c>
      <c r="P99" s="6">
        <f t="shared" si="10"/>
        <v>-8.3821211574849341E-3</v>
      </c>
      <c r="R99" s="39">
        <v>312.00189208984381</v>
      </c>
      <c r="S99" s="6">
        <f t="shared" si="11"/>
        <v>-5.3391735824394049E-3</v>
      </c>
    </row>
    <row r="100" spans="2:19" ht="15.75" customHeight="1" x14ac:dyDescent="0.25">
      <c r="B100" s="5">
        <v>45817</v>
      </c>
      <c r="C100" s="39">
        <v>24718.599609375</v>
      </c>
      <c r="D100" s="6">
        <f t="shared" si="6"/>
        <v>-1.1376658567134212E-2</v>
      </c>
      <c r="F100" s="39">
        <v>1422.219848632812</v>
      </c>
      <c r="G100" s="6">
        <f t="shared" si="7"/>
        <v>-1.0806996130364843E-2</v>
      </c>
      <c r="I100" s="39">
        <v>250.19496154785159</v>
      </c>
      <c r="J100" s="6">
        <f t="shared" si="8"/>
        <v>4.7696426263168057E-2</v>
      </c>
      <c r="L100" s="39">
        <v>380.36932373046881</v>
      </c>
      <c r="M100" s="6">
        <f t="shared" si="9"/>
        <v>-1.9425982327084923E-2</v>
      </c>
      <c r="O100" s="39">
        <v>137.3681640625</v>
      </c>
      <c r="P100" s="6">
        <f t="shared" si="10"/>
        <v>-3.1254204368724725E-3</v>
      </c>
      <c r="R100" s="39">
        <v>307.66714477539063</v>
      </c>
      <c r="S100" s="6">
        <f t="shared" si="11"/>
        <v>-1.3893336625038666E-2</v>
      </c>
    </row>
    <row r="101" spans="2:19" ht="15.75" customHeight="1" x14ac:dyDescent="0.25">
      <c r="B101" s="5">
        <v>45824</v>
      </c>
      <c r="C101" s="39">
        <v>25112.400390625</v>
      </c>
      <c r="D101" s="6">
        <f t="shared" si="6"/>
        <v>1.5931354828881306E-2</v>
      </c>
      <c r="F101" s="39">
        <v>1460.367431640625</v>
      </c>
      <c r="G101" s="6">
        <f t="shared" si="7"/>
        <v>2.682256406735184E-2</v>
      </c>
      <c r="I101" s="39">
        <v>250.5729675292969</v>
      </c>
      <c r="J101" s="6">
        <f t="shared" si="8"/>
        <v>1.51084569851756E-3</v>
      </c>
      <c r="L101" s="39">
        <v>378.27883911132813</v>
      </c>
      <c r="M101" s="6">
        <f t="shared" si="9"/>
        <v>-5.4959337904494365E-3</v>
      </c>
      <c r="O101" s="39">
        <v>135.71394348144531</v>
      </c>
      <c r="P101" s="6">
        <f t="shared" si="10"/>
        <v>-1.2042241318025115E-2</v>
      </c>
      <c r="R101" s="39">
        <v>308.849365234375</v>
      </c>
      <c r="S101" s="6">
        <f t="shared" si="11"/>
        <v>3.8425307318643576E-3</v>
      </c>
    </row>
    <row r="102" spans="2:19" ht="15.75" customHeight="1" x14ac:dyDescent="0.25">
      <c r="B102" s="5">
        <v>45831</v>
      </c>
      <c r="C102" s="39">
        <v>25637.80078125</v>
      </c>
      <c r="D102" s="6">
        <f t="shared" si="6"/>
        <v>2.092195020995069E-2</v>
      </c>
      <c r="F102" s="39">
        <v>1509.371704101562</v>
      </c>
      <c r="G102" s="6">
        <f t="shared" si="7"/>
        <v>3.3556125259438296E-2</v>
      </c>
      <c r="I102" s="39">
        <v>241.56034851074219</v>
      </c>
      <c r="J102" s="6">
        <f t="shared" si="8"/>
        <v>-3.5968041993599931E-2</v>
      </c>
      <c r="L102" s="39">
        <v>383.23764038085938</v>
      </c>
      <c r="M102" s="6">
        <f t="shared" si="9"/>
        <v>1.3108851875459626E-2</v>
      </c>
      <c r="O102" s="39">
        <v>144.10247802734381</v>
      </c>
      <c r="P102" s="6">
        <f t="shared" si="10"/>
        <v>6.1810410417006079E-2</v>
      </c>
      <c r="R102" s="39">
        <v>328.06008911132813</v>
      </c>
      <c r="S102" s="6">
        <f t="shared" si="11"/>
        <v>6.2200949846132225E-2</v>
      </c>
    </row>
    <row r="103" spans="2:19" ht="15.75" customHeight="1" x14ac:dyDescent="0.25">
      <c r="B103" s="5">
        <v>45838</v>
      </c>
      <c r="C103" s="39">
        <v>25461</v>
      </c>
      <c r="D103" s="6">
        <f t="shared" si="6"/>
        <v>-6.896097787736255E-3</v>
      </c>
      <c r="F103" s="39">
        <v>1521.224487304688</v>
      </c>
      <c r="G103" s="6">
        <f t="shared" si="7"/>
        <v>7.8527927686182775E-3</v>
      </c>
      <c r="I103" s="39">
        <v>243.95774841308591</v>
      </c>
      <c r="J103" s="6">
        <f t="shared" si="8"/>
        <v>9.9246416770140122E-3</v>
      </c>
      <c r="L103" s="39">
        <v>375.4105224609375</v>
      </c>
      <c r="M103" s="6">
        <f t="shared" si="9"/>
        <v>-2.042366692411357E-2</v>
      </c>
      <c r="O103" s="39">
        <v>148.40928649902341</v>
      </c>
      <c r="P103" s="6">
        <f t="shared" si="10"/>
        <v>2.98871229047315E-2</v>
      </c>
      <c r="R103" s="39">
        <v>341.06427001953119</v>
      </c>
      <c r="S103" s="6">
        <f t="shared" si="11"/>
        <v>3.9639631091455518E-2</v>
      </c>
    </row>
    <row r="104" spans="2:19" ht="15.75" customHeight="1" x14ac:dyDescent="0.25">
      <c r="B104" s="5">
        <v>45845</v>
      </c>
      <c r="C104" s="39">
        <v>25149.849609375</v>
      </c>
      <c r="D104" s="6">
        <f t="shared" si="6"/>
        <v>-1.2220666534111024E-2</v>
      </c>
      <c r="F104" s="39">
        <v>1489.252075195312</v>
      </c>
      <c r="G104" s="6">
        <f t="shared" si="7"/>
        <v>-2.1017550253891071E-2</v>
      </c>
      <c r="I104" s="39">
        <v>240.49592590332031</v>
      </c>
      <c r="J104" s="6">
        <f t="shared" si="8"/>
        <v>-1.4190254387426937E-2</v>
      </c>
      <c r="L104" s="39">
        <v>370.403076171875</v>
      </c>
      <c r="M104" s="6">
        <f t="shared" si="9"/>
        <v>-1.3338587997579476E-2</v>
      </c>
      <c r="O104" s="39">
        <v>147.4598388671875</v>
      </c>
      <c r="P104" s="6">
        <f t="shared" si="10"/>
        <v>-6.3974947540911264E-3</v>
      </c>
      <c r="R104" s="39">
        <v>339.73431396484381</v>
      </c>
      <c r="S104" s="6">
        <f t="shared" si="11"/>
        <v>-3.8994294377749927E-3</v>
      </c>
    </row>
    <row r="105" spans="2:19" ht="15.75" customHeight="1" x14ac:dyDescent="0.25">
      <c r="B105" s="5">
        <v>45852</v>
      </c>
      <c r="C105" s="39">
        <v>24968.400390625</v>
      </c>
      <c r="D105" s="6">
        <f t="shared" si="6"/>
        <v>-7.2147238082235221E-3</v>
      </c>
      <c r="F105" s="39">
        <v>1470.12841796875</v>
      </c>
      <c r="G105" s="6">
        <f t="shared" si="7"/>
        <v>-1.2841115043639606E-2</v>
      </c>
      <c r="I105" s="39">
        <v>245.02214050292969</v>
      </c>
      <c r="J105" s="6">
        <f t="shared" si="8"/>
        <v>1.8820337943807441E-2</v>
      </c>
      <c r="L105" s="39">
        <v>377.74404907226563</v>
      </c>
      <c r="M105" s="6">
        <f t="shared" si="9"/>
        <v>1.9818876711985567E-2</v>
      </c>
      <c r="O105" s="39">
        <v>146.88232421875</v>
      </c>
      <c r="P105" s="6">
        <f t="shared" si="10"/>
        <v>-3.9164199071020089E-3</v>
      </c>
      <c r="R105" s="39">
        <v>338.40432739257813</v>
      </c>
      <c r="S105" s="6">
        <f t="shared" si="11"/>
        <v>-3.9147843405753502E-3</v>
      </c>
    </row>
    <row r="106" spans="2:19" ht="15.75" customHeight="1" x14ac:dyDescent="0.25">
      <c r="B106" s="5">
        <v>45859</v>
      </c>
      <c r="C106" s="39">
        <v>24837</v>
      </c>
      <c r="D106" s="6">
        <f t="shared" si="6"/>
        <v>-5.2626675545597301E-3</v>
      </c>
      <c r="F106" s="39">
        <v>1386.163696289062</v>
      </c>
      <c r="G106" s="6">
        <f t="shared" si="7"/>
        <v>-5.7113868865755646E-2</v>
      </c>
      <c r="I106" s="39">
        <v>239.03361511230469</v>
      </c>
      <c r="J106" s="6">
        <f t="shared" si="8"/>
        <v>-2.4440752081967054E-2</v>
      </c>
      <c r="L106" s="39">
        <v>370.25723266601563</v>
      </c>
      <c r="M106" s="6">
        <f t="shared" si="9"/>
        <v>-1.9819812978225659E-2</v>
      </c>
      <c r="O106" s="39">
        <v>143.8479919433594</v>
      </c>
      <c r="P106" s="6">
        <f t="shared" si="10"/>
        <v>-2.065825341156502E-2</v>
      </c>
      <c r="R106" s="39">
        <v>327.9615478515625</v>
      </c>
      <c r="S106" s="6">
        <f t="shared" si="11"/>
        <v>-3.0858882986153691E-2</v>
      </c>
    </row>
    <row r="107" spans="2:19" ht="15.75" customHeight="1" x14ac:dyDescent="0.25">
      <c r="B107" s="5">
        <v>45866</v>
      </c>
      <c r="C107" s="39">
        <v>24565.349609375</v>
      </c>
      <c r="D107" s="6">
        <f t="shared" si="6"/>
        <v>-1.0937326997020547E-2</v>
      </c>
      <c r="F107" s="39">
        <v>1388.15576171875</v>
      </c>
      <c r="G107" s="6">
        <f t="shared" si="7"/>
        <v>1.4371069124237135E-3</v>
      </c>
      <c r="I107" s="39">
        <v>235.55192565917969</v>
      </c>
      <c r="J107" s="6">
        <f t="shared" si="8"/>
        <v>-1.4565689647831337E-2</v>
      </c>
      <c r="L107" s="39">
        <v>362.18701171875</v>
      </c>
      <c r="M107" s="6">
        <f t="shared" si="9"/>
        <v>-2.1796254698811635E-2</v>
      </c>
      <c r="O107" s="39">
        <v>138.0435485839844</v>
      </c>
      <c r="P107" s="6">
        <f t="shared" si="10"/>
        <v>-4.0351229662354382E-2</v>
      </c>
      <c r="R107" s="39">
        <v>313.13482666015619</v>
      </c>
      <c r="S107" s="6">
        <f t="shared" si="11"/>
        <v>-4.5208718182160101E-2</v>
      </c>
    </row>
    <row r="108" spans="2:19" ht="15.75" customHeight="1" x14ac:dyDescent="0.25">
      <c r="B108" s="5">
        <v>45873</v>
      </c>
      <c r="C108" s="39">
        <v>24363.30078125</v>
      </c>
      <c r="D108" s="6">
        <f t="shared" si="6"/>
        <v>-8.2249522737462E-3</v>
      </c>
      <c r="F108" s="39">
        <v>1362.35888671875</v>
      </c>
      <c r="G108" s="6">
        <f t="shared" si="7"/>
        <v>-1.8583559360845436E-2</v>
      </c>
      <c r="I108" s="39">
        <v>232.21943664550781</v>
      </c>
      <c r="J108" s="6">
        <f t="shared" si="8"/>
        <v>-1.4147577033582159E-2</v>
      </c>
      <c r="L108" s="39">
        <v>369.18771362304688</v>
      </c>
      <c r="M108" s="6">
        <f t="shared" si="9"/>
        <v>1.9328970056312178E-2</v>
      </c>
      <c r="O108" s="39">
        <v>136.947265625</v>
      </c>
      <c r="P108" s="6">
        <f t="shared" si="10"/>
        <v>-7.9415732950203211E-3</v>
      </c>
      <c r="R108" s="39">
        <v>319.45001220703119</v>
      </c>
      <c r="S108" s="6">
        <f t="shared" si="11"/>
        <v>2.0167624324102462E-2</v>
      </c>
    </row>
    <row r="109" spans="2:19" ht="15.75" customHeight="1" x14ac:dyDescent="0.25">
      <c r="B109" s="5">
        <v>45880</v>
      </c>
      <c r="C109" s="39">
        <v>24631.30078125</v>
      </c>
      <c r="D109" s="6">
        <f t="shared" si="6"/>
        <v>1.1000151515029977E-2</v>
      </c>
      <c r="F109" s="39">
        <v>1368.335083007812</v>
      </c>
      <c r="G109" s="6">
        <f t="shared" si="7"/>
        <v>4.3866534342178465E-3</v>
      </c>
      <c r="I109" s="39">
        <v>235.7011413574219</v>
      </c>
      <c r="J109" s="6">
        <f t="shared" si="8"/>
        <v>1.4993166645344447E-2</v>
      </c>
      <c r="L109" s="39">
        <v>379.3033447265625</v>
      </c>
      <c r="M109" s="6">
        <f t="shared" si="9"/>
        <v>2.7399695954790193E-2</v>
      </c>
      <c r="O109" s="39">
        <v>140.1300048828125</v>
      </c>
      <c r="P109" s="6">
        <f t="shared" si="10"/>
        <v>2.3240619250681105E-2</v>
      </c>
      <c r="R109" s="39">
        <v>318.04998779296881</v>
      </c>
      <c r="S109" s="6">
        <f t="shared" si="11"/>
        <v>-4.3826087355258725E-3</v>
      </c>
    </row>
    <row r="110" spans="2:19" ht="15.75" customHeight="1" x14ac:dyDescent="0.25">
      <c r="B110" s="5">
        <v>45887</v>
      </c>
      <c r="C110" s="39">
        <v>24870.099609375</v>
      </c>
      <c r="D110" s="6">
        <f t="shared" si="6"/>
        <v>9.6949337043044093E-3</v>
      </c>
      <c r="F110" s="39">
        <v>1409.199951171875</v>
      </c>
      <c r="G110" s="6">
        <f t="shared" si="7"/>
        <v>2.9864664490101056E-2</v>
      </c>
      <c r="I110" s="39">
        <v>235.0545349121094</v>
      </c>
      <c r="J110" s="6">
        <f t="shared" si="8"/>
        <v>-2.7433318378886629E-3</v>
      </c>
      <c r="L110" s="39">
        <v>369.43722534179688</v>
      </c>
      <c r="M110" s="6">
        <f t="shared" si="9"/>
        <v>-2.6011158409051327E-2</v>
      </c>
      <c r="O110" s="39">
        <v>139.94999694824219</v>
      </c>
      <c r="P110" s="6">
        <f t="shared" si="10"/>
        <v>-1.2845780938982587E-3</v>
      </c>
      <c r="R110" s="39">
        <v>316.45001220703119</v>
      </c>
      <c r="S110" s="6">
        <f t="shared" si="11"/>
        <v>-5.0305789886686547E-3</v>
      </c>
    </row>
    <row r="111" spans="2:19" ht="15.75" customHeight="1" x14ac:dyDescent="0.25">
      <c r="B111" s="5">
        <v>45894</v>
      </c>
      <c r="C111" s="39">
        <v>24426.849609375</v>
      </c>
      <c r="D111" s="6">
        <f t="shared" si="6"/>
        <v>-1.7822606542070796E-2</v>
      </c>
      <c r="F111" s="39">
        <v>1357.199951171875</v>
      </c>
      <c r="G111" s="6">
        <f t="shared" si="7"/>
        <v>-3.6900370282270667E-2</v>
      </c>
      <c r="I111" s="39">
        <v>232.488037109375</v>
      </c>
      <c r="J111" s="6">
        <f t="shared" si="8"/>
        <v>-1.0918733406671155E-2</v>
      </c>
      <c r="L111" s="39">
        <v>374.79998779296881</v>
      </c>
      <c r="M111" s="6">
        <f t="shared" si="9"/>
        <v>1.4516031637608728E-2</v>
      </c>
      <c r="O111" s="39">
        <v>136.6199951171875</v>
      </c>
      <c r="P111" s="6">
        <f t="shared" si="10"/>
        <v>-2.3794225821142545E-2</v>
      </c>
      <c r="R111" s="39">
        <v>308.20001220703119</v>
      </c>
      <c r="S111" s="6">
        <f t="shared" si="11"/>
        <v>-2.607046826278081E-2</v>
      </c>
    </row>
    <row r="112" spans="2:19" ht="15.75" customHeight="1" x14ac:dyDescent="0.25">
      <c r="B112" s="5">
        <v>45901</v>
      </c>
      <c r="C112" s="39">
        <v>24741</v>
      </c>
      <c r="D112" s="6">
        <f t="shared" si="6"/>
        <v>1.2860863993874538E-2</v>
      </c>
      <c r="F112" s="39">
        <v>1375</v>
      </c>
      <c r="G112" s="6">
        <f t="shared" si="7"/>
        <v>1.3115273702121399E-2</v>
      </c>
      <c r="I112" s="39">
        <v>232.90583801269531</v>
      </c>
      <c r="J112" s="6">
        <f t="shared" si="8"/>
        <v>1.7970855985323109E-3</v>
      </c>
      <c r="L112" s="39">
        <v>392.64999389648438</v>
      </c>
      <c r="M112" s="6">
        <f t="shared" si="9"/>
        <v>4.7625418049307644E-2</v>
      </c>
      <c r="O112" s="39">
        <v>139.6499938964844</v>
      </c>
      <c r="P112" s="6">
        <f t="shared" si="10"/>
        <v>2.2178296644630224E-2</v>
      </c>
      <c r="R112" s="39">
        <v>312.5</v>
      </c>
      <c r="S112" s="6">
        <f t="shared" si="11"/>
        <v>1.3951939074163144E-2</v>
      </c>
    </row>
    <row r="113" spans="2:19" ht="15.75" customHeight="1" x14ac:dyDescent="0.25">
      <c r="B113" s="5">
        <v>45908</v>
      </c>
      <c r="C113" s="39">
        <v>25114</v>
      </c>
      <c r="D113" s="6">
        <f t="shared" si="6"/>
        <v>1.5076189321369338E-2</v>
      </c>
      <c r="F113" s="39">
        <v>1395</v>
      </c>
      <c r="G113" s="6">
        <f t="shared" si="7"/>
        <v>1.4545454545454639E-2</v>
      </c>
      <c r="I113" s="39">
        <v>233.25</v>
      </c>
      <c r="J113" s="6">
        <f t="shared" si="8"/>
        <v>1.4776872500976701E-3</v>
      </c>
      <c r="L113" s="39">
        <v>394.35000610351563</v>
      </c>
      <c r="M113" s="6">
        <f t="shared" si="9"/>
        <v>4.3295867399897325E-3</v>
      </c>
      <c r="O113" s="39">
        <v>142.61000061035159</v>
      </c>
      <c r="P113" s="6">
        <f t="shared" si="10"/>
        <v>2.1195895762525341E-2</v>
      </c>
      <c r="R113" s="39">
        <v>318</v>
      </c>
      <c r="S113" s="6">
        <f t="shared" si="11"/>
        <v>1.760000000000006E-2</v>
      </c>
    </row>
    <row r="114" spans="2:19" ht="15.75" customHeight="1" x14ac:dyDescent="0.25">
      <c r="B114" s="5">
        <v>45915</v>
      </c>
      <c r="C114" s="39">
        <v>25327.05078125</v>
      </c>
      <c r="D114" s="6">
        <f t="shared" si="6"/>
        <v>8.483347186827972E-3</v>
      </c>
      <c r="F114" s="39">
        <v>1407.400024414062</v>
      </c>
      <c r="G114" s="6">
        <f t="shared" si="7"/>
        <v>8.8889063900086107E-3</v>
      </c>
      <c r="I114" s="39">
        <v>236.69000244140619</v>
      </c>
      <c r="J114" s="6">
        <f t="shared" si="8"/>
        <v>1.4748134797025525E-2</v>
      </c>
      <c r="L114" s="39">
        <v>394.5</v>
      </c>
      <c r="M114" s="6">
        <f t="shared" si="9"/>
        <v>3.8035728201557539E-4</v>
      </c>
      <c r="O114" s="39">
        <v>148.5</v>
      </c>
      <c r="P114" s="6">
        <f t="shared" si="10"/>
        <v>4.1301447054484353E-2</v>
      </c>
      <c r="R114" s="39">
        <v>329.54998779296881</v>
      </c>
      <c r="S114" s="6">
        <f t="shared" si="11"/>
        <v>3.6320716330090486E-2</v>
      </c>
    </row>
    <row r="115" spans="2:19" ht="15.75" customHeight="1" x14ac:dyDescent="0.25">
      <c r="B115" s="5">
        <v>45922</v>
      </c>
      <c r="C115" s="39">
        <v>24654.69921875</v>
      </c>
      <c r="D115" s="6">
        <f t="shared" si="6"/>
        <v>-2.6546776737138011E-2</v>
      </c>
      <c r="F115" s="39">
        <v>1377.599975585938</v>
      </c>
      <c r="G115" s="6">
        <f t="shared" si="7"/>
        <v>-2.1173829978104908E-2</v>
      </c>
      <c r="I115" s="39">
        <v>238.02000427246091</v>
      </c>
      <c r="J115" s="6">
        <f t="shared" si="8"/>
        <v>5.619171985872029E-3</v>
      </c>
      <c r="L115" s="39">
        <v>389.14999389648438</v>
      </c>
      <c r="M115" s="6">
        <f t="shared" si="9"/>
        <v>-1.356148568698512E-2</v>
      </c>
      <c r="O115" s="39">
        <v>145.03999328613281</v>
      </c>
      <c r="P115" s="6">
        <f t="shared" si="10"/>
        <v>-2.3299708510890138E-2</v>
      </c>
      <c r="R115" s="39">
        <v>324.35000610351563</v>
      </c>
      <c r="S115" s="6">
        <f t="shared" si="11"/>
        <v>-1.5779037724376832E-2</v>
      </c>
    </row>
    <row r="116" spans="2:19" ht="15.75" customHeight="1" x14ac:dyDescent="0.25">
      <c r="B116" s="5">
        <v>45929</v>
      </c>
      <c r="C116" s="39">
        <v>24894.25</v>
      </c>
      <c r="D116" s="6">
        <f t="shared" si="6"/>
        <v>9.7162321521173656E-3</v>
      </c>
      <c r="F116" s="39">
        <v>1363.400024414062</v>
      </c>
      <c r="G116" s="6">
        <f t="shared" si="7"/>
        <v>-1.0307746387579808E-2</v>
      </c>
      <c r="I116" s="39">
        <v>243.6600036621094</v>
      </c>
      <c r="J116" s="6">
        <f t="shared" si="8"/>
        <v>2.3695484784515886E-2</v>
      </c>
      <c r="L116" s="39">
        <v>383.35000610351563</v>
      </c>
      <c r="M116" s="6">
        <f t="shared" si="9"/>
        <v>-1.4904247421141048E-2</v>
      </c>
      <c r="O116" s="39">
        <v>150.38999938964841</v>
      </c>
      <c r="P116" s="6">
        <f t="shared" si="10"/>
        <v>3.6886419961156269E-2</v>
      </c>
      <c r="R116" s="39">
        <v>341.54998779296881</v>
      </c>
      <c r="S116" s="6">
        <f t="shared" si="11"/>
        <v>5.3029077742529296E-2</v>
      </c>
    </row>
    <row r="117" spans="2:19" ht="15.75" customHeight="1" x14ac:dyDescent="0.25">
      <c r="B117" s="5">
        <v>45936</v>
      </c>
      <c r="C117" s="39">
        <v>25285.349609375</v>
      </c>
      <c r="D117" s="6">
        <f t="shared" si="6"/>
        <v>1.5710439534229792E-2</v>
      </c>
      <c r="F117" s="39">
        <v>1381.699951171875</v>
      </c>
      <c r="G117" s="6">
        <f t="shared" si="7"/>
        <v>1.3422272576001815E-2</v>
      </c>
      <c r="I117" s="39">
        <v>246.3399963378906</v>
      </c>
      <c r="J117" s="6">
        <f t="shared" si="8"/>
        <v>1.0998902714856706E-2</v>
      </c>
      <c r="L117" s="39">
        <v>384.5</v>
      </c>
      <c r="M117" s="6">
        <f t="shared" si="9"/>
        <v>2.999853601603597E-3</v>
      </c>
      <c r="O117" s="39">
        <v>154.11000061035159</v>
      </c>
      <c r="P117" s="6">
        <f t="shared" si="10"/>
        <v>2.4735695430551541E-2</v>
      </c>
      <c r="R117" s="39">
        <v>338.70001220703119</v>
      </c>
      <c r="S117" s="6">
        <f t="shared" si="11"/>
        <v>-8.3442415101625533E-3</v>
      </c>
    </row>
    <row r="118" spans="2:19" ht="15.75" customHeight="1" x14ac:dyDescent="0.25">
      <c r="B118" s="5">
        <v>45943</v>
      </c>
      <c r="C118" s="39">
        <v>25585.30078125</v>
      </c>
      <c r="D118" s="6">
        <f t="shared" si="6"/>
        <v>1.1862646809668309E-2</v>
      </c>
      <c r="F118" s="39">
        <v>1398.300048828125</v>
      </c>
      <c r="G118" s="6">
        <f t="shared" si="7"/>
        <v>1.2014256526658107E-2</v>
      </c>
      <c r="I118" s="39">
        <v>248.3500061035156</v>
      </c>
      <c r="J118" s="6">
        <f t="shared" si="8"/>
        <v>8.1594941767717533E-3</v>
      </c>
      <c r="L118" s="39">
        <v>387.60000610351563</v>
      </c>
      <c r="M118" s="6">
        <f t="shared" si="9"/>
        <v>8.062434599520385E-3</v>
      </c>
      <c r="O118" s="39">
        <v>153.66999816894531</v>
      </c>
      <c r="P118" s="6">
        <f t="shared" si="10"/>
        <v>-2.8551193281659559E-3</v>
      </c>
      <c r="R118" s="39">
        <v>335.89999389648438</v>
      </c>
      <c r="S118" s="6">
        <f t="shared" si="11"/>
        <v>-8.2669566271975636E-3</v>
      </c>
    </row>
    <row r="119" spans="2:19" ht="15.75" customHeight="1" x14ac:dyDescent="0.25">
      <c r="B119" s="5"/>
    </row>
    <row r="120" spans="2:19" ht="15.75" customHeight="1" x14ac:dyDescent="0.25">
      <c r="B120" s="5"/>
    </row>
    <row r="121" spans="2:19" ht="15.75" customHeight="1" x14ac:dyDescent="0.25">
      <c r="B121" s="5"/>
    </row>
    <row r="122" spans="2:19" ht="15.75" customHeight="1" x14ac:dyDescent="0.25">
      <c r="B122" s="5"/>
    </row>
    <row r="123" spans="2:19" ht="15.75" customHeight="1" x14ac:dyDescent="0.25">
      <c r="B123" s="5"/>
    </row>
    <row r="124" spans="2:19" ht="15.75" customHeight="1" x14ac:dyDescent="0.25">
      <c r="B124" s="5"/>
    </row>
    <row r="125" spans="2:19" ht="15.75" customHeight="1" x14ac:dyDescent="0.25">
      <c r="B125" s="5"/>
    </row>
    <row r="126" spans="2:19" ht="15.75" customHeight="1" x14ac:dyDescent="0.25">
      <c r="B126" s="5"/>
    </row>
    <row r="127" spans="2:19" ht="15.75" customHeight="1" x14ac:dyDescent="0.25">
      <c r="B127" s="5"/>
    </row>
    <row r="128" spans="2:19" ht="15.75" customHeight="1" x14ac:dyDescent="0.25">
      <c r="B128" s="5"/>
    </row>
    <row r="129" spans="2:3" ht="15.75" customHeight="1" x14ac:dyDescent="0.25">
      <c r="B129" s="5"/>
    </row>
    <row r="130" spans="2:3" ht="15.75" customHeight="1" x14ac:dyDescent="0.25">
      <c r="B130" s="5"/>
    </row>
    <row r="131" spans="2:3" ht="15.75" customHeight="1" x14ac:dyDescent="0.25">
      <c r="B131" s="5"/>
    </row>
    <row r="132" spans="2:3" ht="15.75" customHeight="1" x14ac:dyDescent="0.25">
      <c r="B132" s="5"/>
    </row>
    <row r="133" spans="2:3" ht="15.75" customHeight="1" x14ac:dyDescent="0.25">
      <c r="B133" s="5"/>
    </row>
    <row r="134" spans="2:3" ht="15.75" customHeight="1" x14ac:dyDescent="0.25">
      <c r="B134" s="5"/>
    </row>
    <row r="135" spans="2:3" ht="15.75" customHeight="1" x14ac:dyDescent="0.25">
      <c r="B135" s="5"/>
    </row>
    <row r="136" spans="2:3" ht="15.75" customHeight="1" x14ac:dyDescent="0.25">
      <c r="B136" s="5"/>
    </row>
    <row r="137" spans="2:3" ht="15.75" customHeight="1" x14ac:dyDescent="0.25">
      <c r="B137" s="5"/>
    </row>
    <row r="138" spans="2:3" ht="15.75" customHeight="1" x14ac:dyDescent="0.25">
      <c r="B138" s="5"/>
    </row>
    <row r="139" spans="2:3" ht="15.75" customHeight="1" x14ac:dyDescent="0.25">
      <c r="B139" s="5"/>
    </row>
    <row r="140" spans="2:3" ht="15.75" customHeight="1" x14ac:dyDescent="0.25">
      <c r="B140" s="5"/>
    </row>
    <row r="141" spans="2:3" ht="15.75" customHeight="1" x14ac:dyDescent="0.25">
      <c r="B141" s="5"/>
    </row>
    <row r="142" spans="2:3" ht="15.75" customHeight="1" x14ac:dyDescent="0.25">
      <c r="B142" s="5"/>
    </row>
    <row r="143" spans="2:3" ht="15.75" customHeight="1" x14ac:dyDescent="0.25">
      <c r="B143" s="5"/>
    </row>
    <row r="144" spans="2:3" ht="15.75" customHeight="1" x14ac:dyDescent="0.25">
      <c r="B144" s="5"/>
      <c r="C144" s="4"/>
    </row>
    <row r="145" spans="2:3" ht="15.75" customHeight="1" x14ac:dyDescent="0.25">
      <c r="B145" s="5"/>
      <c r="C145" s="4"/>
    </row>
    <row r="146" spans="2:3" ht="15.75" customHeight="1" x14ac:dyDescent="0.25">
      <c r="B146" s="5"/>
      <c r="C146" s="4"/>
    </row>
    <row r="147" spans="2:3" ht="15.75" customHeight="1" x14ac:dyDescent="0.25">
      <c r="B147" s="5"/>
      <c r="C147" s="4"/>
    </row>
    <row r="148" spans="2:3" ht="15.75" customHeight="1" x14ac:dyDescent="0.25">
      <c r="B148" s="5"/>
      <c r="C148" s="4"/>
    </row>
    <row r="149" spans="2:3" ht="15.75" customHeight="1" x14ac:dyDescent="0.25">
      <c r="B149" s="5"/>
      <c r="C149" s="4"/>
    </row>
    <row r="150" spans="2:3" ht="15.75" customHeight="1" x14ac:dyDescent="0.25">
      <c r="B150" s="5"/>
      <c r="C150" s="4"/>
    </row>
    <row r="151" spans="2:3" ht="15.75" customHeight="1" x14ac:dyDescent="0.25">
      <c r="B151" s="5"/>
      <c r="C151" s="4"/>
    </row>
    <row r="152" spans="2:3" ht="15.75" customHeight="1" x14ac:dyDescent="0.25">
      <c r="B152" s="5"/>
      <c r="C152" s="4"/>
    </row>
    <row r="153" spans="2:3" ht="15.75" customHeight="1" x14ac:dyDescent="0.25">
      <c r="B153" s="5"/>
      <c r="C153" s="4"/>
    </row>
    <row r="154" spans="2:3" ht="15.75" customHeight="1" x14ac:dyDescent="0.25">
      <c r="B154" s="5"/>
      <c r="C154" s="4"/>
    </row>
    <row r="155" spans="2:3" ht="15.75" customHeight="1" x14ac:dyDescent="0.25">
      <c r="B155" s="5"/>
      <c r="C155" s="4"/>
    </row>
    <row r="156" spans="2:3" ht="15.75" customHeight="1" x14ac:dyDescent="0.25">
      <c r="B156" s="5"/>
      <c r="C156" s="4"/>
    </row>
    <row r="157" spans="2:3" ht="15.75" customHeight="1" x14ac:dyDescent="0.25"/>
    <row r="158" spans="2:3" ht="15.75" customHeight="1" x14ac:dyDescent="0.25"/>
    <row r="159" spans="2:3" ht="15.75" customHeight="1" x14ac:dyDescent="0.25"/>
    <row r="160" spans="2:3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7">
    <mergeCell ref="V8:W8"/>
    <mergeCell ref="C8:D8"/>
    <mergeCell ref="F8:G8"/>
    <mergeCell ref="I8:J8"/>
    <mergeCell ref="L8:M8"/>
    <mergeCell ref="O8:P8"/>
    <mergeCell ref="R8:S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277F-1735-488B-9FBE-21EFC1B287AC}">
  <dimension ref="B3:F30"/>
  <sheetViews>
    <sheetView showGridLines="0" topLeftCell="A5" workbookViewId="0">
      <selection activeCell="F9" sqref="F9"/>
    </sheetView>
  </sheetViews>
  <sheetFormatPr defaultRowHeight="15" x14ac:dyDescent="0.25"/>
  <cols>
    <col min="1" max="1" width="4.42578125" customWidth="1"/>
    <col min="5" max="5" width="18.85546875" bestFit="1" customWidth="1"/>
  </cols>
  <sheetData>
    <row r="3" spans="2:6" x14ac:dyDescent="0.25">
      <c r="B3" s="57" t="s">
        <v>70</v>
      </c>
      <c r="C3" s="57"/>
    </row>
    <row r="5" spans="2:6" x14ac:dyDescent="0.25">
      <c r="B5" s="56" t="s">
        <v>34</v>
      </c>
      <c r="C5" s="56" t="s">
        <v>69</v>
      </c>
    </row>
    <row r="6" spans="2:6" x14ac:dyDescent="0.25">
      <c r="B6" s="28">
        <v>2000</v>
      </c>
      <c r="C6" s="51">
        <v>-0.14649999999999999</v>
      </c>
    </row>
    <row r="7" spans="2:6" x14ac:dyDescent="0.25">
      <c r="B7" s="28">
        <v>2001</v>
      </c>
      <c r="C7" s="51">
        <v>-0.1618</v>
      </c>
      <c r="E7" s="3" t="s">
        <v>71</v>
      </c>
      <c r="F7" s="6">
        <f>AVERAGE(C6:C30)</f>
        <v>0.15334799999999998</v>
      </c>
    </row>
    <row r="8" spans="2:6" x14ac:dyDescent="0.25">
      <c r="B8" s="28">
        <v>2002</v>
      </c>
      <c r="C8" s="51">
        <v>3.2500000000000001E-2</v>
      </c>
      <c r="E8" s="3" t="s">
        <v>72</v>
      </c>
      <c r="F8" s="60">
        <v>1.35E-2</v>
      </c>
    </row>
    <row r="9" spans="2:6" x14ac:dyDescent="0.25">
      <c r="B9" s="28">
        <v>2003</v>
      </c>
      <c r="C9" s="51">
        <v>0.71899999999999997</v>
      </c>
      <c r="E9" s="58" t="s">
        <v>73</v>
      </c>
      <c r="F9" s="61">
        <f>SUM(F7:F8)</f>
        <v>0.166848</v>
      </c>
    </row>
    <row r="10" spans="2:6" x14ac:dyDescent="0.25">
      <c r="B10" s="28">
        <v>2004</v>
      </c>
      <c r="C10" s="51">
        <v>0.10680000000000001</v>
      </c>
    </row>
    <row r="11" spans="2:6" x14ac:dyDescent="0.25">
      <c r="B11" s="28">
        <v>2005</v>
      </c>
      <c r="C11" s="51">
        <v>0.3634</v>
      </c>
    </row>
    <row r="12" spans="2:6" x14ac:dyDescent="0.25">
      <c r="B12" s="28">
        <v>2006</v>
      </c>
      <c r="C12" s="51">
        <v>0.39829999999999999</v>
      </c>
    </row>
    <row r="13" spans="2:6" x14ac:dyDescent="0.25">
      <c r="B13" s="28">
        <v>2007</v>
      </c>
      <c r="C13" s="51">
        <v>0.54769999999999996</v>
      </c>
    </row>
    <row r="14" spans="2:6" x14ac:dyDescent="0.25">
      <c r="B14" s="28">
        <v>2008</v>
      </c>
      <c r="C14" s="51">
        <v>-0.51790000000000003</v>
      </c>
    </row>
    <row r="15" spans="2:6" x14ac:dyDescent="0.25">
      <c r="B15" s="28">
        <v>2009</v>
      </c>
      <c r="C15" s="51">
        <v>0.75760000000000005</v>
      </c>
    </row>
    <row r="16" spans="2:6" x14ac:dyDescent="0.25">
      <c r="B16" s="28">
        <v>2010</v>
      </c>
      <c r="C16" s="51">
        <v>0.17949999999999999</v>
      </c>
    </row>
    <row r="17" spans="2:3" x14ac:dyDescent="0.25">
      <c r="B17" s="28">
        <v>2011</v>
      </c>
      <c r="C17" s="51">
        <v>-0.2462</v>
      </c>
    </row>
    <row r="18" spans="2:3" x14ac:dyDescent="0.25">
      <c r="B18" s="28">
        <v>2012</v>
      </c>
      <c r="C18" s="51">
        <v>0.27700000000000002</v>
      </c>
    </row>
    <row r="19" spans="2:3" x14ac:dyDescent="0.25">
      <c r="B19" s="28">
        <v>2013</v>
      </c>
      <c r="C19" s="51">
        <v>6.7599999999999993E-2</v>
      </c>
    </row>
    <row r="20" spans="2:3" x14ac:dyDescent="0.25">
      <c r="B20" s="28">
        <v>2014</v>
      </c>
      <c r="C20" s="51">
        <v>0.31390000000000001</v>
      </c>
    </row>
    <row r="21" spans="2:3" x14ac:dyDescent="0.25">
      <c r="B21" s="28">
        <v>2015</v>
      </c>
      <c r="C21" s="51">
        <v>-4.0599999999999997E-2</v>
      </c>
    </row>
    <row r="22" spans="2:3" x14ac:dyDescent="0.25">
      <c r="B22" s="28">
        <v>2016</v>
      </c>
      <c r="C22" s="51">
        <v>3.0099999999999998E-2</v>
      </c>
    </row>
    <row r="23" spans="2:3" x14ac:dyDescent="0.25">
      <c r="B23" s="28">
        <v>2017</v>
      </c>
      <c r="C23" s="51">
        <v>0.28649999999999998</v>
      </c>
    </row>
    <row r="24" spans="2:3" x14ac:dyDescent="0.25">
      <c r="B24" s="28">
        <v>2018</v>
      </c>
      <c r="C24" s="51">
        <v>3.15E-2</v>
      </c>
    </row>
    <row r="25" spans="2:3" x14ac:dyDescent="0.25">
      <c r="B25" s="28">
        <v>2019</v>
      </c>
      <c r="C25" s="51">
        <v>0.1202</v>
      </c>
    </row>
    <row r="26" spans="2:3" x14ac:dyDescent="0.25">
      <c r="B26" s="28">
        <v>2020</v>
      </c>
      <c r="C26" s="51">
        <v>0.14899999999999999</v>
      </c>
    </row>
    <row r="27" spans="2:3" x14ac:dyDescent="0.25">
      <c r="B27" s="28">
        <v>2021</v>
      </c>
      <c r="C27" s="51">
        <v>0.2412</v>
      </c>
    </row>
    <row r="28" spans="2:3" x14ac:dyDescent="0.25">
      <c r="B28" s="28">
        <v>2022</v>
      </c>
      <c r="C28" s="51">
        <v>4.3200000000000002E-2</v>
      </c>
    </row>
    <row r="29" spans="2:3" x14ac:dyDescent="0.25">
      <c r="B29" s="28">
        <v>2023</v>
      </c>
      <c r="C29" s="51">
        <v>0.19420000000000001</v>
      </c>
    </row>
    <row r="30" spans="2:3" x14ac:dyDescent="0.25">
      <c r="B30" s="28">
        <v>2024</v>
      </c>
      <c r="C30" s="51">
        <v>8.7499999999999994E-2</v>
      </c>
    </row>
  </sheetData>
  <mergeCells count="1">
    <mergeCell ref="B3:C3"/>
  </mergeCells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WACC</vt:lpstr>
      <vt:lpstr>Companies</vt:lpstr>
      <vt:lpstr>Beta-Regression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Rohit Chiramaneni</cp:lastModifiedBy>
  <cp:lastPrinted>2025-10-17T19:21:20Z</cp:lastPrinted>
  <dcterms:created xsi:type="dcterms:W3CDTF">2023-02-06T14:53:36Z</dcterms:created>
  <dcterms:modified xsi:type="dcterms:W3CDTF">2025-10-17T19:22:41Z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