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3.xml" ContentType="application/vnd.openxmlformats-officedocument.spreadsheetml.table+xml"/>
  <Override PartName="/xl/pivotTables/pivotTable5.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tables/table4.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defaultThemeVersion="166925"/>
  <mc:AlternateContent xmlns:mc="http://schemas.openxmlformats.org/markup-compatibility/2006">
    <mc:Choice Requires="x15">
      <x15ac:absPath xmlns:x15ac="http://schemas.microsoft.com/office/spreadsheetml/2010/11/ac" url="/Users/rohithchalla/Desktop/UMBC/Projects/Data Analysis/"/>
    </mc:Choice>
  </mc:AlternateContent>
  <xr:revisionPtr revIDLastSave="0" documentId="8_{1F27F747-44F1-0C46-8304-CF5B3E3EA625}" xr6:coauthVersionLast="47" xr6:coauthVersionMax="47" xr10:uidLastSave="{00000000-0000-0000-0000-000000000000}"/>
  <bookViews>
    <workbookView xWindow="0" yWindow="500" windowWidth="28800" windowHeight="16280" activeTab="8" xr2:uid="{26D4546B-D2A1-4444-8EAF-A6228F96F0C1}"/>
  </bookViews>
  <sheets>
    <sheet name="Data" sheetId="1" r:id="rId1"/>
    <sheet name="India Staff" sheetId="2" r:id="rId2"/>
    <sheet name="Finder" sheetId="6" r:id="rId3"/>
    <sheet name="Male vs Female" sheetId="7" r:id="rId4"/>
    <sheet name="Salary Spread" sheetId="8" r:id="rId5"/>
    <sheet name="Salary vs Rating" sheetId="9" r:id="rId6"/>
    <sheet name="Sheet2" sheetId="11" r:id="rId7"/>
    <sheet name="Employee Trend" sheetId="10" r:id="rId8"/>
    <sheet name="NZ vs IND" sheetId="12" r:id="rId9"/>
    <sheet name="Staff" sheetId="5" r:id="rId10"/>
  </sheets>
  <definedNames>
    <definedName name="_xlnm._FilterDatabase" localSheetId="0" hidden="1">Data!$C$5:$I$105</definedName>
    <definedName name="_xlnm._FilterDatabase" localSheetId="1" hidden="1">'India Staff'!$B$2:$H$114</definedName>
    <definedName name="_xlchart.v1.0" hidden="1">Staff!$G$1</definedName>
    <definedName name="_xlchart.v1.1" hidden="1">Staff!$G$2:$G$184</definedName>
    <definedName name="_xlchart.v1.2" hidden="1">Staff!$G$1</definedName>
    <definedName name="_xlchart.v1.3" hidden="1">Staff!$G$2:$G$184</definedName>
    <definedName name="ExternalData_2" localSheetId="9" hidden="1">Staff!$A$1:$H$184</definedName>
    <definedName name="Slicer_Country">#N/A</definedName>
  </definedNames>
  <calcPr calcId="191029"/>
  <pivotCaches>
    <pivotCache cacheId="3"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12" l="1"/>
  <c r="K4" i="12"/>
  <c r="I4" i="12"/>
  <c r="G4" i="12"/>
  <c r="E4" i="12"/>
  <c r="C4" i="12"/>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S42" i="10"/>
  <c r="R8" i="10"/>
  <c r="R9" i="10"/>
  <c r="R10" i="10"/>
  <c r="R11" i="10"/>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41" i="10"/>
  <c r="R42" i="10"/>
  <c r="R7" i="10"/>
  <c r="S7" i="10" s="1"/>
  <c r="Q7" i="10" a="1"/>
  <c r="Q7" i="10" s="1"/>
  <c r="P7" i="10" a="1"/>
  <c r="P7" i="10" s="1"/>
  <c r="K2"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C7" i="6"/>
  <c r="M28" i="5"/>
  <c r="N10" i="5"/>
  <c r="N8" i="5"/>
  <c r="I162" i="5"/>
  <c r="J162" i="5" s="1"/>
  <c r="I18" i="5"/>
  <c r="J18" i="5" s="1"/>
  <c r="I142" i="5"/>
  <c r="J142" i="5" s="1"/>
  <c r="I20" i="5"/>
  <c r="J20" i="5" s="1"/>
  <c r="I175" i="5"/>
  <c r="J175" i="5" s="1"/>
  <c r="I46" i="5"/>
  <c r="J46" i="5" s="1"/>
  <c r="I130" i="5"/>
  <c r="J130" i="5" s="1"/>
  <c r="I124" i="5"/>
  <c r="J124" i="5" s="1"/>
  <c r="I90" i="5"/>
  <c r="J90" i="5" s="1"/>
  <c r="I156" i="5"/>
  <c r="J156" i="5" s="1"/>
  <c r="I146" i="5"/>
  <c r="J146" i="5" s="1"/>
  <c r="I134" i="5"/>
  <c r="J134" i="5" s="1"/>
  <c r="I24" i="5"/>
  <c r="J24" i="5" s="1"/>
  <c r="I8" i="5"/>
  <c r="J8" i="5" s="1"/>
  <c r="I163" i="5"/>
  <c r="J163" i="5" s="1"/>
  <c r="I32" i="5"/>
  <c r="J32" i="5" s="1"/>
  <c r="I181" i="5"/>
  <c r="J181" i="5" s="1"/>
  <c r="I82" i="5"/>
  <c r="J82" i="5" s="1"/>
  <c r="I108" i="5"/>
  <c r="J108" i="5" s="1"/>
  <c r="I102" i="5"/>
  <c r="J102" i="5" s="1"/>
  <c r="I44" i="5"/>
  <c r="J44" i="5" s="1"/>
  <c r="I120" i="5"/>
  <c r="J120" i="5" s="1"/>
  <c r="I6" i="5"/>
  <c r="J6" i="5" s="1"/>
  <c r="I92" i="5"/>
  <c r="J92" i="5" s="1"/>
  <c r="I10" i="5"/>
  <c r="J10" i="5" s="1"/>
  <c r="I140" i="5"/>
  <c r="J140" i="5" s="1"/>
  <c r="I50" i="5"/>
  <c r="J50" i="5" s="1"/>
  <c r="I171" i="5"/>
  <c r="J171" i="5" s="1"/>
  <c r="I12" i="5"/>
  <c r="J12" i="5" s="1"/>
  <c r="I160" i="5"/>
  <c r="J160" i="5" s="1"/>
  <c r="I22" i="5"/>
  <c r="J22" i="5" s="1"/>
  <c r="I70" i="5"/>
  <c r="J70" i="5" s="1"/>
  <c r="I138" i="5"/>
  <c r="J138" i="5" s="1"/>
  <c r="I110" i="5"/>
  <c r="J110" i="5" s="1"/>
  <c r="I34" i="5"/>
  <c r="J34" i="5" s="1"/>
  <c r="I158" i="5"/>
  <c r="J158" i="5" s="1"/>
  <c r="I183" i="5"/>
  <c r="J183" i="5" s="1"/>
  <c r="I165" i="5"/>
  <c r="J165" i="5" s="1"/>
  <c r="I173" i="5"/>
  <c r="J173" i="5" s="1"/>
  <c r="I30" i="5"/>
  <c r="J30" i="5" s="1"/>
  <c r="I98" i="5"/>
  <c r="J98" i="5" s="1"/>
  <c r="I36" i="5"/>
  <c r="J36" i="5" s="1"/>
  <c r="I114" i="5"/>
  <c r="J114" i="5" s="1"/>
  <c r="I2" i="5"/>
  <c r="J2" i="5" s="1"/>
  <c r="I94" i="5"/>
  <c r="J94" i="5" s="1"/>
  <c r="I52" i="5"/>
  <c r="J52" i="5" s="1"/>
  <c r="I148" i="5"/>
  <c r="J148" i="5" s="1"/>
  <c r="I48" i="5"/>
  <c r="J48" i="5" s="1"/>
  <c r="I126" i="5"/>
  <c r="J126" i="5" s="1"/>
  <c r="I84" i="5"/>
  <c r="J84" i="5" s="1"/>
  <c r="I100" i="5"/>
  <c r="J100" i="5" s="1"/>
  <c r="I122" i="5"/>
  <c r="J122" i="5" s="1"/>
  <c r="I60" i="5"/>
  <c r="J60" i="5" s="1"/>
  <c r="I177" i="5"/>
  <c r="J177" i="5" s="1"/>
  <c r="I66" i="5"/>
  <c r="J66" i="5" s="1"/>
  <c r="I64" i="5"/>
  <c r="J64" i="5" s="1"/>
  <c r="I128" i="5"/>
  <c r="J128" i="5" s="1"/>
  <c r="I28" i="5"/>
  <c r="J28" i="5" s="1"/>
  <c r="I112" i="5"/>
  <c r="J112" i="5" s="1"/>
  <c r="I118" i="5"/>
  <c r="J118" i="5" s="1"/>
  <c r="I76" i="5"/>
  <c r="J76" i="5" s="1"/>
  <c r="I38" i="5"/>
  <c r="J38" i="5" s="1"/>
  <c r="I16" i="5"/>
  <c r="J16" i="5" s="1"/>
  <c r="I154" i="5"/>
  <c r="J154" i="5" s="1"/>
  <c r="I136" i="5"/>
  <c r="J136" i="5" s="1"/>
  <c r="I14" i="5"/>
  <c r="J14" i="5" s="1"/>
  <c r="I88" i="5"/>
  <c r="J88" i="5" s="1"/>
  <c r="I167" i="5"/>
  <c r="J167" i="5" s="1"/>
  <c r="I116" i="5"/>
  <c r="J116" i="5" s="1"/>
  <c r="I39" i="5"/>
  <c r="J39" i="5" s="1"/>
  <c r="I78" i="5"/>
  <c r="J78" i="5" s="1"/>
  <c r="I72" i="5"/>
  <c r="J72" i="5" s="1"/>
  <c r="I80" i="5"/>
  <c r="J80" i="5" s="1"/>
  <c r="I58" i="5"/>
  <c r="J58" i="5" s="1"/>
  <c r="I150" i="5"/>
  <c r="J150" i="5" s="1"/>
  <c r="I179" i="5"/>
  <c r="J179" i="5" s="1"/>
  <c r="I104" i="5"/>
  <c r="J104" i="5" s="1"/>
  <c r="I169" i="5"/>
  <c r="J169" i="5" s="1"/>
  <c r="I144" i="5"/>
  <c r="J144" i="5" s="1"/>
  <c r="I74" i="5"/>
  <c r="J74" i="5" s="1"/>
  <c r="I4" i="5"/>
  <c r="J4" i="5" s="1"/>
  <c r="I62" i="5"/>
  <c r="J62" i="5" s="1"/>
  <c r="I152" i="5"/>
  <c r="J152" i="5" s="1"/>
  <c r="I68" i="5"/>
  <c r="J68" i="5" s="1"/>
  <c r="I96" i="5"/>
  <c r="J96" i="5" s="1"/>
  <c r="I42" i="5"/>
  <c r="J42" i="5" s="1"/>
  <c r="I106" i="5"/>
  <c r="J106" i="5" s="1"/>
  <c r="I54" i="5"/>
  <c r="J54" i="5" s="1"/>
  <c r="I86" i="5"/>
  <c r="J86" i="5" s="1"/>
  <c r="I56" i="5"/>
  <c r="J56" i="5" s="1"/>
  <c r="I26" i="5"/>
  <c r="J26" i="5" s="1"/>
  <c r="I132" i="5"/>
  <c r="J132" i="5" s="1"/>
  <c r="I166" i="5"/>
  <c r="J166" i="5" s="1"/>
  <c r="I87" i="5"/>
  <c r="J87" i="5" s="1"/>
  <c r="I37" i="5"/>
  <c r="J37" i="5" s="1"/>
  <c r="I176" i="5"/>
  <c r="J176" i="5" s="1"/>
  <c r="I40" i="5"/>
  <c r="J40" i="5" s="1"/>
  <c r="I161" i="5"/>
  <c r="J161" i="5" s="1"/>
  <c r="I27" i="5"/>
  <c r="J27" i="5" s="1"/>
  <c r="I63" i="5"/>
  <c r="J63" i="5" s="1"/>
  <c r="I43" i="5"/>
  <c r="J43" i="5" s="1"/>
  <c r="I184" i="5"/>
  <c r="J184" i="5" s="1"/>
  <c r="I159" i="5"/>
  <c r="J159" i="5" s="1"/>
  <c r="I69" i="5"/>
  <c r="J69" i="5" s="1"/>
  <c r="I79" i="5"/>
  <c r="J79" i="5" s="1"/>
  <c r="I153" i="5"/>
  <c r="J153" i="5" s="1"/>
  <c r="I19" i="5"/>
  <c r="J19" i="5" s="1"/>
  <c r="I137" i="5"/>
  <c r="J137" i="5" s="1"/>
  <c r="I9" i="5"/>
  <c r="J9" i="5" s="1"/>
  <c r="I49" i="5"/>
  <c r="J49" i="5" s="1"/>
  <c r="I15" i="5"/>
  <c r="J15" i="5" s="1"/>
  <c r="I99" i="5"/>
  <c r="J99" i="5" s="1"/>
  <c r="I53" i="5"/>
  <c r="J53" i="5" s="1"/>
  <c r="I73" i="5"/>
  <c r="J73" i="5" s="1"/>
  <c r="I51" i="5"/>
  <c r="J51" i="5" s="1"/>
  <c r="I31" i="5"/>
  <c r="J31" i="5" s="1"/>
  <c r="I65" i="5"/>
  <c r="J65" i="5" s="1"/>
  <c r="I93" i="5"/>
  <c r="J93" i="5" s="1"/>
  <c r="I119" i="5"/>
  <c r="J119" i="5" s="1"/>
  <c r="I5" i="5"/>
  <c r="J5" i="5" s="1"/>
  <c r="I101" i="5"/>
  <c r="J101" i="5" s="1"/>
  <c r="I59" i="5"/>
  <c r="J59" i="5" s="1"/>
  <c r="I97" i="5"/>
  <c r="J97" i="5" s="1"/>
  <c r="I178" i="5"/>
  <c r="J178" i="5" s="1"/>
  <c r="I107" i="5"/>
  <c r="J107" i="5" s="1"/>
  <c r="I157" i="5"/>
  <c r="J157" i="5" s="1"/>
  <c r="I33" i="5"/>
  <c r="J33" i="5" s="1"/>
  <c r="I139" i="5"/>
  <c r="J139" i="5" s="1"/>
  <c r="I133" i="5"/>
  <c r="J133" i="5" s="1"/>
  <c r="I143" i="5"/>
  <c r="J143" i="5" s="1"/>
  <c r="I29" i="5"/>
  <c r="J29" i="5" s="1"/>
  <c r="I35" i="5"/>
  <c r="J35" i="5" s="1"/>
  <c r="I105" i="5"/>
  <c r="J105" i="5" s="1"/>
  <c r="I117" i="5"/>
  <c r="J117" i="5" s="1"/>
  <c r="I113" i="5"/>
  <c r="J113" i="5" s="1"/>
  <c r="I129" i="5"/>
  <c r="J129" i="5" s="1"/>
  <c r="I164" i="5"/>
  <c r="J164" i="5" s="1"/>
  <c r="I109" i="5"/>
  <c r="J109" i="5" s="1"/>
  <c r="I77" i="5"/>
  <c r="J77" i="5" s="1"/>
  <c r="I111" i="5"/>
  <c r="J111" i="5" s="1"/>
  <c r="I55" i="5"/>
  <c r="J55" i="5" s="1"/>
  <c r="I182" i="5"/>
  <c r="J182" i="5" s="1"/>
  <c r="I25" i="5"/>
  <c r="J25" i="5" s="1"/>
  <c r="I21" i="5"/>
  <c r="J21" i="5" s="1"/>
  <c r="I174" i="5"/>
  <c r="J174" i="5" s="1"/>
  <c r="I83" i="5"/>
  <c r="J83" i="5" s="1"/>
  <c r="I89" i="5"/>
  <c r="J89" i="5" s="1"/>
  <c r="I155" i="5"/>
  <c r="J155" i="5" s="1"/>
  <c r="I168" i="5"/>
  <c r="J168" i="5" s="1"/>
  <c r="I81" i="5"/>
  <c r="J81" i="5" s="1"/>
  <c r="I180" i="5"/>
  <c r="J180" i="5" s="1"/>
  <c r="I103" i="5"/>
  <c r="J103" i="5" s="1"/>
  <c r="I172" i="5"/>
  <c r="J172" i="5" s="1"/>
  <c r="I125" i="5"/>
  <c r="J125" i="5" s="1"/>
  <c r="I149" i="5"/>
  <c r="J149" i="5" s="1"/>
  <c r="I45" i="5"/>
  <c r="J45" i="5" s="1"/>
  <c r="I123" i="5"/>
  <c r="J123" i="5" s="1"/>
  <c r="I47" i="5"/>
  <c r="J47" i="5" s="1"/>
  <c r="I131" i="5"/>
  <c r="J131" i="5" s="1"/>
  <c r="I71" i="5"/>
  <c r="J71" i="5" s="1"/>
  <c r="I23" i="5"/>
  <c r="J23" i="5" s="1"/>
  <c r="I61" i="5"/>
  <c r="J61" i="5" s="1"/>
  <c r="I145" i="5"/>
  <c r="J145" i="5" s="1"/>
  <c r="I121" i="5"/>
  <c r="J121" i="5" s="1"/>
  <c r="I141" i="5"/>
  <c r="J141" i="5" s="1"/>
  <c r="I170" i="5"/>
  <c r="J170" i="5" s="1"/>
  <c r="I3" i="5"/>
  <c r="J3" i="5" s="1"/>
  <c r="I151" i="5"/>
  <c r="J151" i="5" s="1"/>
  <c r="I11" i="5"/>
  <c r="J11" i="5" s="1"/>
  <c r="I127" i="5"/>
  <c r="J127" i="5" s="1"/>
  <c r="I7" i="5"/>
  <c r="J7" i="5" s="1"/>
  <c r="I147" i="5"/>
  <c r="J147" i="5" s="1"/>
  <c r="I135" i="5"/>
  <c r="J135" i="5" s="1"/>
  <c r="I115" i="5"/>
  <c r="J115" i="5" s="1"/>
  <c r="I17" i="5"/>
  <c r="J17" i="5" s="1"/>
  <c r="I57" i="5"/>
  <c r="J57" i="5" s="1"/>
  <c r="I67" i="5"/>
  <c r="J67" i="5" s="1"/>
  <c r="I13" i="5"/>
  <c r="J13" i="5" s="1"/>
  <c r="I95" i="5"/>
  <c r="J95" i="5" s="1"/>
  <c r="I91" i="5"/>
  <c r="J91" i="5" s="1"/>
  <c r="I75" i="5"/>
  <c r="J75" i="5" s="1"/>
  <c r="I85" i="5"/>
  <c r="J85" i="5" s="1"/>
  <c r="I41" i="5"/>
  <c r="J41" i="5" s="1"/>
  <c r="N6" i="5"/>
  <c r="N5" i="5"/>
  <c r="N4" i="5"/>
  <c r="I106" i="1"/>
  <c r="H106" i="1"/>
  <c r="B9" i="6" l="1" a="1"/>
  <c r="B9" i="6" s="1"/>
  <c r="N9" i="5"/>
  <c r="N11" i="5"/>
  <c r="N18" i="5" a="1"/>
  <c r="N18" i="5" s="1"/>
  <c r="N7"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28A074-F784-8D40-B57A-B23D5D259E41}" keepAlive="1" name="Query - India Staff" description="Connection to the 'India Staff' query in the workbook." type="5" refreshedVersion="0" background="1" saveData="1">
    <dbPr connection="Provider=Microsoft.Mashup.OleDb.1;Data Source=$Workbook$;Location=&quot;India Staff&quot;;Extended Properties=&quot;&quot;" command="SELECT * FROM [India Staff]"/>
  </connection>
  <connection id="2" xr16:uid="{1540DAC0-B236-3F42-A961-FB25CD8F4EC9}" keepAlive="1" name="Query - Nz Staff" description="Connection to the 'Nz Staff' query in the workbook." type="5" refreshedVersion="0" background="1" saveData="1">
    <dbPr connection="Provider=Microsoft.Mashup.OleDb.1;Data Source=$Workbook$;Location=&quot;Nz Staff&quot;;Extended Properties=&quot;&quot;" command="SELECT * FROM [Nz Staff]"/>
  </connection>
  <connection id="3" xr16:uid="{3D63CA40-0569-D549-81FC-92EDA5A608D9}"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<sst xmlns="http://schemas.openxmlformats.org/spreadsheetml/2006/main" count="1914" uniqueCount="254">
  <si>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</si>
  <si>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</si>
  <si>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</si>
  <si>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</si>
  <si>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</si>
  <si>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</si>
  <si>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</si>
  <si>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</si>
  <si>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</si>
  <si>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</si>
  <si>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</si>
  <si>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</si>
  <si>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</si>
  <si>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</si>
  <si>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</si>
  <si>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</si>
  <si>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</si>
  <si>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</si>
  <si>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</si>
  <si>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</si>
  <si>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</si>
  <si>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</si>
  <si>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</si>
  <si>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</si>
  <si>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</si>
  <si>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</si>
  <si>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</si>
  <si>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</si>
  <si>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</si>
  <si>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</si>
  <si>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</si>
  <si>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</si>
  <si>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</si>
  <si>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</si>
  <si>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</si>
  <si>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</si>
  <si>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</si>
  <si>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</si>
  <si>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</si>
  <si>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</si>
  <si>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</si>
  <si>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</si>
  <si>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</si>
  <si>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</si>
  <si>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</si>
  <si>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</si>
  <si>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</si>
  <si>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</si>
  <si>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</si>
  <si>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</si>
  <si>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</si>
  <si>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</si>
  <si>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</si>
  <si>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</si>
  <si>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</si>
  <si>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</si>
  <si>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</si>
  <si>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</si>
  <si>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</si>
  <si>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</si>
  <si>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</si>
  <si>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</si>
  <si>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</si>
  <si>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</si>
  <si>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</si>
  <si>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</si>
  <si>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</si>
  <si>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</si>
  <si>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</si>
  <si>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</si>
  <si>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</si>
  <si>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</si>
  <si>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</si>
  <si>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</si>
  <si>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</si>
  <si>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</si>
  <si>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</si>
  <si>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</si>
  <si>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</si>
  <si>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</si>
  <si>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</si>
  <si>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</si>
  <si>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</si>
  <si>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</si>
  <si>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</si>
  <si>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</si>
  <si>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</si>
  <si>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</si>
  <si>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</si>
  <si>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</si>
  <si>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</si>
  <si>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</si>
  <si>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</si>
  <si>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</si>
  <si>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</si>
  <si>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</si>
  <si>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</si>
  <si>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</si>
  <si>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</si>
  <si>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</si>
  <si>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</si>
  <si>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</si>
  <si>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</si>
  <si>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</si>
  <si>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</si>
  <si>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</si>
  <si>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</si>
  <si>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</si>
  <si>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</si>
  <si>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</si>
  <si>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</si>
  <si>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</si>
  <si>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</si>
  <si>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</si>
  <si>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</si>
  <si>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</si>
  <si>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</si>
  <si>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</si>
  <si>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</si>
  <si>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</si>
  <si>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</si>
  <si>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</si>
  <si>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</si>
  <si>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</si>
  <si>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</si>
  <si>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</si>
  <si>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</si>
  <si>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</si>
  <si>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</si>
  <si>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</si>
  <si>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</si>
  <si>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</si>
  <si>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</si>
  <si>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</si>
  <si>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</si>
  <si>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</si>
  <si>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</si>
  <si>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</si>
  <si>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</si>
  <si>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</si>
  <si>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</si>
  <si>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</si>
  <si>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</si>
  <si>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</si>
  <si>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</si>
  <si>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</si>
  <si>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</si>
  <si>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</si>
  <si>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</si>
  <si>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</si>
  <si>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</si>
  <si>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</si>
  <si>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</si>
  <si>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</si>
  <si>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</si>
  <si>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</si>
  <si>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</si>
  <si>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</si>
  <si>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</si>
  <si>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</si>
  <si>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</si>
  <si>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</si>
  <si>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</si>
  <si>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</si>
  <si>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</si>
  <si>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</si>
  <si>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</si>
  <si>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</si>
  <si>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</si>
  <si>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</si>
  <si>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</si>
  <si>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</si>
  <si>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</si>
  <si>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</si>
  <si>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</si>
  <si>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</si>
  <si>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</si>
  <si>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</si>
  <si>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</si>
  <si>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</si>
  <si>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</si>
  <si>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</si>
  <si>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</si>
  <si>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</si>
  <si>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</si>
  <si>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</si>
  <si>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</si>
  <si>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</si>
  <si>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</si>
  <si>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</si>
  <si>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</si>
  <si>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</si>
  <si>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</si>
  <si>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</si>
  <si>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</si>
  <si>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</si>
  <si>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</si>
  <si>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</si>
  <si>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</si>
  <si>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</si>
  <si>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</si>
  <si>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</si>
  <si>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</si>
  <si>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</si>
  <si>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</si>
  <si>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</si>
  <si>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</si>
  <si>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</si>
  <si>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</si>
  <si>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Age</t>
  </si>
  <si>
    <t>Average Salary</t>
  </si>
  <si>
    <t>Average Tenure</t>
  </si>
  <si>
    <t>Female Count</t>
  </si>
  <si>
    <t>Female Ratio %</t>
  </si>
  <si>
    <t>Tenure</t>
  </si>
  <si>
    <t>Count &gt;90K$</t>
  </si>
  <si>
    <t>Count &gt;90K$ %</t>
  </si>
  <si>
    <t>Look up name</t>
  </si>
  <si>
    <t>DOJ</t>
  </si>
  <si>
    <t>Department Input</t>
  </si>
  <si>
    <t>Number of People</t>
  </si>
  <si>
    <t>Column Labels</t>
  </si>
  <si>
    <t>Grand Total</t>
  </si>
  <si>
    <t>Count of Name</t>
  </si>
  <si>
    <t>Row Labels</t>
  </si>
  <si>
    <t>Average of Salary</t>
  </si>
  <si>
    <t>Average of Age</t>
  </si>
  <si>
    <t>Values</t>
  </si>
  <si>
    <t>Average of Tenure</t>
  </si>
  <si>
    <t>Bonus</t>
  </si>
  <si>
    <t>Rating as number</t>
  </si>
  <si>
    <t xml:space="preserve"> </t>
  </si>
  <si>
    <t>=XLOOKUP([@Rating], 'Salary vs Rating'!$H$6:$H$10, 'Salary vs Rating'!$I$6:$I$10)</t>
  </si>
  <si>
    <t>2020</t>
  </si>
  <si>
    <t>May</t>
  </si>
  <si>
    <t>Jun</t>
  </si>
  <si>
    <t>Jul</t>
  </si>
  <si>
    <t>Aug</t>
  </si>
  <si>
    <t>Sep</t>
  </si>
  <si>
    <t>Oct</t>
  </si>
  <si>
    <t>Nov</t>
  </si>
  <si>
    <t>Dec</t>
  </si>
  <si>
    <t>2021</t>
  </si>
  <si>
    <t>Jan</t>
  </si>
  <si>
    <t>Feb</t>
  </si>
  <si>
    <t>Mar</t>
  </si>
  <si>
    <t>Apr</t>
  </si>
  <si>
    <t>2022</t>
  </si>
  <si>
    <t>2023</t>
  </si>
  <si>
    <t>Date</t>
  </si>
  <si>
    <t>Head Count</t>
  </si>
  <si>
    <t xml:space="preserve">Running Total </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</si>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</sst>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quot;$&quot;#,##0.00"/>
    <numFmt numFmtId="165" formatCode="0.0"/>
    <numFmt numFmtId="166" formatCode="&quot;$&quot;#,##0.0"/>
    <numFmt numFmtId="167" formatCode="&quot;$&quot;#,##0"/>
    <numFmt numFmtId="168" formatCode="[$-409]mmm\-yy;@"/>
    <numFmt numFmtId="169" formatCode="m/d/yy;@"/>
  </numFmts>
  <fonts count="5" x14ac:knownFonts="1">
    <font>
      <sz val="11"/>
      <color theme="1"/>
      <name val="Calibri"/>
      <family val="2"/>
      <scheme val="minor"/>
    </font>
    <font>
      <sz val="28"/>
      <color theme="1"/>
      <name val="Segoe UI Light"/>
      <family val="2"/>
    </font>
    <font>
      <sz val="30"/>
      <color theme="0"/>
      <name val="Calibri"/>
      <family val="2"/>
      <scheme val="minor"/>
    </font>
    <font>
      <sz val="24"/>
      <color theme="0"/>
      <name val="Calibri"/>
      <family val="2"/>
      <scheme val="minor"/>
    </font>
    <font>
      <sz val="27"/>
      <color theme="0"/>
      <name val="Calibri"/>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14" fontId="0" fillId="0" borderId="0" xfId="0" applyNumberFormat="1"/>
    <xf numFmtId="164" fontId="0" fillId="0" borderId="0" xfId="0" applyNumberFormat="1"/>
    <xf numFmtId="2" fontId="0" fillId="0" borderId="0" xfId="0" applyNumberFormat="1"/>
    <xf numFmtId="9" fontId="0" fillId="0" borderId="0" xfId="0" applyNumberFormat="1"/>
    <xf numFmtId="0" fontId="0" fillId="4" borderId="1" xfId="0" applyFill="1" applyBorder="1" applyAlignment="1">
      <alignment horizontal="left"/>
    </xf>
    <xf numFmtId="15" fontId="0" fillId="4" borderId="1" xfId="0" applyNumberFormat="1" applyFill="1" applyBorder="1" applyAlignment="1">
      <alignment horizontal="left"/>
    </xf>
    <xf numFmtId="2" fontId="0" fillId="4" borderId="1" xfId="0" applyNumberFormat="1" applyFill="1" applyBorder="1" applyAlignment="1">
      <alignment horizontal="left"/>
    </xf>
    <xf numFmtId="0" fontId="0" fillId="5" borderId="0" xfId="0" applyFill="1"/>
    <xf numFmtId="8" fontId="0" fillId="4" borderId="1" xfId="0" applyNumberFormat="1" applyFill="1" applyBorder="1" applyAlignment="1">
      <alignment horizontal="left"/>
    </xf>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167" fontId="0" fillId="0" borderId="0" xfId="0" applyNumberFormat="1"/>
    <xf numFmtId="14" fontId="0" fillId="0" borderId="0" xfId="0" applyNumberFormat="1" applyAlignment="1">
      <alignment horizontal="left" indent="1"/>
    </xf>
    <xf numFmtId="168" fontId="0" fillId="0" borderId="0" xfId="0" applyNumberFormat="1"/>
    <xf numFmtId="169" fontId="0" fillId="0" borderId="0" xfId="0" applyNumberFormat="1"/>
    <xf numFmtId="8" fontId="3" fillId="6" borderId="0" xfId="0" applyNumberFormat="1" applyFont="1" applyFill="1" applyAlignment="1">
      <alignment horizontal="center" vertical="center"/>
    </xf>
    <xf numFmtId="0" fontId="2" fillId="6" borderId="0" xfId="0" applyFont="1" applyFill="1" applyAlignment="1">
      <alignment horizontal="center" vertical="center"/>
    </xf>
    <xf numFmtId="9" fontId="4" fillId="6" borderId="0" xfId="0" applyNumberFormat="1" applyFont="1" applyFill="1" applyAlignment="1">
      <alignment horizontal="center" vertical="center"/>
    </xf>
    <xf numFmtId="0" fontId="2" fillId="7" borderId="0" xfId="0" applyFont="1" applyFill="1" applyAlignment="1">
      <alignment horizontal="center" vertical="center"/>
    </xf>
    <xf numFmtId="9" fontId="4" fillId="7" borderId="0" xfId="0" applyNumberFormat="1" applyFont="1" applyFill="1" applyAlignment="1">
      <alignment horizontal="center" vertical="center"/>
    </xf>
    <xf numFmtId="8" fontId="3" fillId="7" borderId="0" xfId="0" applyNumberFormat="1" applyFont="1" applyFill="1" applyAlignment="1">
      <alignment horizontal="center" vertical="center"/>
    </xf>
    <xf numFmtId="0" fontId="0" fillId="7"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center"/>
    </xf>
  </cellXfs>
  <cellStyles count="1">
    <cellStyle name="Normal" xfId="0" builtinId="0"/>
  </cellStyles>
  <dxfs count="16">
    <dxf>
      <numFmt numFmtId="0" formatCode="General"/>
    </dxf>
    <dxf>
      <numFmt numFmtId="0" formatCode="General"/>
    </dxf>
    <dxf>
      <numFmt numFmtId="2" formatCode="0.00"/>
    </dxf>
    <dxf>
      <numFmt numFmtId="12" formatCode="&quot;$&quot;#,##0.00_);[Red]\(&quot;$&quot;#,##0.00\)"/>
    </dxf>
    <dxf>
      <numFmt numFmtId="0" formatCode="General"/>
    </dxf>
    <dxf>
      <numFmt numFmtId="169" formatCode="m/d/yy;@"/>
    </dxf>
    <dxf>
      <numFmt numFmtId="0" formatCode="General"/>
    </dxf>
    <dxf>
      <numFmt numFmtId="0" formatCode="General"/>
    </dxf>
    <dxf>
      <numFmt numFmtId="0" formatCode="General"/>
    </dxf>
    <dxf>
      <numFmt numFmtId="19" formatCode="m/d/yy"/>
    </dxf>
    <dxf>
      <numFmt numFmtId="166" formatCode="&quot;$&quot;#,##0.0"/>
    </dxf>
    <dxf>
      <numFmt numFmtId="165" formatCode="0.0"/>
    </dxf>
    <dxf>
      <numFmt numFmtId="20" formatCode="d\-mmm\-yy"/>
    </dxf>
    <dxf>
      <numFmt numFmtId="12" formatCode="&quot;$&quot;#,##0.00_);[Red]\(&quot;$&quot;#,##0.00\)"/>
    </dxf>
    <dxf>
      <font>
        <strike val="0"/>
        <outline val="0"/>
        <shadow val="0"/>
        <u val="none"/>
        <vertAlign val="baseline"/>
        <sz val="11"/>
        <color theme="1"/>
        <name val="Calibri"/>
        <family val="2"/>
        <scheme val="minor"/>
      </font>
      <numFmt numFmtId="12" formatCode="&quot;$&quot;#,##0.00_);[Red]\(&quot;$&quot;#,##0.00\)"/>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5756999125109359E-2"/>
          <c:y val="0.14579870224555264"/>
          <c:w val="0.84147922134733155"/>
          <c:h val="0.72088764946048411"/>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Staff!$G$2:$G$184</c:f>
              <c:numCache>
                <c:formatCode>"$"#,##0.00_);[Red]\("$"#,##0.00\)</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Staff!$K$2:$K$184</c:f>
              <c:numCache>
                <c:formatCode>General</c:formatCode>
                <c:ptCount val="183"/>
                <c:pt idx="0">
                  <c:v>3</c:v>
                </c:pt>
                <c:pt idx="1">
                  <c:v>0</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0C7-4D42-AB4F-9672738D08A8}"/>
            </c:ext>
          </c:extLst>
        </c:ser>
        <c:dLbls>
          <c:showLegendKey val="0"/>
          <c:showVal val="0"/>
          <c:showCatName val="0"/>
          <c:showSerName val="0"/>
          <c:showPercent val="0"/>
          <c:showBubbleSize val="0"/>
        </c:dLbls>
        <c:axId val="1702837552"/>
        <c:axId val="1926172767"/>
      </c:scatterChart>
      <c:valAx>
        <c:axId val="170283755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172767"/>
        <c:crosses val="autoZero"/>
        <c:crossBetween val="midCat"/>
      </c:valAx>
      <c:valAx>
        <c:axId val="1926172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8375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Analysis.xlsx]Employee Trend!PivotTable1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Trend'!$C$5</c:f>
              <c:strCache>
                <c:ptCount val="1"/>
                <c:pt idx="0">
                  <c:v>Total</c:v>
                </c:pt>
              </c:strCache>
            </c:strRef>
          </c:tx>
          <c:spPr>
            <a:ln w="28575" cap="rnd">
              <a:solidFill>
                <a:schemeClr val="accent1"/>
              </a:solidFill>
              <a:round/>
            </a:ln>
            <a:effectLst/>
          </c:spPr>
          <c:marker>
            <c:symbol val="none"/>
          </c:marker>
          <c:cat>
            <c:multiLvlStrRef>
              <c:f>'Employee Trend'!$B$6:$B$42</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Trend'!$C$6:$C$42</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D8C5-3941-9EA6-8852578D4CE4}"/>
            </c:ext>
          </c:extLst>
        </c:ser>
        <c:dLbls>
          <c:showLegendKey val="0"/>
          <c:showVal val="0"/>
          <c:showCatName val="0"/>
          <c:showSerName val="0"/>
          <c:showPercent val="0"/>
          <c:showBubbleSize val="0"/>
        </c:dLbls>
        <c:smooth val="0"/>
        <c:axId val="21688016"/>
        <c:axId val="21685136"/>
      </c:lineChart>
      <c:catAx>
        <c:axId val="2168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85136"/>
        <c:crosses val="autoZero"/>
        <c:auto val="1"/>
        <c:lblAlgn val="ctr"/>
        <c:lblOffset val="100"/>
        <c:noMultiLvlLbl val="0"/>
      </c:catAx>
      <c:valAx>
        <c:axId val="2168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88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Trend'!$S$6</c:f>
              <c:strCache>
                <c:ptCount val="1"/>
                <c:pt idx="0">
                  <c:v>Running Total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Trend'!$Q$7:$Q$42</c:f>
              <c:numCache>
                <c:formatCode>[$-409]mmm\-yy;@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Trend'!$S$7:$S$42</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B7AE-DE40-82C7-62A435AEE267}"/>
            </c:ext>
          </c:extLst>
        </c:ser>
        <c:dLbls>
          <c:showLegendKey val="0"/>
          <c:showVal val="0"/>
          <c:showCatName val="0"/>
          <c:showSerName val="0"/>
          <c:showPercent val="0"/>
          <c:showBubbleSize val="0"/>
        </c:dLbls>
        <c:marker val="1"/>
        <c:smooth val="0"/>
        <c:axId val="1636298224"/>
        <c:axId val="371969440"/>
      </c:lineChart>
      <c:dateAx>
        <c:axId val="163629822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969440"/>
        <c:crosses val="autoZero"/>
        <c:auto val="1"/>
        <c:lblOffset val="100"/>
        <c:baseTimeUnit val="months"/>
      </c:dateAx>
      <c:valAx>
        <c:axId val="371969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29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Analysis.xlsx]Sheet2!PivotTable2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Sheet2!$C$11</c:f>
              <c:strCache>
                <c:ptCount val="1"/>
                <c:pt idx="0">
                  <c:v>Total</c:v>
                </c:pt>
              </c:strCache>
            </c:strRef>
          </c:tx>
          <c:spPr>
            <a:solidFill>
              <a:schemeClr val="accent2">
                <a:lumMod val="60000"/>
                <a:lumOff val="40000"/>
              </a:schemeClr>
            </a:solidFill>
            <a:ln>
              <a:noFill/>
            </a:ln>
            <a:effectLst/>
          </c:spPr>
          <c:invertIfNegative val="0"/>
          <c:cat>
            <c:strRef>
              <c:f>Sheet2!$B$12:$B$17</c:f>
              <c:strCache>
                <c:ptCount val="5"/>
                <c:pt idx="0">
                  <c:v>Procurement</c:v>
                </c:pt>
                <c:pt idx="1">
                  <c:v>Website</c:v>
                </c:pt>
                <c:pt idx="2">
                  <c:v>Finance</c:v>
                </c:pt>
                <c:pt idx="3">
                  <c:v>Sales</c:v>
                </c:pt>
                <c:pt idx="4">
                  <c:v>HR</c:v>
                </c:pt>
              </c:strCache>
            </c:strRef>
          </c:cat>
          <c:val>
            <c:numRef>
              <c:f>Sheet2!$C$12:$C$17</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A28D-6841-8DFA-CCBADB8850C5}"/>
            </c:ext>
          </c:extLst>
        </c:ser>
        <c:dLbls>
          <c:showLegendKey val="0"/>
          <c:showVal val="0"/>
          <c:showCatName val="0"/>
          <c:showSerName val="0"/>
          <c:showPercent val="0"/>
          <c:showBubbleSize val="0"/>
        </c:dLbls>
        <c:gapWidth val="18"/>
        <c:axId val="235313903"/>
        <c:axId val="1729053536"/>
      </c:barChart>
      <c:catAx>
        <c:axId val="23531390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053536"/>
        <c:crosses val="autoZero"/>
        <c:auto val="1"/>
        <c:lblAlgn val="ctr"/>
        <c:lblOffset val="100"/>
        <c:noMultiLvlLbl val="0"/>
      </c:catAx>
      <c:valAx>
        <c:axId val="172905353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313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Analysis.xlsx]Sheet2!PivotTable3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Sheet2!$G$11</c:f>
              <c:strCache>
                <c:ptCount val="1"/>
                <c:pt idx="0">
                  <c:v>Total</c:v>
                </c:pt>
              </c:strCache>
            </c:strRef>
          </c:tx>
          <c:spPr>
            <a:solidFill>
              <a:schemeClr val="accent1">
                <a:lumMod val="60000"/>
                <a:lumOff val="40000"/>
              </a:schemeClr>
            </a:solidFill>
            <a:ln w="12700">
              <a:solidFill>
                <a:schemeClr val="accent1"/>
              </a:solidFill>
            </a:ln>
            <a:effectLst/>
          </c:spPr>
          <c:invertIfNegative val="0"/>
          <c:cat>
            <c:strRef>
              <c:f>Sheet2!$F$12:$F$17</c:f>
              <c:strCache>
                <c:ptCount val="5"/>
                <c:pt idx="0">
                  <c:v>Website</c:v>
                </c:pt>
                <c:pt idx="1">
                  <c:v>Procurement</c:v>
                </c:pt>
                <c:pt idx="2">
                  <c:v>Finance</c:v>
                </c:pt>
                <c:pt idx="3">
                  <c:v>Sales</c:v>
                </c:pt>
                <c:pt idx="4">
                  <c:v>HR</c:v>
                </c:pt>
              </c:strCache>
            </c:strRef>
          </c:cat>
          <c:val>
            <c:numRef>
              <c:f>Sheet2!$G$12:$G$17</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E54C-6741-A864-4CFAFF229A8C}"/>
            </c:ext>
          </c:extLst>
        </c:ser>
        <c:dLbls>
          <c:showLegendKey val="0"/>
          <c:showVal val="0"/>
          <c:showCatName val="0"/>
          <c:showSerName val="0"/>
          <c:showPercent val="0"/>
          <c:showBubbleSize val="0"/>
        </c:dLbls>
        <c:gapWidth val="18"/>
        <c:axId val="971838127"/>
        <c:axId val="971945295"/>
      </c:barChart>
      <c:catAx>
        <c:axId val="9718381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945295"/>
        <c:crosses val="autoZero"/>
        <c:auto val="1"/>
        <c:lblAlgn val="ctr"/>
        <c:lblOffset val="100"/>
        <c:noMultiLvlLbl val="0"/>
      </c:catAx>
      <c:valAx>
        <c:axId val="971945295"/>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838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with width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with width 10K$</a:t>
          </a:r>
        </a:p>
      </cx:txPr>
    </cx:title>
    <cx:plotArea>
      <cx:plotAreaRegion>
        <cx:series layoutId="clusteredColumn" uniqueId="{8AE96EDE-BDA6-6642-86C5-B8F47E77232F}">
          <cx:tx>
            <cx:txData>
              <cx:f>_xlchart.v1.2</cx:f>
              <cx:v>Salary</cx:v>
            </cx:txData>
          </cx:tx>
          <cx:dataPt idx="4"/>
          <cx:dataId val="0"/>
          <cx:layoutPr>
            <cx:binning intervalClosed="r" underflow="40000">
              <cx:binSize val="10000"/>
            </cx:binning>
          </cx:layoutPr>
        </cx:series>
      </cx:plotAreaRegion>
      <cx:axis id="0">
        <cx:catScaling gapWidth="0"/>
        <cx:tickLabels/>
        <cx:numFmt formatCode="$#,##0.00" sourceLinked="0"/>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17F14AD6-B63B-7042-851F-5DEAB4B694FA}">
          <cx:tx>
            <cx:txData>
              <cx:f>_xlchart.v1.0</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457200</xdr:colOff>
      <xdr:row>5</xdr:row>
      <xdr:rowOff>978</xdr:rowOff>
    </xdr:from>
    <xdr:to>
      <xdr:col>7</xdr:col>
      <xdr:colOff>39077</xdr:colOff>
      <xdr:row>9</xdr:row>
      <xdr:rowOff>185615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022D76A3-C9C2-E343-1741-750ABFFE950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218354" y="977901"/>
              <a:ext cx="1828800" cy="9661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9768</xdr:colOff>
      <xdr:row>4</xdr:row>
      <xdr:rowOff>195383</xdr:rowOff>
    </xdr:from>
    <xdr:to>
      <xdr:col>7</xdr:col>
      <xdr:colOff>0</xdr:colOff>
      <xdr:row>21</xdr:row>
      <xdr:rowOff>185613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5B30378-AC62-5948-A8A1-5BC9B6BA63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5268" y="957383"/>
              <a:ext cx="4943232" cy="32287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820616</xdr:colOff>
      <xdr:row>4</xdr:row>
      <xdr:rowOff>195384</xdr:rowOff>
    </xdr:from>
    <xdr:to>
      <xdr:col>13</xdr:col>
      <xdr:colOff>29308</xdr:colOff>
      <xdr:row>23</xdr:row>
      <xdr:rowOff>175846</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2BD7094-50FB-9F4D-9E02-934D59EC67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599116" y="957384"/>
              <a:ext cx="4161692" cy="359996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9768</xdr:colOff>
      <xdr:row>13</xdr:row>
      <xdr:rowOff>195384</xdr:rowOff>
    </xdr:from>
    <xdr:to>
      <xdr:col>11</xdr:col>
      <xdr:colOff>9769</xdr:colOff>
      <xdr:row>28</xdr:row>
      <xdr:rowOff>7815</xdr:rowOff>
    </xdr:to>
    <xdr:graphicFrame macro="">
      <xdr:nvGraphicFramePr>
        <xdr:cNvPr id="2" name="Chart 1">
          <a:extLst>
            <a:ext uri="{FF2B5EF4-FFF2-40B4-BE49-F238E27FC236}">
              <a16:creationId xmlns:a16="http://schemas.microsoft.com/office/drawing/2014/main" id="{0AFE4E87-5B42-6742-9E3C-83B3B55D7A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784329</xdr:colOff>
      <xdr:row>5</xdr:row>
      <xdr:rowOff>26098</xdr:rowOff>
    </xdr:from>
    <xdr:to>
      <xdr:col>12</xdr:col>
      <xdr:colOff>78153</xdr:colOff>
      <xdr:row>19</xdr:row>
      <xdr:rowOff>107182</xdr:rowOff>
    </xdr:to>
    <xdr:graphicFrame macro="">
      <xdr:nvGraphicFramePr>
        <xdr:cNvPr id="3" name="Chart 2">
          <a:extLst>
            <a:ext uri="{FF2B5EF4-FFF2-40B4-BE49-F238E27FC236}">
              <a16:creationId xmlns:a16="http://schemas.microsoft.com/office/drawing/2014/main" id="{BAB2FDB9-F15A-F0E5-2094-E89C95DCF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4882</xdr:colOff>
      <xdr:row>8</xdr:row>
      <xdr:rowOff>9769</xdr:rowOff>
    </xdr:from>
    <xdr:to>
      <xdr:col>27</xdr:col>
      <xdr:colOff>312616</xdr:colOff>
      <xdr:row>24</xdr:row>
      <xdr:rowOff>13677</xdr:rowOff>
    </xdr:to>
    <xdr:graphicFrame macro="">
      <xdr:nvGraphicFramePr>
        <xdr:cNvPr id="6" name="Chart 5">
          <a:extLst>
            <a:ext uri="{FF2B5EF4-FFF2-40B4-BE49-F238E27FC236}">
              <a16:creationId xmlns:a16="http://schemas.microsoft.com/office/drawing/2014/main" id="{21014EFD-EC8E-5E0F-78F4-3853765F15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0</xdr:colOff>
      <xdr:row>6</xdr:row>
      <xdr:rowOff>0</xdr:rowOff>
    </xdr:from>
    <xdr:to>
      <xdr:col>12</xdr:col>
      <xdr:colOff>1720273</xdr:colOff>
      <xdr:row>24</xdr:row>
      <xdr:rowOff>11545</xdr:rowOff>
    </xdr:to>
    <xdr:graphicFrame macro="">
      <xdr:nvGraphicFramePr>
        <xdr:cNvPr id="2" name="Chart 1">
          <a:extLst>
            <a:ext uri="{FF2B5EF4-FFF2-40B4-BE49-F238E27FC236}">
              <a16:creationId xmlns:a16="http://schemas.microsoft.com/office/drawing/2014/main" id="{D923343F-508B-754F-B640-231D82ED50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6</xdr:row>
      <xdr:rowOff>0</xdr:rowOff>
    </xdr:from>
    <xdr:to>
      <xdr:col>7</xdr:col>
      <xdr:colOff>0</xdr:colOff>
      <xdr:row>24</xdr:row>
      <xdr:rowOff>11545</xdr:rowOff>
    </xdr:to>
    <xdr:graphicFrame macro="">
      <xdr:nvGraphicFramePr>
        <xdr:cNvPr id="3" name="Chart 2">
          <a:extLst>
            <a:ext uri="{FF2B5EF4-FFF2-40B4-BE49-F238E27FC236}">
              <a16:creationId xmlns:a16="http://schemas.microsoft.com/office/drawing/2014/main" id="{4E069308-A437-4142-B1EF-F238D1BC16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80.444142708337" createdVersion="8" refreshedVersion="8" minRefreshableVersion="3" recordCount="183" xr:uid="{E702138E-07D0-2040-82F8-438BBA6F0D28}">
  <cacheSource type="worksheet">
    <worksheetSource name="Staff"/>
  </cacheSource>
  <cacheFields count="11">
    <cacheField name="Name" numFmtId="0">
      <sharedItems count="183">
        <s v="Deepali Charan"/>
        <s v="Yagna Sujeev"/>
        <s v="Satyendra Venkatadri"/>
        <s v="Madhavdas Buhpathi"/>
        <s v="Sahila Chandrasekhar"/>
        <s v="Mirium Seemantini Shivakumar"/>
        <s v="Purnendu Vijayarangan"/>
        <s v="Rukma Vinita"/>
        <s v="Yauvani Tarpa"/>
        <s v="Damayanti Thangavadivelu"/>
        <s v="Manjusri Ruchi"/>
        <s v="Mithil Nadkarni"/>
        <s v="Ardhendu Abhichandra Jayakar"/>
        <s v="Akbar Sorabhjee"/>
        <s v="Bandhula Sathyanna"/>
        <s v="Daruka Ghazali"/>
        <s v="Heer Pennathur"/>
        <s v="Shekhar Eswara"/>
        <s v="Udyan Lanka"/>
        <s v="Shreela Ramasubraman"/>
        <s v="Sanchali Shirish"/>
        <s v="Gangadutt Ragha"/>
        <s v="Waheeda Vasuman"/>
        <s v="Nanak Sapna"/>
        <s v="Shobhana Samuel"/>
        <s v="Amlankusum Rajabhushan"/>
        <s v="Pratigya Rema"/>
        <s v="Ramnath Ravuri"/>
        <s v="Prerana Nishita"/>
        <s v="Makshi Vinutha"/>
        <s v="Shiuli Sapna"/>
        <s v="Agrata Rajarama"/>
        <s v="Vasu Nandin"/>
        <s v="Bhuvan Pals"/>
        <s v="Gumwant Veera"/>
        <s v="Narois Motiwala"/>
        <s v="Anjushri Chandiramani"/>
        <s v="Krishnakanta Vellanki"/>
        <s v="Dhruv Manjunath"/>
        <s v="Vanmala Shriharsha"/>
        <s v="Sameer Shashank Sapra"/>
        <s v="Anumati Shyamari Meherhomji"/>
        <s v="Tarala Vishaal"/>
        <s v="Shubhra Potla"/>
        <s v="Hemavati Muthiah"/>
        <s v="Krittika Gaekwad"/>
        <s v="Shevantilal Muppala"/>
        <s v="Shattesh Utpat"/>
        <s v="Kamalakshi Mukundan"/>
        <s v="Chandana Sannidhi Surnilla"/>
        <s v="Indu Varada Sumedh"/>
        <s v="Karuna Pashupathy"/>
        <s v="Mardav Ramaswami"/>
        <s v="Sarayu Ragunathan"/>
        <s v="Kevalkumar Solanki"/>
        <s v="Upendra Swati"/>
        <s v="Deepit Ranjana"/>
        <s v="Amal Nimesh"/>
        <s v="Kunja Prashanta Vibha"/>
        <s v="Godavari Veena"/>
        <s v="Devasree Fullara Saurin"/>
        <s v="Geena Raghavanpillai"/>
        <s v="Rupak Mehra"/>
        <s v="Sawini Chandan"/>
        <s v="Baruna Ogale"/>
        <s v="Jagajeet Viraj"/>
        <s v="Kulbhushan Moorthy"/>
        <s v="Ilesh Dasgupta"/>
        <s v="Madhumati Gazala Soumitra"/>
        <s v="Chitrasen Laul"/>
        <s v="Jaishree Atasi Yavatkar"/>
        <s v="Kantimoy Pritish"/>
        <s v="Rameshwari Chikodi"/>
        <s v="Lalit Kothari"/>
        <s v="Sahas Sanabhi Shrikant"/>
        <s v="Kaishori Harathi Kateel"/>
        <s v="Rushil Kripa"/>
        <s v="Sarojini Naueshwara"/>
        <s v="Sartaj Probal"/>
        <s v="Mahindra Sreedharan"/>
        <s v="Suchira Bhanupriya Tapti"/>
        <s v="Fullara Sushanti Mokate"/>
        <s v="Hridaynath Tendulkar"/>
        <s v="Abhaya Priyavardhan"/>
        <s v="Ayog Chakrabarti"/>
        <s v="Pragya Nilufar"/>
        <s v="Shulabh Qutub Sundaramoorthy"/>
        <s v="Vinanti Choudhari"/>
        <s v="Ranajay Kailashnath Richa"/>
        <s v="Asija Pothireddy"/>
        <s v="Piyali Mahanthapa"/>
        <s v="Sukhdev Nageshwar"/>
        <s v="Lindy Guillet"/>
        <s v="Ambros Murthwaite"/>
        <s v="Tatum Hush"/>
        <s v="Benny Karolovsky"/>
        <s v="Hoyt D'Alesco"/>
        <s v="Halimeda Kuscha"/>
        <s v="Erin Androsik"/>
        <s v="Vic Radolf"/>
        <s v="William Reeveley"/>
        <s v="Ewart Laphorn"/>
        <s v="Bev Lashley"/>
        <s v="Kath Bletsoe"/>
        <s v="Murry Dryburgh"/>
        <s v="Kaine Padly"/>
        <s v="Kassi Jonson"/>
        <s v="Simon Kembery"/>
        <s v="Orton Livick"/>
        <s v="Kelci Walkden"/>
        <s v="Dotty Strutley"/>
        <s v="Shari McNee"/>
        <s v="Oby Sorrel"/>
        <s v="Husein Augar"/>
        <s v="Brien Boise"/>
        <s v="Esmaria Denecamp"/>
        <s v="Curtice Advani"/>
        <s v="Barr Faughny"/>
        <s v="Merrilee Plenty"/>
        <s v="Niall Selesnick"/>
        <s v="Beverie Moffet"/>
        <s v="Jehu Rudeforth"/>
        <s v="Camilla Castle"/>
        <s v="Roddy Speechley"/>
        <s v="Gray Seamon"/>
        <s v="Madelene Upcott"/>
        <s v="Violante Courtonne"/>
        <s v="Bernie Gorges"/>
        <s v="Torrance Collier"/>
        <s v="Dyna Doucette"/>
        <s v="Gunar Cockshoot"/>
        <s v="Kaye Crocroft"/>
        <s v="Allene Gobbet"/>
        <s v="Sibyl Dunkirk"/>
        <s v="Agnes Collicott"/>
        <s v="Leilah Yesinin"/>
        <s v="Mollie Hanway"/>
        <s v="Kellsie Waby"/>
        <s v="Hyacinthie Braybrooke"/>
        <s v="Van Tuxwell"/>
        <s v="Lilyan Klimpt"/>
        <s v="Tawnya Tickel"/>
        <s v="Jan Morforth"/>
        <s v="Florinda Crace"/>
        <s v="Tracy Renad"/>
        <s v="Myer McCory"/>
        <s v="Bennie Pepis"/>
        <s v="Rafaelita Blaksland"/>
        <s v="Mahalia Larcher"/>
        <s v="Andria Kimpton"/>
        <s v="Valentia Etteridge"/>
        <s v="Virginia McConville"/>
        <s v="Wilone O'Kielt"/>
        <s v="Madge McCloughen"/>
        <s v="Janene Hairsine"/>
        <s v="Alta Kaszper"/>
        <s v="Dennison Crosswaite"/>
        <s v="Oran Buxcy"/>
        <s v="Hinda Label"/>
        <s v="Marney O'Breen"/>
        <s v="Dell Molloy"/>
        <s v="Mallorie Waber"/>
        <s v="Cherlyn Barter"/>
        <s v="Ches Bonnell"/>
        <s v="Collin Jagson"/>
        <s v="Hogan Iles"/>
        <s v="Gretchen Callow"/>
        <s v="Kissiah Maydway"/>
        <s v="Archibald Filliskirk"/>
        <s v="Enoch Dowrey"/>
        <s v="Bili Sizey"/>
        <s v="Caro Chappel"/>
        <s v="Constantino Espley"/>
        <s v="Karlen McCaffrey"/>
        <s v="Drusy MacCombe"/>
        <s v="My Hanscome"/>
        <s v="Teressa Udden"/>
        <s v="Crissie Cordel"/>
        <s v="Elia Cockton"/>
        <s v="Gigi Bohling"/>
        <s v="Ebonee Roxburgh"/>
        <s v="Shayne Stegel"/>
        <s v="Zach Polon"/>
      </sharedItems>
    </cacheField>
    <cacheField name="Gender" numFmtId="0">
      <sharedItems count="3">
        <s v="Male"/>
        <s v="Female"/>
        <s v="Other"/>
      </sharedItems>
    </cacheField>
    <cacheField name="Age" numFmtId="0">
      <sharedItems containsSemiMixedTypes="0" containsString="0" containsNumber="1" containsInteger="1" minValue="19" maxValue="46" count="25">
        <n v="20"/>
        <n v="32"/>
        <n v="31"/>
        <n v="37"/>
        <n v="38"/>
        <n v="25"/>
        <n v="33"/>
        <n v="40"/>
        <n v="30"/>
        <n v="28"/>
        <n v="21"/>
        <n v="34"/>
        <n v="36"/>
        <n v="22"/>
        <n v="27"/>
        <n v="43"/>
        <n v="42"/>
        <n v="35"/>
        <n v="24"/>
        <n v="44"/>
        <n v="26"/>
        <n v="29"/>
        <n v="23"/>
        <n v="19"/>
        <n v="46"/>
      </sharedItems>
    </cacheField>
    <cacheField name="Rating" numFmtId="0">
      <sharedItems count="5">
        <s v="Average"/>
        <s v="Above average"/>
        <s v="Poor"/>
        <s v="Exceptional"/>
        <s v="Very poor"/>
      </sharedItems>
    </cacheField>
    <cacheField name="Date Joined" numFmtId="14">
      <sharedItems containsSemiMixedTypes="0" containsNonDate="0" containsDate="1" containsString="0" minDate="2020-05-07T00:00:00" maxDate="2023-04-30T00:00:00" count="160">
        <d v="2020-10-18T00:00:00"/>
        <d v="2021-04-07T00:00:00"/>
        <d v="2022-04-12T00:00:00"/>
        <d v="2021-05-23T00:00:00"/>
        <d v="2020-09-11T00:00:00"/>
        <d v="2021-03-13T00:00:00"/>
        <d v="2020-11-09T00:00:00"/>
        <d v="2022-06-01T00:00:00"/>
        <d v="2021-05-08T00:00:00"/>
        <d v="2022-04-14T00:00:00"/>
        <d v="2021-05-04T00:00:00"/>
        <d v="2021-12-14T00:00:00"/>
        <d v="2020-05-29T00:00:00"/>
        <d v="2020-07-30T00:00:00"/>
        <d v="2022-03-22T00:00:00"/>
        <d v="2022-04-09T00:00:00"/>
        <d v="2020-05-07T00:00:00"/>
        <d v="2022-08-16T00:00:00"/>
        <d v="2022-05-02T00:00:00"/>
        <d v="2021-07-11T00:00:00"/>
        <d v="2020-08-30T00:00:00"/>
        <d v="2021-03-22T00:00:00"/>
        <d v="2021-12-28T00:00:00"/>
        <d v="2022-06-06T00:00:00"/>
        <d v="2022-04-15T00:00:00"/>
        <d v="2022-03-05T00:00:00"/>
        <d v="2022-02-12T00:00:00"/>
        <d v="2023-02-28T00:00:00"/>
        <d v="2021-12-19T00:00:00"/>
        <d v="2022-08-27T00:00:00"/>
        <d v="2020-11-29T00:00:00"/>
        <d v="2021-03-01T00:00:00"/>
        <d v="2022-01-10T00:00:00"/>
        <d v="2022-03-13T00:00:00"/>
        <d v="2021-06-28T00:00:00"/>
        <d v="2020-10-15T00:00:00"/>
        <d v="2020-08-18T00:00:00"/>
        <d v="2021-07-07T00:00:00"/>
        <d v="2020-07-11T00:00:00"/>
        <d v="2021-11-06T00:00:00"/>
        <d v="2020-12-15T00:00:00"/>
        <d v="2021-04-10T00:00:00"/>
        <d v="2021-07-20T00:00:00"/>
        <d v="2022-02-27T00:00:00"/>
        <d v="2021-02-26T00:00:00"/>
        <d v="2022-02-02T00:00:00"/>
        <d v="2021-08-17T00:00:00"/>
        <d v="2022-05-20T00:00:00"/>
        <d v="2020-12-09T00:00:00"/>
        <d v="2022-04-19T00:00:00"/>
        <d v="2020-10-20T00:00:00"/>
        <d v="2021-01-16T00:00:00"/>
        <d v="2022-02-15T00:00:00"/>
        <d v="2020-09-29T00:00:00"/>
        <d v="2020-06-24T00:00:00"/>
        <d v="2021-12-05T00:00:00"/>
        <d v="2021-07-06T00:00:00"/>
        <d v="2021-09-11T00:00:00"/>
        <d v="2021-03-21T00:00:00"/>
        <d v="2021-10-07T00:00:00"/>
        <d v="2021-07-26T00:00:00"/>
        <d v="2022-07-16T00:00:00"/>
        <d v="2021-04-30T00:00:00"/>
        <d v="2021-01-08T00:00:00"/>
        <d v="2020-09-10T00:00:00"/>
        <d v="2021-03-17T00:00:00"/>
        <d v="2021-12-17T00:00:00"/>
        <d v="2022-07-05T00:00:00"/>
        <d v="2021-06-03T00:00:00"/>
        <d v="2022-03-20T00:00:00"/>
        <d v="2021-05-12T00:00:00"/>
        <d v="2021-01-18T00:00:00"/>
        <d v="2021-12-20T00:00:00"/>
        <d v="2021-07-01T00:00:00"/>
        <d v="2021-07-12T00:00:00"/>
        <d v="2021-09-29T00:00:00"/>
        <d v="2022-01-29T00:00:00"/>
        <d v="2020-05-11T00:00:00"/>
        <d v="2020-09-13T00:00:00"/>
        <d v="2021-05-06T00:00:00"/>
        <d v="2021-04-27T00:00:00"/>
        <d v="2021-09-09T00:00:00"/>
        <d v="2021-08-25T00:00:00"/>
        <d v="2021-01-22T00:00:00"/>
        <d v="2022-05-16T00:00:00"/>
        <d v="2020-12-16T00:00:00"/>
        <d v="2020-10-25T00:00:00"/>
        <d v="2021-09-07T00:00:00"/>
        <d v="2021-06-10T00:00:00"/>
        <d v="2020-11-11T00:00:00"/>
        <d v="2021-09-26T00:00:00"/>
        <d v="2022-10-27T00:00:00"/>
        <d v="2020-11-13T00:00:00"/>
        <d v="2021-11-09T00:00:00"/>
        <d v="2021-09-20T00:00:00"/>
        <d v="2021-06-07T00:00:00"/>
        <d v="2021-03-08T00:00:00"/>
        <d v="2020-09-30T00:00:00"/>
        <d v="2022-07-20T00:00:00"/>
        <d v="2020-11-10T00:00:00"/>
        <d v="2021-02-15T00:00:00"/>
        <d v="2022-04-02T00:00:00"/>
        <d v="2022-01-06T00:00:00"/>
        <d v="2022-02-05T00:00:00"/>
        <d v="2022-08-06T00:00:00"/>
        <d v="2021-05-21T00:00:00"/>
        <d v="2020-12-20T00:00:00"/>
        <d v="2022-02-20T00:00:00"/>
        <d v="2021-06-27T00:00:00"/>
        <d v="2021-10-25T00:00:00"/>
        <d v="2022-06-14T00:00:00"/>
        <d v="2022-06-09T00:00:00"/>
        <d v="2022-03-10T00:00:00"/>
        <d v="2020-12-25T00:00:00"/>
        <d v="2022-06-12T00:00:00"/>
        <d v="2021-11-11T00:00:00"/>
        <d v="2021-08-28T00:00:00"/>
        <d v="2021-11-29T00:00:00"/>
        <d v="2022-09-05T00:00:00"/>
        <d v="2022-05-05T00:00:00"/>
        <d v="2021-09-06T00:00:00"/>
        <d v="2020-12-18T00:00:00"/>
        <d v="2022-07-02T00:00:00"/>
        <d v="2021-12-07T00:00:00"/>
        <d v="2022-05-13T00:00:00"/>
        <d v="2020-07-07T00:00:00"/>
        <d v="2020-07-29T00:00:00"/>
        <d v="2021-07-23T00:00:00"/>
        <d v="2022-10-16T00:00:00"/>
        <d v="2021-05-17T00:00:00"/>
        <d v="2021-06-30T00:00:00"/>
        <d v="2022-02-17T00:00:00"/>
        <d v="2021-03-18T00:00:00"/>
        <d v="2021-09-12T00:00:00"/>
        <d v="2023-04-29T00:00:00"/>
        <d v="2022-08-01T00:00:00"/>
        <d v="2021-10-17T00:00:00"/>
        <d v="2020-10-30T00:00:00"/>
        <d v="2021-03-16T00:00:00"/>
        <d v="2021-05-13T00:00:00"/>
        <d v="2021-01-09T00:00:00"/>
        <d v="2021-05-01T00:00:00"/>
        <d v="2021-01-29T00:00:00"/>
        <d v="2022-03-29T00:00:00"/>
        <d v="2021-05-22T00:00:00"/>
        <d v="2022-04-27T00:00:00"/>
        <d v="2021-09-01T00:00:00"/>
        <d v="2022-06-15T00:00:00"/>
        <d v="2021-02-09T00:00:00"/>
        <d v="2022-02-28T00:00:00"/>
        <d v="2021-07-04T00:00:00"/>
        <d v="2022-02-14T00:00:00"/>
        <d v="2022-09-16T00:00:00"/>
        <d v="2021-02-16T00:00:00"/>
        <d v="2020-08-24T00:00:00"/>
        <d v="2022-02-19T00:00:00"/>
        <d v="2021-04-26T00:00:00"/>
        <d v="2021-07-08T00:00:00"/>
        <d v="2022-06-19T00:00:00"/>
        <d v="2021-08-03T00:00:00"/>
      </sharedItems>
      <fieldGroup par="10" base="4">
        <rangePr groupBy="months" startDate="2020-05-07T00:00:00" endDate="2023-04-30T00:00:00"/>
        <groupItems count="14">
          <s v="&lt;5/7/20"/>
          <s v="Jan"/>
          <s v="Feb"/>
          <s v="Mar"/>
          <s v="Apr"/>
          <s v="May"/>
          <s v="Jun"/>
          <s v="Jul"/>
          <s v="Aug"/>
          <s v="Sep"/>
          <s v="Oct"/>
          <s v="Nov"/>
          <s v="Dec"/>
          <s v="&gt;4/30/23"/>
        </groupItems>
      </fieldGroup>
    </cacheField>
    <cacheField name="Department" numFmtId="0">
      <sharedItems count="5">
        <s v="Website"/>
        <s v="Procurement"/>
        <s v="HR"/>
        <s v="Finance"/>
        <s v="Sales"/>
      </sharedItems>
    </cacheField>
    <cacheField name="Salary" numFmtId="0">
      <sharedItems containsSemiMixedTypes="0" containsString="0" containsNumber="1" containsInteger="1" minValue="33920" maxValue="119110" count="90">
        <n v="112650"/>
        <n v="43840"/>
        <n v="103550"/>
        <n v="45510"/>
        <n v="115440"/>
        <n v="56870"/>
        <n v="92700"/>
        <n v="91310"/>
        <n v="74550"/>
        <n v="109190"/>
        <n v="104410"/>
        <n v="96800"/>
        <n v="48170"/>
        <n v="37920"/>
        <n v="49630"/>
        <n v="118840"/>
        <n v="69710"/>
        <n v="79570"/>
        <n v="76900"/>
        <n v="54970"/>
        <n v="88050"/>
        <n v="36040"/>
        <n v="75000"/>
        <n v="40400"/>
        <n v="100420"/>
        <n v="58100"/>
        <n v="114870"/>
        <n v="41570"/>
        <n v="112570"/>
        <n v="47360"/>
        <n v="65920"/>
        <n v="99970"/>
        <n v="80700"/>
        <n v="52610"/>
        <n v="112110"/>
        <n v="119110"/>
        <n v="112780"/>
        <n v="114890"/>
        <n v="48980"/>
        <n v="75880"/>
        <n v="53240"/>
        <n v="85000"/>
        <n v="33920"/>
        <n v="75280"/>
        <n v="58940"/>
        <n v="104770"/>
        <n v="57090"/>
        <n v="91650"/>
        <n v="70270"/>
        <n v="75970"/>
        <n v="90700"/>
        <n v="60570"/>
        <n v="115920"/>
        <n v="65360"/>
        <n v="64000"/>
        <n v="92450"/>
        <n v="48950"/>
        <n v="83750"/>
        <n v="87620"/>
        <n v="68900"/>
        <n v="53540"/>
        <n v="43510"/>
        <n v="109160"/>
        <n v="99750"/>
        <n v="41980"/>
        <n v="71380"/>
        <n v="113280"/>
        <n v="86570"/>
        <n v="69070"/>
        <n v="67910"/>
        <n v="69120"/>
        <n v="60130"/>
        <n v="106460"/>
        <n v="118100"/>
        <n v="78390"/>
        <n v="114180"/>
        <n v="104120"/>
        <n v="67950"/>
        <n v="34980"/>
        <n v="62780"/>
        <n v="107700"/>
        <n v="65700"/>
        <n v="75480"/>
        <n v="53870"/>
        <n v="78540"/>
        <n v="58960"/>
        <n v="70610"/>
        <n v="59430"/>
        <n v="48530"/>
        <n v="96140"/>
      </sharedItems>
    </cacheField>
    <cacheField name="Country" numFmtId="0">
      <sharedItems count="2">
        <s v="IND"/>
        <s v="NZ"/>
      </sharedItems>
    </cacheField>
    <cacheField name="Tenure" numFmtId="2">
      <sharedItems containsSemiMixedTypes="0" containsString="0" containsNumber="1" minValue="0.36986301369863012" maxValue="3.3479452054794518"/>
    </cacheField>
    <cacheField name="Quarters" numFmtId="0" databaseField="0">
      <fieldGroup base="4">
        <rangePr groupBy="quarters" startDate="2020-05-07T00:00:00" endDate="2023-04-30T00:00:00"/>
        <groupItems count="6">
          <s v="&lt;5/7/20"/>
          <s v="Qtr1"/>
          <s v="Qtr2"/>
          <s v="Qtr3"/>
          <s v="Qtr4"/>
          <s v="&gt;4/30/23"/>
        </groupItems>
      </fieldGroup>
    </cacheField>
    <cacheField name="Years" numFmtId="0" databaseField="0">
      <fieldGroup base="4">
        <rangePr groupBy="years" startDate="2020-05-07T00:00:00" endDate="2023-04-30T00:00:00"/>
        <groupItems count="6">
          <s v="&lt;5/7/20"/>
          <s v="2020"/>
          <s v="2021"/>
          <s v="2022"/>
          <s v="2023"/>
          <s v="&gt;4/30/23"/>
        </groupItems>
      </fieldGroup>
    </cacheField>
  </cacheFields>
  <extLst>
    <ext xmlns:x14="http://schemas.microsoft.com/office/spreadsheetml/2009/9/main" uri="{725AE2AE-9491-48be-B2B4-4EB974FC3084}">
      <x14:pivotCacheDefinition pivotCacheId="10609035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x v="0"/>
    <x v="0"/>
    <x v="0"/>
    <x v="0"/>
    <x v="0"/>
    <x v="0"/>
    <x v="0"/>
    <x v="0"/>
    <n v="2.8986301369863012"/>
  </r>
  <r>
    <x v="1"/>
    <x v="1"/>
    <x v="1"/>
    <x v="1"/>
    <x v="1"/>
    <x v="0"/>
    <x v="1"/>
    <x v="0"/>
    <n v="2.43013698630137"/>
  </r>
  <r>
    <x v="2"/>
    <x v="0"/>
    <x v="2"/>
    <x v="0"/>
    <x v="2"/>
    <x v="1"/>
    <x v="2"/>
    <x v="0"/>
    <n v="1.4164383561643836"/>
  </r>
  <r>
    <x v="3"/>
    <x v="1"/>
    <x v="1"/>
    <x v="0"/>
    <x v="3"/>
    <x v="2"/>
    <x v="3"/>
    <x v="0"/>
    <n v="2.3041095890410959"/>
  </r>
  <r>
    <x v="4"/>
    <x v="2"/>
    <x v="3"/>
    <x v="2"/>
    <x v="4"/>
    <x v="3"/>
    <x v="4"/>
    <x v="0"/>
    <n v="3"/>
  </r>
  <r>
    <x v="5"/>
    <x v="1"/>
    <x v="4"/>
    <x v="1"/>
    <x v="5"/>
    <x v="4"/>
    <x v="5"/>
    <x v="0"/>
    <n v="2.4986301369863013"/>
  </r>
  <r>
    <x v="6"/>
    <x v="1"/>
    <x v="5"/>
    <x v="0"/>
    <x v="6"/>
    <x v="4"/>
    <x v="6"/>
    <x v="0"/>
    <n v="2.8383561643835615"/>
  </r>
  <r>
    <x v="7"/>
    <x v="2"/>
    <x v="1"/>
    <x v="0"/>
    <x v="7"/>
    <x v="0"/>
    <x v="7"/>
    <x v="0"/>
    <n v="1.2794520547945205"/>
  </r>
  <r>
    <x v="8"/>
    <x v="0"/>
    <x v="6"/>
    <x v="0"/>
    <x v="8"/>
    <x v="4"/>
    <x v="8"/>
    <x v="0"/>
    <n v="2.3452054794520549"/>
  </r>
  <r>
    <x v="9"/>
    <x v="0"/>
    <x v="5"/>
    <x v="1"/>
    <x v="9"/>
    <x v="1"/>
    <x v="9"/>
    <x v="0"/>
    <n v="1.4109589041095891"/>
  </r>
  <r>
    <x v="10"/>
    <x v="1"/>
    <x v="7"/>
    <x v="0"/>
    <x v="10"/>
    <x v="0"/>
    <x v="10"/>
    <x v="0"/>
    <n v="2.3561643835616439"/>
  </r>
  <r>
    <x v="11"/>
    <x v="0"/>
    <x v="8"/>
    <x v="0"/>
    <x v="11"/>
    <x v="3"/>
    <x v="11"/>
    <x v="0"/>
    <n v="1.7424657534246575"/>
  </r>
  <r>
    <x v="12"/>
    <x v="0"/>
    <x v="9"/>
    <x v="1"/>
    <x v="12"/>
    <x v="3"/>
    <x v="12"/>
    <x v="0"/>
    <n v="3.2876712328767121"/>
  </r>
  <r>
    <x v="13"/>
    <x v="0"/>
    <x v="10"/>
    <x v="0"/>
    <x v="13"/>
    <x v="1"/>
    <x v="13"/>
    <x v="0"/>
    <n v="3.117808219178082"/>
  </r>
  <r>
    <x v="14"/>
    <x v="0"/>
    <x v="11"/>
    <x v="0"/>
    <x v="14"/>
    <x v="1"/>
    <x v="0"/>
    <x v="0"/>
    <n v="1.473972602739726"/>
  </r>
  <r>
    <x v="15"/>
    <x v="1"/>
    <x v="11"/>
    <x v="2"/>
    <x v="15"/>
    <x v="4"/>
    <x v="14"/>
    <x v="0"/>
    <n v="1.4246575342465753"/>
  </r>
  <r>
    <x v="16"/>
    <x v="0"/>
    <x v="12"/>
    <x v="0"/>
    <x v="16"/>
    <x v="0"/>
    <x v="15"/>
    <x v="0"/>
    <n v="3.3479452054794518"/>
  </r>
  <r>
    <x v="17"/>
    <x v="0"/>
    <x v="8"/>
    <x v="0"/>
    <x v="17"/>
    <x v="0"/>
    <x v="16"/>
    <x v="0"/>
    <n v="1.0712328767123287"/>
  </r>
  <r>
    <x v="18"/>
    <x v="0"/>
    <x v="0"/>
    <x v="0"/>
    <x v="18"/>
    <x v="1"/>
    <x v="17"/>
    <x v="0"/>
    <n v="1.3616438356164384"/>
  </r>
  <r>
    <x v="19"/>
    <x v="1"/>
    <x v="13"/>
    <x v="1"/>
    <x v="19"/>
    <x v="1"/>
    <x v="18"/>
    <x v="0"/>
    <n v="2.1698630136986301"/>
  </r>
  <r>
    <x v="20"/>
    <x v="0"/>
    <x v="14"/>
    <x v="0"/>
    <x v="20"/>
    <x v="4"/>
    <x v="19"/>
    <x v="0"/>
    <n v="3.032876712328767"/>
  </r>
  <r>
    <x v="21"/>
    <x v="0"/>
    <x v="3"/>
    <x v="2"/>
    <x v="21"/>
    <x v="0"/>
    <x v="20"/>
    <x v="0"/>
    <n v="2.473972602739726"/>
  </r>
  <r>
    <x v="22"/>
    <x v="0"/>
    <x v="15"/>
    <x v="0"/>
    <x v="22"/>
    <x v="4"/>
    <x v="21"/>
    <x v="0"/>
    <n v="1.704109589041096"/>
  </r>
  <r>
    <x v="23"/>
    <x v="1"/>
    <x v="16"/>
    <x v="3"/>
    <x v="23"/>
    <x v="1"/>
    <x v="22"/>
    <x v="0"/>
    <n v="1.2657534246575342"/>
  </r>
  <r>
    <x v="24"/>
    <x v="0"/>
    <x v="17"/>
    <x v="0"/>
    <x v="24"/>
    <x v="1"/>
    <x v="23"/>
    <x v="0"/>
    <n v="1.4082191780821918"/>
  </r>
  <r>
    <x v="25"/>
    <x v="0"/>
    <x v="18"/>
    <x v="0"/>
    <x v="25"/>
    <x v="0"/>
    <x v="24"/>
    <x v="0"/>
    <n v="1.5205479452054795"/>
  </r>
  <r>
    <x v="26"/>
    <x v="1"/>
    <x v="2"/>
    <x v="0"/>
    <x v="26"/>
    <x v="0"/>
    <x v="25"/>
    <x v="0"/>
    <n v="1.5780821917808219"/>
  </r>
  <r>
    <x v="27"/>
    <x v="1"/>
    <x v="19"/>
    <x v="0"/>
    <x v="27"/>
    <x v="0"/>
    <x v="26"/>
    <x v="0"/>
    <n v="0.53424657534246578"/>
  </r>
  <r>
    <x v="28"/>
    <x v="1"/>
    <x v="1"/>
    <x v="0"/>
    <x v="28"/>
    <x v="1"/>
    <x v="27"/>
    <x v="0"/>
    <n v="1.7287671232876711"/>
  </r>
  <r>
    <x v="29"/>
    <x v="1"/>
    <x v="8"/>
    <x v="0"/>
    <x v="29"/>
    <x v="1"/>
    <x v="28"/>
    <x v="0"/>
    <n v="1.0410958904109588"/>
  </r>
  <r>
    <x v="30"/>
    <x v="0"/>
    <x v="20"/>
    <x v="0"/>
    <x v="30"/>
    <x v="1"/>
    <x v="29"/>
    <x v="0"/>
    <n v="2.7835616438356166"/>
  </r>
  <r>
    <x v="31"/>
    <x v="1"/>
    <x v="10"/>
    <x v="0"/>
    <x v="31"/>
    <x v="3"/>
    <x v="30"/>
    <x v="0"/>
    <n v="2.5315068493150683"/>
  </r>
  <r>
    <x v="32"/>
    <x v="1"/>
    <x v="9"/>
    <x v="0"/>
    <x v="32"/>
    <x v="1"/>
    <x v="31"/>
    <x v="0"/>
    <n v="1.6684931506849314"/>
  </r>
  <r>
    <x v="33"/>
    <x v="1"/>
    <x v="5"/>
    <x v="1"/>
    <x v="33"/>
    <x v="0"/>
    <x v="32"/>
    <x v="0"/>
    <n v="1.4986301369863013"/>
  </r>
  <r>
    <x v="34"/>
    <x v="0"/>
    <x v="18"/>
    <x v="2"/>
    <x v="34"/>
    <x v="3"/>
    <x v="33"/>
    <x v="0"/>
    <n v="2.2054794520547945"/>
  </r>
  <r>
    <x v="35"/>
    <x v="0"/>
    <x v="21"/>
    <x v="2"/>
    <x v="35"/>
    <x v="0"/>
    <x v="34"/>
    <x v="0"/>
    <n v="2.9068493150684933"/>
  </r>
  <r>
    <x v="36"/>
    <x v="1"/>
    <x v="14"/>
    <x v="0"/>
    <x v="36"/>
    <x v="2"/>
    <x v="35"/>
    <x v="0"/>
    <n v="3.0657534246575344"/>
  </r>
  <r>
    <x v="37"/>
    <x v="0"/>
    <x v="13"/>
    <x v="1"/>
    <x v="37"/>
    <x v="4"/>
    <x v="36"/>
    <x v="0"/>
    <n v="2.1808219178082191"/>
  </r>
  <r>
    <x v="38"/>
    <x v="1"/>
    <x v="12"/>
    <x v="0"/>
    <x v="38"/>
    <x v="1"/>
    <x v="37"/>
    <x v="0"/>
    <n v="3.1698630136986301"/>
  </r>
  <r>
    <x v="39"/>
    <x v="0"/>
    <x v="14"/>
    <x v="0"/>
    <x v="39"/>
    <x v="3"/>
    <x v="38"/>
    <x v="0"/>
    <n v="1.8465753424657534"/>
  </r>
  <r>
    <x v="40"/>
    <x v="0"/>
    <x v="10"/>
    <x v="0"/>
    <x v="40"/>
    <x v="2"/>
    <x v="39"/>
    <x v="0"/>
    <n v="2.7397260273972601"/>
  </r>
  <r>
    <x v="41"/>
    <x v="1"/>
    <x v="9"/>
    <x v="0"/>
    <x v="41"/>
    <x v="4"/>
    <x v="40"/>
    <x v="0"/>
    <n v="2.4219178082191779"/>
  </r>
  <r>
    <x v="42"/>
    <x v="1"/>
    <x v="11"/>
    <x v="0"/>
    <x v="42"/>
    <x v="3"/>
    <x v="41"/>
    <x v="0"/>
    <n v="2.1452054794520548"/>
  </r>
  <r>
    <x v="43"/>
    <x v="1"/>
    <x v="10"/>
    <x v="0"/>
    <x v="43"/>
    <x v="0"/>
    <x v="42"/>
    <x v="0"/>
    <n v="1.536986301369863"/>
  </r>
  <r>
    <x v="44"/>
    <x v="1"/>
    <x v="6"/>
    <x v="0"/>
    <x v="44"/>
    <x v="0"/>
    <x v="43"/>
    <x v="0"/>
    <n v="2.5397260273972604"/>
  </r>
  <r>
    <x v="45"/>
    <x v="1"/>
    <x v="11"/>
    <x v="0"/>
    <x v="45"/>
    <x v="3"/>
    <x v="44"/>
    <x v="0"/>
    <n v="1.6054794520547946"/>
  </r>
  <r>
    <x v="46"/>
    <x v="1"/>
    <x v="9"/>
    <x v="0"/>
    <x v="46"/>
    <x v="1"/>
    <x v="45"/>
    <x v="0"/>
    <n v="2.0684931506849313"/>
  </r>
  <r>
    <x v="47"/>
    <x v="0"/>
    <x v="10"/>
    <x v="0"/>
    <x v="47"/>
    <x v="1"/>
    <x v="46"/>
    <x v="0"/>
    <n v="1.3123287671232877"/>
  </r>
  <r>
    <x v="48"/>
    <x v="0"/>
    <x v="14"/>
    <x v="1"/>
    <x v="48"/>
    <x v="3"/>
    <x v="47"/>
    <x v="0"/>
    <n v="2.7561643835616438"/>
  </r>
  <r>
    <x v="49"/>
    <x v="0"/>
    <x v="16"/>
    <x v="2"/>
    <x v="49"/>
    <x v="3"/>
    <x v="48"/>
    <x v="0"/>
    <n v="1.3972602739726028"/>
  </r>
  <r>
    <x v="50"/>
    <x v="1"/>
    <x v="9"/>
    <x v="0"/>
    <x v="50"/>
    <x v="3"/>
    <x v="49"/>
    <x v="0"/>
    <n v="2.893150684931507"/>
  </r>
  <r>
    <x v="51"/>
    <x v="2"/>
    <x v="14"/>
    <x v="1"/>
    <x v="51"/>
    <x v="0"/>
    <x v="50"/>
    <x v="0"/>
    <n v="2.6520547945205482"/>
  </r>
  <r>
    <x v="52"/>
    <x v="0"/>
    <x v="8"/>
    <x v="0"/>
    <x v="52"/>
    <x v="1"/>
    <x v="51"/>
    <x v="0"/>
    <n v="1.5698630136986302"/>
  </r>
  <r>
    <x v="53"/>
    <x v="0"/>
    <x v="6"/>
    <x v="0"/>
    <x v="53"/>
    <x v="1"/>
    <x v="52"/>
    <x v="0"/>
    <n v="2.9506849315068493"/>
  </r>
  <r>
    <x v="54"/>
    <x v="1"/>
    <x v="6"/>
    <x v="0"/>
    <x v="54"/>
    <x v="3"/>
    <x v="53"/>
    <x v="0"/>
    <n v="3.2164383561643834"/>
  </r>
  <r>
    <x v="55"/>
    <x v="2"/>
    <x v="8"/>
    <x v="0"/>
    <x v="55"/>
    <x v="3"/>
    <x v="54"/>
    <x v="0"/>
    <n v="1.7671232876712328"/>
  </r>
  <r>
    <x v="56"/>
    <x v="1"/>
    <x v="11"/>
    <x v="0"/>
    <x v="56"/>
    <x v="3"/>
    <x v="55"/>
    <x v="0"/>
    <n v="2.1835616438356165"/>
  </r>
  <r>
    <x v="57"/>
    <x v="0"/>
    <x v="2"/>
    <x v="0"/>
    <x v="57"/>
    <x v="0"/>
    <x v="56"/>
    <x v="0"/>
    <n v="2"/>
  </r>
  <r>
    <x v="58"/>
    <x v="1"/>
    <x v="14"/>
    <x v="0"/>
    <x v="25"/>
    <x v="0"/>
    <x v="57"/>
    <x v="0"/>
    <n v="1.5205479452054795"/>
  </r>
  <r>
    <x v="59"/>
    <x v="1"/>
    <x v="7"/>
    <x v="0"/>
    <x v="58"/>
    <x v="0"/>
    <x v="58"/>
    <x v="0"/>
    <n v="2.4767123287671233"/>
  </r>
  <r>
    <x v="60"/>
    <x v="1"/>
    <x v="0"/>
    <x v="2"/>
    <x v="59"/>
    <x v="4"/>
    <x v="59"/>
    <x v="0"/>
    <n v="1.9287671232876713"/>
  </r>
  <r>
    <x v="61"/>
    <x v="0"/>
    <x v="1"/>
    <x v="0"/>
    <x v="60"/>
    <x v="4"/>
    <x v="60"/>
    <x v="0"/>
    <n v="2.128767123287671"/>
  </r>
  <r>
    <x v="62"/>
    <x v="0"/>
    <x v="9"/>
    <x v="4"/>
    <x v="61"/>
    <x v="4"/>
    <x v="61"/>
    <x v="0"/>
    <n v="1.1561643835616437"/>
  </r>
  <r>
    <x v="63"/>
    <x v="1"/>
    <x v="4"/>
    <x v="3"/>
    <x v="62"/>
    <x v="4"/>
    <x v="62"/>
    <x v="0"/>
    <n v="2.3671232876712329"/>
  </r>
  <r>
    <x v="64"/>
    <x v="0"/>
    <x v="7"/>
    <x v="0"/>
    <x v="63"/>
    <x v="1"/>
    <x v="63"/>
    <x v="0"/>
    <n v="2.6739726027397261"/>
  </r>
  <r>
    <x v="65"/>
    <x v="1"/>
    <x v="2"/>
    <x v="0"/>
    <x v="64"/>
    <x v="0"/>
    <x v="64"/>
    <x v="0"/>
    <n v="3.0027397260273974"/>
  </r>
  <r>
    <x v="66"/>
    <x v="0"/>
    <x v="12"/>
    <x v="0"/>
    <x v="65"/>
    <x v="3"/>
    <x v="65"/>
    <x v="0"/>
    <n v="2.4876712328767123"/>
  </r>
  <r>
    <x v="67"/>
    <x v="0"/>
    <x v="14"/>
    <x v="4"/>
    <x v="66"/>
    <x v="1"/>
    <x v="66"/>
    <x v="0"/>
    <n v="1.7342465753424658"/>
  </r>
  <r>
    <x v="68"/>
    <x v="1"/>
    <x v="6"/>
    <x v="0"/>
    <x v="67"/>
    <x v="3"/>
    <x v="67"/>
    <x v="0"/>
    <n v="1.1863013698630136"/>
  </r>
  <r>
    <x v="69"/>
    <x v="0"/>
    <x v="20"/>
    <x v="0"/>
    <x v="68"/>
    <x v="1"/>
    <x v="60"/>
    <x v="0"/>
    <n v="2.2739726027397262"/>
  </r>
  <r>
    <x v="70"/>
    <x v="0"/>
    <x v="3"/>
    <x v="0"/>
    <x v="69"/>
    <x v="0"/>
    <x v="68"/>
    <x v="0"/>
    <n v="1.4794520547945205"/>
  </r>
  <r>
    <x v="71"/>
    <x v="1"/>
    <x v="8"/>
    <x v="2"/>
    <x v="70"/>
    <x v="3"/>
    <x v="69"/>
    <x v="0"/>
    <n v="2.3342465753424659"/>
  </r>
  <r>
    <x v="72"/>
    <x v="0"/>
    <x v="8"/>
    <x v="0"/>
    <x v="71"/>
    <x v="0"/>
    <x v="70"/>
    <x v="0"/>
    <n v="2.6465753424657534"/>
  </r>
  <r>
    <x v="73"/>
    <x v="1"/>
    <x v="11"/>
    <x v="0"/>
    <x v="72"/>
    <x v="3"/>
    <x v="71"/>
    <x v="0"/>
    <n v="1.726027397260274"/>
  </r>
  <r>
    <x v="74"/>
    <x v="0"/>
    <x v="22"/>
    <x v="0"/>
    <x v="73"/>
    <x v="1"/>
    <x v="72"/>
    <x v="0"/>
    <n v="2.1972602739726028"/>
  </r>
  <r>
    <x v="75"/>
    <x v="1"/>
    <x v="3"/>
    <x v="0"/>
    <x v="74"/>
    <x v="2"/>
    <x v="73"/>
    <x v="0"/>
    <n v="2.1671232876712327"/>
  </r>
  <r>
    <x v="76"/>
    <x v="1"/>
    <x v="12"/>
    <x v="0"/>
    <x v="75"/>
    <x v="1"/>
    <x v="74"/>
    <x v="0"/>
    <n v="1.9506849315068493"/>
  </r>
  <r>
    <x v="77"/>
    <x v="1"/>
    <x v="8"/>
    <x v="0"/>
    <x v="17"/>
    <x v="1"/>
    <x v="75"/>
    <x v="0"/>
    <n v="1.0712328767123287"/>
  </r>
  <r>
    <x v="78"/>
    <x v="1"/>
    <x v="9"/>
    <x v="0"/>
    <x v="76"/>
    <x v="1"/>
    <x v="76"/>
    <x v="0"/>
    <n v="1.6164383561643836"/>
  </r>
  <r>
    <x v="79"/>
    <x v="0"/>
    <x v="8"/>
    <x v="0"/>
    <x v="69"/>
    <x v="1"/>
    <x v="77"/>
    <x v="0"/>
    <n v="1.4794520547945205"/>
  </r>
  <r>
    <x v="80"/>
    <x v="1"/>
    <x v="21"/>
    <x v="0"/>
    <x v="77"/>
    <x v="0"/>
    <x v="78"/>
    <x v="0"/>
    <n v="3.3369863013698629"/>
  </r>
  <r>
    <x v="81"/>
    <x v="1"/>
    <x v="18"/>
    <x v="0"/>
    <x v="78"/>
    <x v="0"/>
    <x v="79"/>
    <x v="0"/>
    <n v="2.9945205479452053"/>
  </r>
  <r>
    <x v="82"/>
    <x v="0"/>
    <x v="0"/>
    <x v="0"/>
    <x v="42"/>
    <x v="0"/>
    <x v="80"/>
    <x v="0"/>
    <n v="2.1452054794520548"/>
  </r>
  <r>
    <x v="83"/>
    <x v="0"/>
    <x v="5"/>
    <x v="0"/>
    <x v="79"/>
    <x v="4"/>
    <x v="81"/>
    <x v="0"/>
    <n v="2.3506849315068492"/>
  </r>
  <r>
    <x v="84"/>
    <x v="1"/>
    <x v="6"/>
    <x v="4"/>
    <x v="80"/>
    <x v="0"/>
    <x v="82"/>
    <x v="0"/>
    <n v="2.3753424657534246"/>
  </r>
  <r>
    <x v="85"/>
    <x v="0"/>
    <x v="6"/>
    <x v="0"/>
    <x v="81"/>
    <x v="0"/>
    <x v="83"/>
    <x v="0"/>
    <n v="2.0054794520547947"/>
  </r>
  <r>
    <x v="86"/>
    <x v="1"/>
    <x v="12"/>
    <x v="0"/>
    <x v="82"/>
    <x v="4"/>
    <x v="84"/>
    <x v="0"/>
    <n v="2.0465753424657533"/>
  </r>
  <r>
    <x v="87"/>
    <x v="0"/>
    <x v="23"/>
    <x v="0"/>
    <x v="83"/>
    <x v="1"/>
    <x v="85"/>
    <x v="0"/>
    <n v="2.6356164383561644"/>
  </r>
  <r>
    <x v="88"/>
    <x v="0"/>
    <x v="24"/>
    <x v="0"/>
    <x v="84"/>
    <x v="1"/>
    <x v="86"/>
    <x v="0"/>
    <n v="1.3232876712328767"/>
  </r>
  <r>
    <x v="89"/>
    <x v="0"/>
    <x v="6"/>
    <x v="0"/>
    <x v="85"/>
    <x v="3"/>
    <x v="87"/>
    <x v="0"/>
    <n v="2.7369863013698632"/>
  </r>
  <r>
    <x v="90"/>
    <x v="0"/>
    <x v="6"/>
    <x v="1"/>
    <x v="69"/>
    <x v="1"/>
    <x v="88"/>
    <x v="0"/>
    <n v="1.4794520547945205"/>
  </r>
  <r>
    <x v="91"/>
    <x v="1"/>
    <x v="6"/>
    <x v="0"/>
    <x v="86"/>
    <x v="0"/>
    <x v="89"/>
    <x v="0"/>
    <n v="2.8794520547945206"/>
  </r>
  <r>
    <x v="92"/>
    <x v="0"/>
    <x v="13"/>
    <x v="1"/>
    <x v="87"/>
    <x v="4"/>
    <x v="36"/>
    <x v="1"/>
    <n v="2.010958904109589"/>
  </r>
  <r>
    <x v="93"/>
    <x v="0"/>
    <x v="24"/>
    <x v="0"/>
    <x v="61"/>
    <x v="1"/>
    <x v="86"/>
    <x v="1"/>
    <n v="1.1561643835616437"/>
  </r>
  <r>
    <x v="94"/>
    <x v="1"/>
    <x v="9"/>
    <x v="0"/>
    <x v="88"/>
    <x v="4"/>
    <x v="40"/>
    <x v="1"/>
    <n v="2.2547945205479452"/>
  </r>
  <r>
    <x v="95"/>
    <x v="2"/>
    <x v="3"/>
    <x v="2"/>
    <x v="89"/>
    <x v="3"/>
    <x v="4"/>
    <x v="1"/>
    <n v="2.8328767123287673"/>
  </r>
  <r>
    <x v="96"/>
    <x v="0"/>
    <x v="1"/>
    <x v="0"/>
    <x v="90"/>
    <x v="4"/>
    <x v="60"/>
    <x v="1"/>
    <n v="1.9589041095890412"/>
  </r>
  <r>
    <x v="97"/>
    <x v="1"/>
    <x v="8"/>
    <x v="0"/>
    <x v="91"/>
    <x v="1"/>
    <x v="28"/>
    <x v="1"/>
    <n v="0.87397260273972599"/>
  </r>
  <r>
    <x v="98"/>
    <x v="0"/>
    <x v="6"/>
    <x v="1"/>
    <x v="47"/>
    <x v="1"/>
    <x v="88"/>
    <x v="1"/>
    <n v="1.3123287671232877"/>
  </r>
  <r>
    <x v="99"/>
    <x v="1"/>
    <x v="18"/>
    <x v="0"/>
    <x v="92"/>
    <x v="0"/>
    <x v="79"/>
    <x v="1"/>
    <n v="2.8273972602739725"/>
  </r>
  <r>
    <x v="100"/>
    <x v="0"/>
    <x v="6"/>
    <x v="0"/>
    <x v="93"/>
    <x v="0"/>
    <x v="83"/>
    <x v="1"/>
    <n v="1.8383561643835618"/>
  </r>
  <r>
    <x v="101"/>
    <x v="1"/>
    <x v="14"/>
    <x v="0"/>
    <x v="0"/>
    <x v="2"/>
    <x v="35"/>
    <x v="1"/>
    <n v="2.8986301369863012"/>
  </r>
  <r>
    <x v="102"/>
    <x v="0"/>
    <x v="21"/>
    <x v="2"/>
    <x v="40"/>
    <x v="0"/>
    <x v="34"/>
    <x v="1"/>
    <n v="2.7397260273972601"/>
  </r>
  <r>
    <x v="103"/>
    <x v="0"/>
    <x v="5"/>
    <x v="0"/>
    <x v="56"/>
    <x v="4"/>
    <x v="81"/>
    <x v="1"/>
    <n v="2.1835616438356165"/>
  </r>
  <r>
    <x v="104"/>
    <x v="0"/>
    <x v="3"/>
    <x v="0"/>
    <x v="47"/>
    <x v="0"/>
    <x v="68"/>
    <x v="1"/>
    <n v="1.3123287671232877"/>
  </r>
  <r>
    <x v="105"/>
    <x v="0"/>
    <x v="0"/>
    <x v="0"/>
    <x v="94"/>
    <x v="0"/>
    <x v="80"/>
    <x v="1"/>
    <n v="1.9753424657534246"/>
  </r>
  <r>
    <x v="106"/>
    <x v="1"/>
    <x v="1"/>
    <x v="1"/>
    <x v="95"/>
    <x v="0"/>
    <x v="1"/>
    <x v="1"/>
    <n v="2.2630136986301368"/>
  </r>
  <r>
    <x v="107"/>
    <x v="0"/>
    <x v="7"/>
    <x v="0"/>
    <x v="96"/>
    <x v="1"/>
    <x v="63"/>
    <x v="1"/>
    <n v="2.5123287671232877"/>
  </r>
  <r>
    <x v="108"/>
    <x v="0"/>
    <x v="10"/>
    <x v="0"/>
    <x v="97"/>
    <x v="1"/>
    <x v="13"/>
    <x v="1"/>
    <n v="2.9479452054794519"/>
  </r>
  <r>
    <x v="109"/>
    <x v="0"/>
    <x v="10"/>
    <x v="0"/>
    <x v="98"/>
    <x v="1"/>
    <x v="46"/>
    <x v="1"/>
    <n v="1.1452054794520548"/>
  </r>
  <r>
    <x v="110"/>
    <x v="1"/>
    <x v="2"/>
    <x v="0"/>
    <x v="99"/>
    <x v="0"/>
    <x v="64"/>
    <x v="1"/>
    <n v="2.8356164383561642"/>
  </r>
  <r>
    <x v="111"/>
    <x v="0"/>
    <x v="10"/>
    <x v="0"/>
    <x v="100"/>
    <x v="2"/>
    <x v="39"/>
    <x v="1"/>
    <n v="2.56986301369863"/>
  </r>
  <r>
    <x v="112"/>
    <x v="1"/>
    <x v="11"/>
    <x v="0"/>
    <x v="101"/>
    <x v="3"/>
    <x v="44"/>
    <x v="1"/>
    <n v="1.4438356164383561"/>
  </r>
  <r>
    <x v="113"/>
    <x v="1"/>
    <x v="8"/>
    <x v="2"/>
    <x v="74"/>
    <x v="3"/>
    <x v="69"/>
    <x v="1"/>
    <n v="2.1671232876712327"/>
  </r>
  <r>
    <x v="114"/>
    <x v="1"/>
    <x v="2"/>
    <x v="0"/>
    <x v="2"/>
    <x v="0"/>
    <x v="25"/>
    <x v="1"/>
    <n v="1.4164383561643836"/>
  </r>
  <r>
    <x v="115"/>
    <x v="0"/>
    <x v="14"/>
    <x v="0"/>
    <x v="102"/>
    <x v="3"/>
    <x v="38"/>
    <x v="1"/>
    <n v="1.6794520547945206"/>
  </r>
  <r>
    <x v="116"/>
    <x v="2"/>
    <x v="8"/>
    <x v="0"/>
    <x v="103"/>
    <x v="3"/>
    <x v="54"/>
    <x v="1"/>
    <n v="1.5972602739726027"/>
  </r>
  <r>
    <x v="117"/>
    <x v="1"/>
    <x v="16"/>
    <x v="3"/>
    <x v="104"/>
    <x v="1"/>
    <x v="22"/>
    <x v="1"/>
    <n v="1.0986301369863014"/>
  </r>
  <r>
    <x v="118"/>
    <x v="1"/>
    <x v="7"/>
    <x v="0"/>
    <x v="105"/>
    <x v="0"/>
    <x v="58"/>
    <x v="1"/>
    <n v="2.3095890410958906"/>
  </r>
  <r>
    <x v="119"/>
    <x v="1"/>
    <x v="21"/>
    <x v="0"/>
    <x v="38"/>
    <x v="0"/>
    <x v="78"/>
    <x v="1"/>
    <n v="3.1698630136986301"/>
  </r>
  <r>
    <x v="120"/>
    <x v="1"/>
    <x v="9"/>
    <x v="0"/>
    <x v="106"/>
    <x v="3"/>
    <x v="49"/>
    <x v="1"/>
    <n v="2.7260273972602738"/>
  </r>
  <r>
    <x v="121"/>
    <x v="1"/>
    <x v="11"/>
    <x v="0"/>
    <x v="107"/>
    <x v="3"/>
    <x v="71"/>
    <x v="1"/>
    <n v="1.5561643835616439"/>
  </r>
  <r>
    <x v="122"/>
    <x v="1"/>
    <x v="6"/>
    <x v="4"/>
    <x v="108"/>
    <x v="0"/>
    <x v="82"/>
    <x v="1"/>
    <n v="2.2082191780821918"/>
  </r>
  <r>
    <x v="123"/>
    <x v="0"/>
    <x v="6"/>
    <x v="0"/>
    <x v="30"/>
    <x v="1"/>
    <x v="52"/>
    <x v="1"/>
    <n v="2.7835616438356166"/>
  </r>
  <r>
    <x v="124"/>
    <x v="1"/>
    <x v="12"/>
    <x v="0"/>
    <x v="109"/>
    <x v="4"/>
    <x v="84"/>
    <x v="1"/>
    <n v="1.8794520547945206"/>
  </r>
  <r>
    <x v="125"/>
    <x v="0"/>
    <x v="5"/>
    <x v="1"/>
    <x v="110"/>
    <x v="1"/>
    <x v="9"/>
    <x v="1"/>
    <n v="1.2438356164383562"/>
  </r>
  <r>
    <x v="126"/>
    <x v="1"/>
    <x v="11"/>
    <x v="2"/>
    <x v="111"/>
    <x v="4"/>
    <x v="14"/>
    <x v="1"/>
    <n v="1.2575342465753425"/>
  </r>
  <r>
    <x v="127"/>
    <x v="1"/>
    <x v="9"/>
    <x v="0"/>
    <x v="112"/>
    <x v="1"/>
    <x v="31"/>
    <x v="1"/>
    <n v="1.5068493150684932"/>
  </r>
  <r>
    <x v="128"/>
    <x v="1"/>
    <x v="6"/>
    <x v="0"/>
    <x v="113"/>
    <x v="0"/>
    <x v="89"/>
    <x v="1"/>
    <n v="2.7123287671232879"/>
  </r>
  <r>
    <x v="129"/>
    <x v="0"/>
    <x v="2"/>
    <x v="0"/>
    <x v="114"/>
    <x v="1"/>
    <x v="2"/>
    <x v="1"/>
    <n v="1.2493150684931507"/>
  </r>
  <r>
    <x v="130"/>
    <x v="0"/>
    <x v="2"/>
    <x v="0"/>
    <x v="115"/>
    <x v="0"/>
    <x v="56"/>
    <x v="1"/>
    <n v="1.832876712328767"/>
  </r>
  <r>
    <x v="131"/>
    <x v="0"/>
    <x v="18"/>
    <x v="2"/>
    <x v="116"/>
    <x v="3"/>
    <x v="33"/>
    <x v="1"/>
    <n v="2.0383561643835617"/>
  </r>
  <r>
    <x v="132"/>
    <x v="1"/>
    <x v="12"/>
    <x v="0"/>
    <x v="117"/>
    <x v="1"/>
    <x v="74"/>
    <x v="1"/>
    <n v="1.7835616438356163"/>
  </r>
  <r>
    <x v="133"/>
    <x v="1"/>
    <x v="6"/>
    <x v="0"/>
    <x v="118"/>
    <x v="3"/>
    <x v="67"/>
    <x v="1"/>
    <n v="1.0164383561643835"/>
  </r>
  <r>
    <x v="134"/>
    <x v="1"/>
    <x v="14"/>
    <x v="0"/>
    <x v="119"/>
    <x v="0"/>
    <x v="57"/>
    <x v="1"/>
    <n v="1.3534246575342466"/>
  </r>
  <r>
    <x v="135"/>
    <x v="1"/>
    <x v="11"/>
    <x v="0"/>
    <x v="120"/>
    <x v="3"/>
    <x v="55"/>
    <x v="1"/>
    <n v="2.0136986301369864"/>
  </r>
  <r>
    <x v="136"/>
    <x v="0"/>
    <x v="0"/>
    <x v="0"/>
    <x v="121"/>
    <x v="0"/>
    <x v="0"/>
    <x v="1"/>
    <n v="2.7315068493150685"/>
  </r>
  <r>
    <x v="137"/>
    <x v="0"/>
    <x v="0"/>
    <x v="0"/>
    <x v="122"/>
    <x v="1"/>
    <x v="17"/>
    <x v="1"/>
    <n v="1.1945205479452055"/>
  </r>
  <r>
    <x v="138"/>
    <x v="1"/>
    <x v="0"/>
    <x v="2"/>
    <x v="123"/>
    <x v="4"/>
    <x v="59"/>
    <x v="1"/>
    <n v="1.7616438356164383"/>
  </r>
  <r>
    <x v="139"/>
    <x v="1"/>
    <x v="5"/>
    <x v="1"/>
    <x v="124"/>
    <x v="0"/>
    <x v="32"/>
    <x v="1"/>
    <n v="1.3315068493150686"/>
  </r>
  <r>
    <x v="140"/>
    <x v="0"/>
    <x v="23"/>
    <x v="0"/>
    <x v="21"/>
    <x v="1"/>
    <x v="85"/>
    <x v="1"/>
    <n v="2.473972602739726"/>
  </r>
  <r>
    <x v="141"/>
    <x v="0"/>
    <x v="12"/>
    <x v="0"/>
    <x v="125"/>
    <x v="0"/>
    <x v="15"/>
    <x v="1"/>
    <n v="3.1808219178082191"/>
  </r>
  <r>
    <x v="142"/>
    <x v="0"/>
    <x v="9"/>
    <x v="1"/>
    <x v="126"/>
    <x v="3"/>
    <x v="12"/>
    <x v="1"/>
    <n v="3.1205479452054794"/>
  </r>
  <r>
    <x v="143"/>
    <x v="1"/>
    <x v="1"/>
    <x v="0"/>
    <x v="127"/>
    <x v="2"/>
    <x v="3"/>
    <x v="1"/>
    <n v="2.1369863013698631"/>
  </r>
  <r>
    <x v="144"/>
    <x v="1"/>
    <x v="12"/>
    <x v="0"/>
    <x v="4"/>
    <x v="1"/>
    <x v="37"/>
    <x v="1"/>
    <n v="3"/>
  </r>
  <r>
    <x v="145"/>
    <x v="0"/>
    <x v="8"/>
    <x v="0"/>
    <x v="128"/>
    <x v="0"/>
    <x v="16"/>
    <x v="1"/>
    <n v="0.90410958904109584"/>
  </r>
  <r>
    <x v="146"/>
    <x v="0"/>
    <x v="12"/>
    <x v="0"/>
    <x v="129"/>
    <x v="3"/>
    <x v="65"/>
    <x v="1"/>
    <n v="2.3205479452054796"/>
  </r>
  <r>
    <x v="147"/>
    <x v="1"/>
    <x v="4"/>
    <x v="3"/>
    <x v="130"/>
    <x v="4"/>
    <x v="62"/>
    <x v="1"/>
    <n v="2.2000000000000002"/>
  </r>
  <r>
    <x v="148"/>
    <x v="0"/>
    <x v="14"/>
    <x v="4"/>
    <x v="131"/>
    <x v="1"/>
    <x v="66"/>
    <x v="1"/>
    <n v="1.5643835616438355"/>
  </r>
  <r>
    <x v="149"/>
    <x v="0"/>
    <x v="8"/>
    <x v="0"/>
    <x v="132"/>
    <x v="0"/>
    <x v="70"/>
    <x v="1"/>
    <n v="2.484931506849315"/>
  </r>
  <r>
    <x v="150"/>
    <x v="1"/>
    <x v="3"/>
    <x v="0"/>
    <x v="133"/>
    <x v="2"/>
    <x v="73"/>
    <x v="1"/>
    <n v="1.9972602739726026"/>
  </r>
  <r>
    <x v="151"/>
    <x v="1"/>
    <x v="13"/>
    <x v="1"/>
    <x v="57"/>
    <x v="1"/>
    <x v="18"/>
    <x v="1"/>
    <n v="2"/>
  </r>
  <r>
    <x v="152"/>
    <x v="1"/>
    <x v="15"/>
    <x v="0"/>
    <x v="134"/>
    <x v="0"/>
    <x v="26"/>
    <x v="1"/>
    <n v="0.36986301369863012"/>
  </r>
  <r>
    <x v="153"/>
    <x v="2"/>
    <x v="1"/>
    <x v="0"/>
    <x v="135"/>
    <x v="0"/>
    <x v="7"/>
    <x v="1"/>
    <n v="1.1123287671232878"/>
  </r>
  <r>
    <x v="154"/>
    <x v="1"/>
    <x v="9"/>
    <x v="0"/>
    <x v="136"/>
    <x v="1"/>
    <x v="45"/>
    <x v="1"/>
    <n v="1.9013698630136986"/>
  </r>
  <r>
    <x v="155"/>
    <x v="0"/>
    <x v="14"/>
    <x v="0"/>
    <x v="137"/>
    <x v="4"/>
    <x v="19"/>
    <x v="1"/>
    <n v="2.8657534246575342"/>
  </r>
  <r>
    <x v="156"/>
    <x v="2"/>
    <x v="20"/>
    <x v="1"/>
    <x v="138"/>
    <x v="0"/>
    <x v="50"/>
    <x v="1"/>
    <n v="2.4904109589041097"/>
  </r>
  <r>
    <x v="157"/>
    <x v="1"/>
    <x v="4"/>
    <x v="1"/>
    <x v="139"/>
    <x v="4"/>
    <x v="5"/>
    <x v="1"/>
    <n v="2.3315068493150686"/>
  </r>
  <r>
    <x v="158"/>
    <x v="1"/>
    <x v="5"/>
    <x v="0"/>
    <x v="140"/>
    <x v="4"/>
    <x v="6"/>
    <x v="1"/>
    <n v="2.6712328767123288"/>
  </r>
  <r>
    <x v="159"/>
    <x v="1"/>
    <x v="10"/>
    <x v="0"/>
    <x v="141"/>
    <x v="3"/>
    <x v="30"/>
    <x v="1"/>
    <n v="2.3643835616438356"/>
  </r>
  <r>
    <x v="160"/>
    <x v="0"/>
    <x v="20"/>
    <x v="0"/>
    <x v="142"/>
    <x v="1"/>
    <x v="29"/>
    <x v="1"/>
    <n v="2.6164383561643834"/>
  </r>
  <r>
    <x v="161"/>
    <x v="0"/>
    <x v="8"/>
    <x v="0"/>
    <x v="24"/>
    <x v="1"/>
    <x v="51"/>
    <x v="1"/>
    <n v="1.4082191780821918"/>
  </r>
  <r>
    <x v="162"/>
    <x v="1"/>
    <x v="9"/>
    <x v="0"/>
    <x v="143"/>
    <x v="1"/>
    <x v="76"/>
    <x v="1"/>
    <n v="1.4547945205479451"/>
  </r>
  <r>
    <x v="163"/>
    <x v="0"/>
    <x v="3"/>
    <x v="2"/>
    <x v="144"/>
    <x v="0"/>
    <x v="20"/>
    <x v="1"/>
    <n v="2.3068493150684932"/>
  </r>
  <r>
    <x v="164"/>
    <x v="0"/>
    <x v="18"/>
    <x v="0"/>
    <x v="119"/>
    <x v="0"/>
    <x v="24"/>
    <x v="1"/>
    <n v="1.3534246575342466"/>
  </r>
  <r>
    <x v="165"/>
    <x v="1"/>
    <x v="8"/>
    <x v="0"/>
    <x v="128"/>
    <x v="1"/>
    <x v="75"/>
    <x v="1"/>
    <n v="0.90410958904109584"/>
  </r>
  <r>
    <x v="166"/>
    <x v="1"/>
    <x v="10"/>
    <x v="0"/>
    <x v="145"/>
    <x v="0"/>
    <x v="42"/>
    <x v="1"/>
    <n v="1.3753424657534246"/>
  </r>
  <r>
    <x v="167"/>
    <x v="0"/>
    <x v="22"/>
    <x v="0"/>
    <x v="146"/>
    <x v="1"/>
    <x v="72"/>
    <x v="1"/>
    <n v="2.0273972602739727"/>
  </r>
  <r>
    <x v="168"/>
    <x v="0"/>
    <x v="17"/>
    <x v="0"/>
    <x v="147"/>
    <x v="1"/>
    <x v="23"/>
    <x v="1"/>
    <n v="1.2410958904109588"/>
  </r>
  <r>
    <x v="169"/>
    <x v="0"/>
    <x v="14"/>
    <x v="1"/>
    <x v="148"/>
    <x v="3"/>
    <x v="47"/>
    <x v="1"/>
    <n v="2.5863013698630137"/>
  </r>
  <r>
    <x v="170"/>
    <x v="0"/>
    <x v="15"/>
    <x v="0"/>
    <x v="149"/>
    <x v="4"/>
    <x v="21"/>
    <x v="1"/>
    <n v="1.5342465753424657"/>
  </r>
  <r>
    <x v="171"/>
    <x v="1"/>
    <x v="7"/>
    <x v="0"/>
    <x v="150"/>
    <x v="0"/>
    <x v="10"/>
    <x v="1"/>
    <n v="2.1890410958904107"/>
  </r>
  <r>
    <x v="172"/>
    <x v="0"/>
    <x v="8"/>
    <x v="0"/>
    <x v="151"/>
    <x v="3"/>
    <x v="11"/>
    <x v="1"/>
    <n v="1.5726027397260274"/>
  </r>
  <r>
    <x v="173"/>
    <x v="1"/>
    <x v="11"/>
    <x v="0"/>
    <x v="94"/>
    <x v="3"/>
    <x v="41"/>
    <x v="1"/>
    <n v="1.9753424657534246"/>
  </r>
  <r>
    <x v="174"/>
    <x v="0"/>
    <x v="9"/>
    <x v="4"/>
    <x v="152"/>
    <x v="4"/>
    <x v="61"/>
    <x v="1"/>
    <n v="0.98630136986301364"/>
  </r>
  <r>
    <x v="175"/>
    <x v="0"/>
    <x v="6"/>
    <x v="0"/>
    <x v="153"/>
    <x v="3"/>
    <x v="87"/>
    <x v="1"/>
    <n v="2.5671232876712327"/>
  </r>
  <r>
    <x v="176"/>
    <x v="1"/>
    <x v="6"/>
    <x v="0"/>
    <x v="154"/>
    <x v="3"/>
    <x v="53"/>
    <x v="1"/>
    <n v="3.0493150684931507"/>
  </r>
  <r>
    <x v="177"/>
    <x v="1"/>
    <x v="1"/>
    <x v="0"/>
    <x v="155"/>
    <x v="1"/>
    <x v="27"/>
    <x v="1"/>
    <n v="1.558904109589041"/>
  </r>
  <r>
    <x v="178"/>
    <x v="1"/>
    <x v="6"/>
    <x v="0"/>
    <x v="156"/>
    <x v="0"/>
    <x v="43"/>
    <x v="1"/>
    <n v="2.3780821917808219"/>
  </r>
  <r>
    <x v="179"/>
    <x v="0"/>
    <x v="6"/>
    <x v="0"/>
    <x v="157"/>
    <x v="4"/>
    <x v="8"/>
    <x v="1"/>
    <n v="2.1780821917808217"/>
  </r>
  <r>
    <x v="180"/>
    <x v="0"/>
    <x v="8"/>
    <x v="0"/>
    <x v="47"/>
    <x v="1"/>
    <x v="77"/>
    <x v="1"/>
    <n v="1.3123287671232877"/>
  </r>
  <r>
    <x v="181"/>
    <x v="0"/>
    <x v="16"/>
    <x v="2"/>
    <x v="158"/>
    <x v="3"/>
    <x v="48"/>
    <x v="1"/>
    <n v="1.2301369863013698"/>
  </r>
  <r>
    <x v="182"/>
    <x v="0"/>
    <x v="20"/>
    <x v="0"/>
    <x v="159"/>
    <x v="1"/>
    <x v="60"/>
    <x v="1"/>
    <n v="2.1068493150684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D2F76C-EA1B-5344-B7AC-4738BFA90DDF}" name="PivotTable1" cacheId="3"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6:D11" firstHeaderRow="1" firstDataRow="2" firstDataCol="1"/>
  <pivotFields count="11">
    <pivotField dataField="1" showAll="0">
      <items count="184">
        <item x="83"/>
        <item x="134"/>
        <item x="31"/>
        <item x="13"/>
        <item x="132"/>
        <item x="155"/>
        <item x="57"/>
        <item x="93"/>
        <item x="25"/>
        <item x="149"/>
        <item x="36"/>
        <item x="41"/>
        <item x="168"/>
        <item x="12"/>
        <item x="89"/>
        <item x="84"/>
        <item x="14"/>
        <item x="117"/>
        <item x="64"/>
        <item x="146"/>
        <item x="95"/>
        <item x="127"/>
        <item x="102"/>
        <item x="120"/>
        <item x="33"/>
        <item x="170"/>
        <item x="114"/>
        <item x="122"/>
        <item x="171"/>
        <item x="49"/>
        <item x="162"/>
        <item x="163"/>
        <item x="69"/>
        <item x="164"/>
        <item x="172"/>
        <item x="177"/>
        <item x="116"/>
        <item x="9"/>
        <item x="15"/>
        <item x="0"/>
        <item x="56"/>
        <item x="160"/>
        <item x="156"/>
        <item x="60"/>
        <item x="38"/>
        <item x="110"/>
        <item x="174"/>
        <item x="129"/>
        <item x="180"/>
        <item x="178"/>
        <item x="169"/>
        <item x="98"/>
        <item x="115"/>
        <item x="101"/>
        <item x="143"/>
        <item x="81"/>
        <item x="21"/>
        <item x="61"/>
        <item x="179"/>
        <item x="59"/>
        <item x="124"/>
        <item x="166"/>
        <item x="34"/>
        <item x="130"/>
        <item x="97"/>
        <item x="16"/>
        <item x="44"/>
        <item x="158"/>
        <item x="165"/>
        <item x="96"/>
        <item x="82"/>
        <item x="113"/>
        <item x="138"/>
        <item x="67"/>
        <item x="50"/>
        <item x="65"/>
        <item x="70"/>
        <item x="142"/>
        <item x="154"/>
        <item x="121"/>
        <item x="105"/>
        <item x="75"/>
        <item x="48"/>
        <item x="71"/>
        <item x="173"/>
        <item x="51"/>
        <item x="106"/>
        <item x="103"/>
        <item x="131"/>
        <item x="109"/>
        <item x="137"/>
        <item x="54"/>
        <item x="167"/>
        <item x="37"/>
        <item x="45"/>
        <item x="66"/>
        <item x="58"/>
        <item x="73"/>
        <item x="135"/>
        <item x="140"/>
        <item x="92"/>
        <item x="125"/>
        <item x="153"/>
        <item x="3"/>
        <item x="68"/>
        <item x="148"/>
        <item x="79"/>
        <item x="29"/>
        <item x="161"/>
        <item x="10"/>
        <item x="52"/>
        <item x="159"/>
        <item x="118"/>
        <item x="5"/>
        <item x="11"/>
        <item x="136"/>
        <item x="104"/>
        <item x="175"/>
        <item x="145"/>
        <item x="23"/>
        <item x="35"/>
        <item x="119"/>
        <item x="112"/>
        <item x="157"/>
        <item x="108"/>
        <item x="90"/>
        <item x="85"/>
        <item x="26"/>
        <item x="28"/>
        <item x="6"/>
        <item x="147"/>
        <item x="72"/>
        <item x="27"/>
        <item x="88"/>
        <item x="123"/>
        <item x="7"/>
        <item x="62"/>
        <item x="76"/>
        <item x="74"/>
        <item x="4"/>
        <item x="40"/>
        <item x="20"/>
        <item x="53"/>
        <item x="77"/>
        <item x="78"/>
        <item x="2"/>
        <item x="63"/>
        <item x="111"/>
        <item x="47"/>
        <item x="181"/>
        <item x="17"/>
        <item x="46"/>
        <item x="30"/>
        <item x="24"/>
        <item x="19"/>
        <item x="43"/>
        <item x="86"/>
        <item x="133"/>
        <item x="107"/>
        <item x="80"/>
        <item x="91"/>
        <item x="42"/>
        <item x="94"/>
        <item x="141"/>
        <item x="176"/>
        <item x="128"/>
        <item x="144"/>
        <item x="18"/>
        <item x="55"/>
        <item x="150"/>
        <item x="139"/>
        <item x="39"/>
        <item x="32"/>
        <item x="99"/>
        <item x="87"/>
        <item x="126"/>
        <item x="151"/>
        <item x="22"/>
        <item x="100"/>
        <item x="152"/>
        <item x="1"/>
        <item x="8"/>
        <item x="182"/>
        <item t="default"/>
      </items>
    </pivotField>
    <pivotField axis="axisCol" showAll="0">
      <items count="4">
        <item x="1"/>
        <item x="0"/>
        <item h="1" x="2"/>
        <item t="default"/>
      </items>
    </pivotField>
    <pivotField dataField="1" showAll="0">
      <items count="26">
        <item x="23"/>
        <item x="0"/>
        <item x="10"/>
        <item x="13"/>
        <item x="22"/>
        <item x="18"/>
        <item x="5"/>
        <item x="20"/>
        <item x="14"/>
        <item x="9"/>
        <item x="21"/>
        <item x="8"/>
        <item x="2"/>
        <item x="1"/>
        <item x="6"/>
        <item x="11"/>
        <item x="17"/>
        <item x="12"/>
        <item x="3"/>
        <item x="4"/>
        <item x="7"/>
        <item x="16"/>
        <item x="15"/>
        <item x="19"/>
        <item x="24"/>
        <item t="default"/>
      </items>
    </pivotField>
    <pivotField showAll="0"/>
    <pivotField numFmtId="14" showAll="0">
      <items count="15">
        <item x="0"/>
        <item x="1"/>
        <item x="2"/>
        <item x="3"/>
        <item x="4"/>
        <item x="5"/>
        <item x="6"/>
        <item x="7"/>
        <item x="8"/>
        <item x="9"/>
        <item x="10"/>
        <item x="11"/>
        <item x="12"/>
        <item x="13"/>
        <item t="default"/>
      </items>
    </pivotField>
    <pivotField showAll="0"/>
    <pivotField dataField="1" showAll="0"/>
    <pivotField showAll="0">
      <items count="3">
        <item h="1" x="0"/>
        <item x="1"/>
        <item t="default"/>
      </items>
    </pivotField>
    <pivotField dataField="1" numFmtId="2" showAll="0"/>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4">
    <i>
      <x/>
    </i>
    <i i="1">
      <x v="1"/>
    </i>
    <i i="2">
      <x v="2"/>
    </i>
    <i i="3">
      <x v="3"/>
    </i>
  </rowItems>
  <colFields count="1">
    <field x="1"/>
  </colFields>
  <colItems count="2">
    <i>
      <x/>
    </i>
    <i>
      <x v="1"/>
    </i>
  </colItems>
  <dataFields count="4">
    <dataField name="Count of Name" fld="0" subtotal="count" baseField="0" baseItem="0"/>
    <dataField name="Average of Age" fld="2" subtotal="average" baseField="0" baseItem="0"/>
    <dataField name="Average of Salary" fld="6" subtotal="average" baseField="0" baseItem="0"/>
    <dataField name="Average of Tenure" fld="8" subtotal="average" baseField="0" baseItem="0"/>
  </dataFields>
  <formats count="2">
    <format dxfId="11">
      <pivotArea collapsedLevelsAreSubtotals="1" fieldPosition="0">
        <references count="1">
          <reference field="4294967294" count="3">
            <x v="1"/>
            <x v="2"/>
            <x v="3"/>
          </reference>
        </references>
      </pivotArea>
    </format>
    <format dxfId="10">
      <pivotArea collapsedLevelsAreSubtotals="1"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776EC9-3145-8C44-AC39-9FF23FC256C7}"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E11" firstHeaderRow="0" firstDataRow="1" firstDataCol="1"/>
  <pivotFields count="11">
    <pivotField dataField="1" showAll="0"/>
    <pivotField showAll="0"/>
    <pivotField showAll="0"/>
    <pivotField axis="axisRow" showAll="0">
      <items count="6">
        <item x="3"/>
        <item x="1"/>
        <item x="0"/>
        <item x="2"/>
        <item x="4"/>
        <item t="default"/>
      </items>
    </pivotField>
    <pivotField numFmtId="14" showAll="0">
      <items count="15">
        <item x="0"/>
        <item x="1"/>
        <item x="2"/>
        <item x="3"/>
        <item x="4"/>
        <item x="5"/>
        <item x="6"/>
        <item x="7"/>
        <item x="8"/>
        <item x="9"/>
        <item x="10"/>
        <item x="11"/>
        <item x="12"/>
        <item x="13"/>
        <item t="default"/>
      </items>
    </pivotField>
    <pivotField showAll="0"/>
    <pivotField dataField="1" showAll="0">
      <items count="91">
        <item x="42"/>
        <item x="78"/>
        <item x="21"/>
        <item x="13"/>
        <item x="23"/>
        <item x="27"/>
        <item x="64"/>
        <item x="61"/>
        <item x="1"/>
        <item x="3"/>
        <item x="29"/>
        <item x="12"/>
        <item x="88"/>
        <item x="56"/>
        <item x="38"/>
        <item x="14"/>
        <item x="33"/>
        <item x="40"/>
        <item x="60"/>
        <item x="83"/>
        <item x="19"/>
        <item x="5"/>
        <item x="46"/>
        <item x="25"/>
        <item x="44"/>
        <item x="85"/>
        <item x="87"/>
        <item x="71"/>
        <item x="51"/>
        <item x="79"/>
        <item x="54"/>
        <item x="53"/>
        <item x="81"/>
        <item x="30"/>
        <item x="69"/>
        <item x="77"/>
        <item x="59"/>
        <item x="68"/>
        <item x="70"/>
        <item x="16"/>
        <item x="48"/>
        <item x="86"/>
        <item x="65"/>
        <item x="8"/>
        <item x="22"/>
        <item x="43"/>
        <item x="82"/>
        <item x="39"/>
        <item x="49"/>
        <item x="18"/>
        <item x="74"/>
        <item x="84"/>
        <item x="17"/>
        <item x="32"/>
        <item x="57"/>
        <item x="41"/>
        <item x="67"/>
        <item x="58"/>
        <item x="20"/>
        <item x="50"/>
        <item x="7"/>
        <item x="47"/>
        <item x="55"/>
        <item x="6"/>
        <item x="89"/>
        <item x="11"/>
        <item x="63"/>
        <item x="31"/>
        <item x="24"/>
        <item x="2"/>
        <item x="76"/>
        <item x="10"/>
        <item x="45"/>
        <item x="72"/>
        <item x="80"/>
        <item x="62"/>
        <item x="9"/>
        <item x="34"/>
        <item x="28"/>
        <item x="0"/>
        <item x="36"/>
        <item x="66"/>
        <item x="75"/>
        <item x="26"/>
        <item x="37"/>
        <item x="4"/>
        <item x="52"/>
        <item x="73"/>
        <item x="15"/>
        <item x="35"/>
        <item t="default"/>
      </items>
    </pivotField>
    <pivotField showAll="0"/>
    <pivotField numFmtId="2" showAll="0"/>
    <pivotField showAll="0">
      <items count="7">
        <item x="0"/>
        <item x="1"/>
        <item x="2"/>
        <item x="3"/>
        <item x="4"/>
        <item x="5"/>
        <item t="default"/>
      </items>
    </pivotField>
    <pivotField showAll="0">
      <items count="7">
        <item x="0"/>
        <item x="1"/>
        <item x="2"/>
        <item x="3"/>
        <item x="4"/>
        <item x="5"/>
        <item t="default"/>
      </items>
    </pivotField>
  </pivotFields>
  <rowFields count="1">
    <field x="3"/>
  </rowFields>
  <rowItems count="6">
    <i>
      <x/>
    </i>
    <i>
      <x v="1"/>
    </i>
    <i>
      <x v="2"/>
    </i>
    <i>
      <x v="3"/>
    </i>
    <i>
      <x v="4"/>
    </i>
    <i t="grand">
      <x/>
    </i>
  </rowItems>
  <colFields count="1">
    <field x="-2"/>
  </colFields>
  <colItems count="2">
    <i>
      <x/>
    </i>
    <i i="1">
      <x v="1"/>
    </i>
  </colItems>
  <dataFields count="2">
    <dataField name="Count of Name" fld="0" subtotal="count" baseField="0" baseItem="0"/>
    <dataField name="Average of Salary" fld="6" subtotal="average" baseField="0" baseItem="0" numFmtId="167"/>
  </dataFields>
  <conditionalFormats count="1">
    <conditionalFormat scope="field" priority="1">
      <pivotAreas count="1">
        <pivotArea outline="0" collapsedLevelsAreSubtotals="1" fieldPosition="0">
          <references count="2">
            <reference field="4294967294" count="1" selected="0">
              <x v="1"/>
            </reference>
            <reference field="3"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91B085-389B-3A43-BDFE-7DB0AFDCC42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11:G17" firstHeaderRow="1" firstDataRow="1" firstDataCol="1" rowPageCount="1" colPageCount="1"/>
  <pivotFields count="11">
    <pivotField dataField="1" showAll="0"/>
    <pivotField showAll="0"/>
    <pivotField showAll="0"/>
    <pivotField showAll="0"/>
    <pivotField numFmtId="14" showAll="0"/>
    <pivotField axis="axisRow" showAll="0" sortType="descending">
      <items count="6">
        <item x="3"/>
        <item x="2"/>
        <item x="1"/>
        <item x="4"/>
        <item x="0"/>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3">
        <item h="1" x="0"/>
        <item x="1"/>
        <item t="default"/>
      </items>
    </pivotField>
    <pivotField numFmtId="2" showAll="0"/>
    <pivotField showAll="0" defaultSubtotal="0"/>
    <pivotField showAll="0" defaultSubtotal="0"/>
  </pivotFields>
  <rowFields count="1">
    <field x="5"/>
  </rowFields>
  <rowItems count="6">
    <i>
      <x v="4"/>
    </i>
    <i>
      <x v="2"/>
    </i>
    <i>
      <x/>
    </i>
    <i>
      <x v="3"/>
    </i>
    <i>
      <x v="1"/>
    </i>
    <i t="grand">
      <x/>
    </i>
  </rowItems>
  <colItems count="1">
    <i/>
  </colItems>
  <pageFields count="1">
    <pageField fld="7" hier="-1"/>
  </pageFields>
  <dataFields count="1">
    <dataField name="Count of Name"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BF041-4EDA-3244-970E-0392DD35EC2F}"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11:C17" firstHeaderRow="1" firstDataRow="1" firstDataCol="1" rowPageCount="1" colPageCount="1"/>
  <pivotFields count="11">
    <pivotField dataField="1" showAll="0"/>
    <pivotField showAll="0"/>
    <pivotField showAll="0"/>
    <pivotField showAll="0"/>
    <pivotField numFmtId="14" showAll="0"/>
    <pivotField axis="axisRow" showAll="0" sortType="descending">
      <items count="6">
        <item x="3"/>
        <item x="2"/>
        <item x="1"/>
        <item x="4"/>
        <item x="0"/>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3">
        <item x="0"/>
        <item h="1" x="1"/>
        <item t="default"/>
      </items>
    </pivotField>
    <pivotField numFmtId="2" showAll="0"/>
    <pivotField showAll="0" defaultSubtotal="0"/>
    <pivotField showAll="0" defaultSubtotal="0"/>
  </pivotFields>
  <rowFields count="1">
    <field x="5"/>
  </rowFields>
  <rowItems count="6">
    <i>
      <x v="2"/>
    </i>
    <i>
      <x v="4"/>
    </i>
    <i>
      <x/>
    </i>
    <i>
      <x v="3"/>
    </i>
    <i>
      <x v="1"/>
    </i>
    <i t="grand">
      <x/>
    </i>
  </rowItems>
  <colItems count="1">
    <i/>
  </colItems>
  <pageFields count="1">
    <pageField fld="7" hier="-1"/>
  </pageFields>
  <dataFields count="1">
    <dataField name="Count of Name"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4C5D49-E74A-0544-A034-DF6B84120796}"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5:C42" firstHeaderRow="1" firstDataRow="1" firstDataCol="1"/>
  <pivotFields count="11">
    <pivotField dataField="1"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numFmtId="2" showAll="0"/>
    <pivotField showAll="0">
      <items count="7">
        <item sd="0" x="0"/>
        <item sd="0" x="1"/>
        <item x="2"/>
        <item sd="0" x="3"/>
        <item sd="0" x="4"/>
        <item sd="0" x="5"/>
        <item t="default"/>
      </items>
    </pivotField>
    <pivotField axis="axisRow" showAll="0">
      <items count="7">
        <item sd="0" x="0"/>
        <item x="1"/>
        <item x="2"/>
        <item x="3"/>
        <item x="4"/>
        <item sd="0" x="5"/>
        <item t="default"/>
      </items>
    </pivotField>
  </pivotFields>
  <rowFields count="2">
    <field x="10"/>
    <field x="4"/>
  </rowFields>
  <rowItems count="37">
    <i>
      <x v="1"/>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x v="4"/>
    </i>
    <i r="1">
      <x v="2"/>
    </i>
    <i r="1">
      <x v="4"/>
    </i>
    <i t="grand">
      <x/>
    </i>
  </rowItems>
  <colItems count="1">
    <i/>
  </colItems>
  <dataFields count="1">
    <dataField name="Count of Name" fld="0" subtotal="count" showDataAs="runTotal" baseField="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DAFEB631-F1A7-9643-BC63-C223EF1CA04F}"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8834EB4-20A1-554B-AEAA-A1B879B23B24}" sourceName="Country">
  <pivotTables>
    <pivotTable tabId="7" name="PivotTable1"/>
  </pivotTables>
  <data>
    <tabular pivotCacheId="1060903583">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D8D2AF8-AF90-A747-87B3-EA49BA61F558}" cache="Slicer_Country" caption="Country" rowHeight="230716"/>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E47523-0A3B-1546-9F28-A18D83247A48}" name="nz_staff" displayName="nz_staff" ref="C5:I106" totalsRowCount="1">
  <autoFilter ref="C5:I105" xr:uid="{1EE47523-0A3B-1546-9F28-A18D83247A48}"/>
  <tableColumns count="7">
    <tableColumn id="1" xr3:uid="{50BA4877-A0D2-E641-A63A-A35100BCE31F}" name="Name" totalsRowLabel="Total"/>
    <tableColumn id="2" xr3:uid="{F7BA1DF9-329B-9A41-85CB-507B94B4479F}" name="Gender"/>
    <tableColumn id="3" xr3:uid="{95807FF8-BF8F-1F42-B9DF-6D2D3510F525}" name="Department"/>
    <tableColumn id="4" xr3:uid="{C9718148-2447-3D45-93D6-9F648AF5AC01}" name="Age"/>
    <tableColumn id="5" xr3:uid="{4DCA5106-7F5E-AB47-A158-8ACAF54D48D0}" name="Date Joined" dataDxfId="15"/>
    <tableColumn id="6" xr3:uid="{653F5014-5689-8746-9FDA-2FA7614AAA7E}" name="Salary" totalsRowFunction="average" dataDxfId="14" totalsRowDxfId="13"/>
    <tableColumn id="7" xr3:uid="{F58A5733-A361-A846-A040-0E27A4E001F7}"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70E032-0828-584E-9F45-A3428CC73B6D}" name="in_staff" displayName="in_staff" ref="B2:H114" totalsRowShown="0">
  <autoFilter ref="B2:H114" xr:uid="{A970E032-0828-584E-9F45-A3428CC73B6D}"/>
  <tableColumns count="7">
    <tableColumn id="1" xr3:uid="{4A4150F7-A097-E245-BB04-E9E5A143D806}" name="Name"/>
    <tableColumn id="2" xr3:uid="{3BD12681-0DA1-A542-915D-BB42708E2706}" name="Gender"/>
    <tableColumn id="3" xr3:uid="{1799159A-4028-D245-A015-A6B08EBCF360}" name="Age"/>
    <tableColumn id="4" xr3:uid="{1A0D9944-32C5-BF4C-B227-117F1EBF5408}" name="Rating"/>
    <tableColumn id="5" xr3:uid="{01F1FE43-0CF3-8245-938B-7D9EC94A3393}" name="Date Joined" dataDxfId="12"/>
    <tableColumn id="6" xr3:uid="{E641FF35-47BF-8A48-9783-2A670EA09431}" name="Department"/>
    <tableColumn id="7" xr3:uid="{25FD1301-A262-8946-9542-F6A77E79391B}"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68495E-064F-A948-9605-3F72782D261C}" name="Table3" displayName="Table3" ref="A1:I4" totalsRowShown="0">
  <autoFilter ref="A1:I4" xr:uid="{2668495E-064F-A948-9605-3F72782D261C}"/>
  <tableColumns count="9">
    <tableColumn id="1" xr3:uid="{114FBA06-B03A-E846-A05D-1768B99A631C}" name="Name"/>
    <tableColumn id="2" xr3:uid="{C782F492-8B1D-EA41-B107-11D08C762886}" name="Gender"/>
    <tableColumn id="3" xr3:uid="{A0638068-26A1-6D41-A875-9C2C70D7671D}" name="Age"/>
    <tableColumn id="4" xr3:uid="{9147A9F1-D556-084B-836A-D9365C2515FB}" name="Rating"/>
    <tableColumn id="5" xr3:uid="{7DF17A5C-1F1A-F642-A6A7-F240DAC8F17A}" name="Date Joined" dataDxfId="9"/>
    <tableColumn id="6" xr3:uid="{32348EEC-18F5-0242-A281-B6F5A32951DC}" name="Department"/>
    <tableColumn id="7" xr3:uid="{C23AD238-63A2-AA46-B8AE-9B5CD7D17B6D}" name="Salary"/>
    <tableColumn id="8" xr3:uid="{5692BE90-1F0C-C74E-88E1-14360E40D682}" name="Country"/>
    <tableColumn id="9" xr3:uid="{03A723EF-EE03-8148-9C1B-D0B121D28150}" name="Tenur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FE7AF5-1688-1C48-B6BC-280993A61409}" name="Staff" displayName="Staff" ref="A1:K184" tableType="queryTable" totalsRowShown="0">
  <autoFilter ref="A1:K184" xr:uid="{13FE7AF5-1688-1C48-B6BC-280993A61409}"/>
  <tableColumns count="11">
    <tableColumn id="1" xr3:uid="{693E6185-6E2B-9A45-8C97-254014DF23E4}" uniqueName="1" name="Name" queryTableFieldId="1" dataDxfId="8"/>
    <tableColumn id="2" xr3:uid="{0E06702D-FB92-8645-8E0E-00BA6A1520EB}" uniqueName="2" name="Gender" queryTableFieldId="2" dataDxfId="7"/>
    <tableColumn id="3" xr3:uid="{881C5D03-ED01-7044-8574-445C4CDEFCA8}" uniqueName="3" name="Age" queryTableFieldId="3"/>
    <tableColumn id="4" xr3:uid="{37C42C88-E04C-8843-9693-25DFE71E9816}" uniqueName="4" name="Rating" queryTableFieldId="4" dataDxfId="6"/>
    <tableColumn id="5" xr3:uid="{25615A11-15CD-3B42-8FFC-5FAAE8A72060}" uniqueName="5" name="Date Joined" queryTableFieldId="5" dataDxfId="5"/>
    <tableColumn id="6" xr3:uid="{4ECE4685-C5D9-D643-8F7A-7059E7BF216E}" uniqueName="6" name="Department" queryTableFieldId="6" dataDxfId="4"/>
    <tableColumn id="7" xr3:uid="{0966CF70-E8E8-1E4C-BAEC-E9868676D72B}" uniqueName="7" name="Salary" queryTableFieldId="7" dataDxfId="3"/>
    <tableColumn id="8" xr3:uid="{0D9ACB2C-8C0D-3746-8C2D-4CC795741F75}" uniqueName="8" name="Country" queryTableFieldId="8"/>
    <tableColumn id="9" xr3:uid="{E411C68C-3503-7443-9059-43365064FFC8}" uniqueName="9" name="Tenure" queryTableFieldId="9" dataDxfId="2">
      <calculatedColumnFormula>(TODAY()-Staff[[#This Row],[Date Joined]])/365</calculatedColumnFormula>
    </tableColumn>
    <tableColumn id="10" xr3:uid="{E9B21FCB-4EDB-844A-8E10-83F9A8C3B7EF}" uniqueName="10" name="Bonus" queryTableFieldId="10" dataDxfId="1">
      <calculatedColumnFormula>ROUNDUP(IF(Staff[[#This Row],[Tenure]]&gt;2, 3%, 2%)*Staff[[#This Row],[Salary]],0)</calculatedColumnFormula>
    </tableColumn>
    <tableColumn id="12" xr3:uid="{EADEF04D-30E4-AB48-BA4D-C9134686EFE8}" uniqueName="12" name="Rating as number" queryTableFieldId="11" dataDxfId="0">
      <calculatedColumnFormula>_xlfn.XLOOKUP(Staff[[#This Row],[Rating]], 'Salary vs Rating'!$H$6:$H$10, 'Salary vs Rating'!$I$6:$I$10)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zoomScale="130" zoomScaleNormal="130" workbookViewId="0">
      <selection activeCell="E21" sqref="E21"/>
    </sheetView>
  </sheetViews>
  <sheetFormatPr baseColWidth="10" defaultColWidth="8.83203125" defaultRowHeight="15" x14ac:dyDescent="0.2"/>
  <cols>
    <col min="1" max="1" width="1.6640625" customWidth="1"/>
    <col min="2" max="2" width="3.6640625" customWidth="1"/>
    <col min="3" max="3" width="18.1640625" customWidth="1"/>
    <col min="5" max="5" width="12" customWidth="1"/>
    <col min="7" max="7" width="11.6640625" customWidth="1"/>
    <col min="8" max="8" width="11.6640625" bestFit="1" customWidth="1"/>
    <col min="9" max="9" width="15.1640625" customWidth="1"/>
    <col min="10" max="10" width="9.33203125" customWidth="1"/>
  </cols>
  <sheetData>
    <row r="1" spans="1:9" s="2" customFormat="1" ht="52.5" customHeight="1" x14ac:dyDescent="0.2">
      <c r="A1" s="1"/>
      <c r="C1" s="3" t="s">
        <v>110</v>
      </c>
    </row>
    <row r="5" spans="1:9" x14ac:dyDescent="0.2">
      <c r="C5" t="s">
        <v>0</v>
      </c>
      <c r="D5" t="s">
        <v>1</v>
      </c>
      <c r="E5" t="s">
        <v>2</v>
      </c>
      <c r="F5" t="s">
        <v>3</v>
      </c>
      <c r="G5" s="4" t="s">
        <v>4</v>
      </c>
      <c r="H5" t="s">
        <v>5</v>
      </c>
      <c r="I5" t="s">
        <v>6</v>
      </c>
    </row>
    <row r="6" spans="1:9" x14ac:dyDescent="0.2">
      <c r="C6" t="s">
        <v>58</v>
      </c>
      <c r="D6" t="s">
        <v>15</v>
      </c>
      <c r="E6" t="s">
        <v>19</v>
      </c>
      <c r="F6">
        <v>22</v>
      </c>
      <c r="G6" s="4">
        <v>44446</v>
      </c>
      <c r="H6" s="5">
        <v>112780</v>
      </c>
      <c r="I6" t="s">
        <v>13</v>
      </c>
    </row>
    <row r="7" spans="1:9" x14ac:dyDescent="0.2">
      <c r="C7" t="s">
        <v>70</v>
      </c>
      <c r="D7" t="s">
        <v>15</v>
      </c>
      <c r="E7" t="s">
        <v>9</v>
      </c>
      <c r="F7">
        <v>46</v>
      </c>
      <c r="G7" s="4">
        <v>44758</v>
      </c>
      <c r="H7" s="5">
        <v>70610</v>
      </c>
      <c r="I7" t="s">
        <v>16</v>
      </c>
    </row>
    <row r="8" spans="1:9" x14ac:dyDescent="0.2">
      <c r="C8" t="s">
        <v>75</v>
      </c>
      <c r="D8" t="s">
        <v>8</v>
      </c>
      <c r="E8" t="s">
        <v>19</v>
      </c>
      <c r="F8">
        <v>28</v>
      </c>
      <c r="G8" s="4">
        <v>44357</v>
      </c>
      <c r="H8" s="5">
        <v>53240</v>
      </c>
      <c r="I8" t="s">
        <v>16</v>
      </c>
    </row>
    <row r="9" spans="1:9" x14ac:dyDescent="0.2">
      <c r="C9" t="s">
        <v>49</v>
      </c>
      <c r="E9" t="s">
        <v>21</v>
      </c>
      <c r="F9">
        <v>37</v>
      </c>
      <c r="G9" s="4">
        <v>44146</v>
      </c>
      <c r="H9" s="5">
        <v>115440</v>
      </c>
      <c r="I9" t="s">
        <v>24</v>
      </c>
    </row>
    <row r="10" spans="1:9" x14ac:dyDescent="0.2">
      <c r="C10" t="s">
        <v>65</v>
      </c>
      <c r="D10" t="s">
        <v>15</v>
      </c>
      <c r="E10" t="s">
        <v>19</v>
      </c>
      <c r="F10">
        <v>32</v>
      </c>
      <c r="G10" s="4">
        <v>44465</v>
      </c>
      <c r="H10" s="5">
        <v>53540</v>
      </c>
      <c r="I10" t="s">
        <v>16</v>
      </c>
    </row>
    <row r="11" spans="1:9" x14ac:dyDescent="0.2">
      <c r="C11" t="s">
        <v>81</v>
      </c>
      <c r="D11" t="s">
        <v>8</v>
      </c>
      <c r="E11" t="s">
        <v>9</v>
      </c>
      <c r="F11">
        <v>30</v>
      </c>
      <c r="G11" s="4">
        <v>44861</v>
      </c>
      <c r="H11" s="5">
        <v>112570</v>
      </c>
      <c r="I11" t="s">
        <v>16</v>
      </c>
    </row>
    <row r="12" spans="1:9" x14ac:dyDescent="0.2">
      <c r="C12" t="s">
        <v>51</v>
      </c>
      <c r="D12" t="s">
        <v>15</v>
      </c>
      <c r="E12" t="s">
        <v>9</v>
      </c>
      <c r="F12">
        <v>33</v>
      </c>
      <c r="G12" s="4">
        <v>44701</v>
      </c>
      <c r="H12" s="5">
        <v>48530</v>
      </c>
      <c r="I12" t="s">
        <v>13</v>
      </c>
    </row>
    <row r="13" spans="1:9" x14ac:dyDescent="0.2">
      <c r="C13" t="s">
        <v>61</v>
      </c>
      <c r="D13" t="s">
        <v>8</v>
      </c>
      <c r="E13" t="s">
        <v>12</v>
      </c>
      <c r="F13">
        <v>24</v>
      </c>
      <c r="G13" s="4">
        <v>44148</v>
      </c>
      <c r="H13" s="5">
        <v>62780</v>
      </c>
      <c r="I13" t="s">
        <v>16</v>
      </c>
    </row>
    <row r="14" spans="1:9" x14ac:dyDescent="0.2">
      <c r="C14" t="s">
        <v>82</v>
      </c>
      <c r="D14" t="s">
        <v>15</v>
      </c>
      <c r="E14" t="s">
        <v>12</v>
      </c>
      <c r="F14">
        <v>33</v>
      </c>
      <c r="G14" s="4">
        <v>44509</v>
      </c>
      <c r="H14" s="5">
        <v>53870</v>
      </c>
      <c r="I14" t="s">
        <v>16</v>
      </c>
    </row>
    <row r="15" spans="1:9" x14ac:dyDescent="0.2">
      <c r="C15" t="s">
        <v>60</v>
      </c>
      <c r="D15" t="s">
        <v>8</v>
      </c>
      <c r="E15" t="s">
        <v>56</v>
      </c>
      <c r="F15">
        <v>27</v>
      </c>
      <c r="G15" s="4">
        <v>44122</v>
      </c>
      <c r="H15" s="5">
        <v>119110</v>
      </c>
      <c r="I15" t="s">
        <v>16</v>
      </c>
    </row>
    <row r="16" spans="1:9" x14ac:dyDescent="0.2">
      <c r="C16" t="s">
        <v>87</v>
      </c>
      <c r="D16" t="s">
        <v>15</v>
      </c>
      <c r="E16" t="s">
        <v>12</v>
      </c>
      <c r="F16">
        <v>29</v>
      </c>
      <c r="G16" s="4">
        <v>44180</v>
      </c>
      <c r="H16" s="5">
        <v>112110</v>
      </c>
      <c r="I16" t="s">
        <v>24</v>
      </c>
    </row>
    <row r="17" spans="3:9" x14ac:dyDescent="0.2">
      <c r="C17" t="s">
        <v>76</v>
      </c>
      <c r="D17" t="s">
        <v>15</v>
      </c>
      <c r="E17" t="s">
        <v>19</v>
      </c>
      <c r="F17">
        <v>25</v>
      </c>
      <c r="G17" s="4">
        <v>44383</v>
      </c>
      <c r="H17" s="5">
        <v>65700</v>
      </c>
      <c r="I17" t="s">
        <v>16</v>
      </c>
    </row>
    <row r="18" spans="3:9" x14ac:dyDescent="0.2">
      <c r="C18" t="s">
        <v>97</v>
      </c>
      <c r="D18" t="s">
        <v>15</v>
      </c>
      <c r="E18" t="s">
        <v>12</v>
      </c>
      <c r="F18">
        <v>37</v>
      </c>
      <c r="G18" s="4">
        <v>44701</v>
      </c>
      <c r="H18" s="5">
        <v>69070</v>
      </c>
      <c r="I18" t="s">
        <v>16</v>
      </c>
    </row>
    <row r="19" spans="3:9" x14ac:dyDescent="0.2">
      <c r="C19" t="s">
        <v>22</v>
      </c>
      <c r="D19" t="s">
        <v>15</v>
      </c>
      <c r="E19" t="s">
        <v>12</v>
      </c>
      <c r="F19">
        <v>20</v>
      </c>
      <c r="G19" s="4">
        <v>44459</v>
      </c>
      <c r="H19" s="5">
        <v>107700</v>
      </c>
      <c r="I19" t="s">
        <v>16</v>
      </c>
    </row>
    <row r="20" spans="3:9" x14ac:dyDescent="0.2">
      <c r="C20" t="s">
        <v>84</v>
      </c>
      <c r="D20" t="s">
        <v>8</v>
      </c>
      <c r="E20" t="s">
        <v>12</v>
      </c>
      <c r="F20">
        <v>32</v>
      </c>
      <c r="G20" s="4">
        <v>44354</v>
      </c>
      <c r="H20" s="5">
        <v>43840</v>
      </c>
      <c r="I20" t="s">
        <v>13</v>
      </c>
    </row>
    <row r="21" spans="3:9" x14ac:dyDescent="0.2">
      <c r="C21" t="s">
        <v>105</v>
      </c>
      <c r="D21" t="s">
        <v>15</v>
      </c>
      <c r="E21" t="s">
        <v>9</v>
      </c>
      <c r="F21">
        <v>40</v>
      </c>
      <c r="G21" s="4">
        <v>44263</v>
      </c>
      <c r="H21" s="5">
        <v>99750</v>
      </c>
      <c r="I21" t="s">
        <v>16</v>
      </c>
    </row>
    <row r="22" spans="3:9" x14ac:dyDescent="0.2">
      <c r="C22" t="s">
        <v>47</v>
      </c>
      <c r="D22" t="s">
        <v>15</v>
      </c>
      <c r="E22" t="s">
        <v>9</v>
      </c>
      <c r="F22">
        <v>21</v>
      </c>
      <c r="G22" s="4">
        <v>44104</v>
      </c>
      <c r="H22" s="5">
        <v>37920</v>
      </c>
      <c r="I22" t="s">
        <v>16</v>
      </c>
    </row>
    <row r="23" spans="3:9" x14ac:dyDescent="0.2">
      <c r="C23" t="s">
        <v>31</v>
      </c>
      <c r="D23" t="s">
        <v>15</v>
      </c>
      <c r="E23" t="s">
        <v>9</v>
      </c>
      <c r="F23">
        <v>21</v>
      </c>
      <c r="G23" s="4">
        <v>44762</v>
      </c>
      <c r="H23" s="5">
        <v>57090</v>
      </c>
      <c r="I23" t="s">
        <v>16</v>
      </c>
    </row>
    <row r="24" spans="3:9" x14ac:dyDescent="0.2">
      <c r="C24" t="s">
        <v>30</v>
      </c>
      <c r="D24" t="s">
        <v>8</v>
      </c>
      <c r="E24" t="s">
        <v>12</v>
      </c>
      <c r="F24">
        <v>31</v>
      </c>
      <c r="G24" s="4">
        <v>44145</v>
      </c>
      <c r="H24" s="5">
        <v>41980</v>
      </c>
      <c r="I24" t="s">
        <v>16</v>
      </c>
    </row>
    <row r="25" spans="3:9" x14ac:dyDescent="0.2">
      <c r="C25" t="s">
        <v>78</v>
      </c>
      <c r="D25" t="s">
        <v>15</v>
      </c>
      <c r="E25" t="s">
        <v>56</v>
      </c>
      <c r="F25">
        <v>21</v>
      </c>
      <c r="G25" s="4">
        <v>44242</v>
      </c>
      <c r="H25" s="5">
        <v>75880</v>
      </c>
      <c r="I25" t="s">
        <v>16</v>
      </c>
    </row>
    <row r="26" spans="3:9" x14ac:dyDescent="0.2">
      <c r="C26" t="s">
        <v>36</v>
      </c>
      <c r="D26" t="s">
        <v>8</v>
      </c>
      <c r="E26" t="s">
        <v>21</v>
      </c>
      <c r="F26">
        <v>34</v>
      </c>
      <c r="G26" s="4">
        <v>44653</v>
      </c>
      <c r="H26" s="5">
        <v>58940</v>
      </c>
      <c r="I26" t="s">
        <v>16</v>
      </c>
    </row>
    <row r="27" spans="3:9" x14ac:dyDescent="0.2">
      <c r="C27" t="s">
        <v>27</v>
      </c>
      <c r="D27" t="s">
        <v>8</v>
      </c>
      <c r="E27" t="s">
        <v>21</v>
      </c>
      <c r="F27">
        <v>30</v>
      </c>
      <c r="G27" s="4">
        <v>44389</v>
      </c>
      <c r="H27" s="5">
        <v>67910</v>
      </c>
      <c r="I27" t="s">
        <v>24</v>
      </c>
    </row>
    <row r="28" spans="3:9" x14ac:dyDescent="0.2">
      <c r="C28" t="s">
        <v>26</v>
      </c>
      <c r="D28" t="s">
        <v>8</v>
      </c>
      <c r="E28" t="s">
        <v>12</v>
      </c>
      <c r="F28">
        <v>31</v>
      </c>
      <c r="G28" s="4">
        <v>44663</v>
      </c>
      <c r="H28" s="5">
        <v>58100</v>
      </c>
      <c r="I28" t="s">
        <v>16</v>
      </c>
    </row>
    <row r="29" spans="3:9" x14ac:dyDescent="0.2">
      <c r="C29" t="s">
        <v>53</v>
      </c>
      <c r="D29" t="s">
        <v>15</v>
      </c>
      <c r="E29" t="s">
        <v>21</v>
      </c>
      <c r="F29">
        <v>27</v>
      </c>
      <c r="G29" s="4">
        <v>44567</v>
      </c>
      <c r="H29" s="5">
        <v>48980</v>
      </c>
      <c r="I29" t="s">
        <v>16</v>
      </c>
    </row>
    <row r="30" spans="3:9" x14ac:dyDescent="0.2">
      <c r="C30" t="s">
        <v>20</v>
      </c>
      <c r="E30" t="s">
        <v>21</v>
      </c>
      <c r="F30">
        <v>30</v>
      </c>
      <c r="G30" s="4">
        <v>44597</v>
      </c>
      <c r="H30" s="5">
        <v>64000</v>
      </c>
      <c r="I30" t="s">
        <v>16</v>
      </c>
    </row>
    <row r="31" spans="3:9" x14ac:dyDescent="0.2">
      <c r="C31" t="s">
        <v>7</v>
      </c>
      <c r="D31" t="s">
        <v>8</v>
      </c>
      <c r="E31" t="s">
        <v>9</v>
      </c>
      <c r="F31">
        <v>42</v>
      </c>
      <c r="G31" s="4">
        <v>44779</v>
      </c>
      <c r="H31" s="5">
        <v>75000</v>
      </c>
      <c r="I31" t="s">
        <v>10</v>
      </c>
    </row>
    <row r="32" spans="3:9" x14ac:dyDescent="0.2">
      <c r="C32" t="s">
        <v>74</v>
      </c>
      <c r="D32" t="s">
        <v>8</v>
      </c>
      <c r="E32" t="s">
        <v>12</v>
      </c>
      <c r="F32">
        <v>40</v>
      </c>
      <c r="G32" s="4">
        <v>44337</v>
      </c>
      <c r="H32" s="5">
        <v>87620</v>
      </c>
      <c r="I32" t="s">
        <v>16</v>
      </c>
    </row>
    <row r="33" spans="3:9" x14ac:dyDescent="0.2">
      <c r="C33" t="s">
        <v>44</v>
      </c>
      <c r="D33" t="s">
        <v>8</v>
      </c>
      <c r="E33" t="s">
        <v>12</v>
      </c>
      <c r="F33">
        <v>29</v>
      </c>
      <c r="G33" s="4">
        <v>44023</v>
      </c>
      <c r="H33" s="5">
        <v>34980</v>
      </c>
      <c r="I33" t="s">
        <v>16</v>
      </c>
    </row>
    <row r="34" spans="3:9" x14ac:dyDescent="0.2">
      <c r="C34" t="s">
        <v>35</v>
      </c>
      <c r="D34" t="s">
        <v>8</v>
      </c>
      <c r="E34" t="s">
        <v>21</v>
      </c>
      <c r="F34">
        <v>28</v>
      </c>
      <c r="G34" s="4">
        <v>44185</v>
      </c>
      <c r="H34" s="5">
        <v>75970</v>
      </c>
      <c r="I34" t="s">
        <v>16</v>
      </c>
    </row>
    <row r="35" spans="3:9" x14ac:dyDescent="0.2">
      <c r="C35" t="s">
        <v>38</v>
      </c>
      <c r="D35" t="s">
        <v>8</v>
      </c>
      <c r="E35" t="s">
        <v>21</v>
      </c>
      <c r="F35">
        <v>34</v>
      </c>
      <c r="G35" s="4">
        <v>44612</v>
      </c>
      <c r="H35" s="5">
        <v>60130</v>
      </c>
      <c r="I35" t="s">
        <v>16</v>
      </c>
    </row>
    <row r="36" spans="3:9" x14ac:dyDescent="0.2">
      <c r="C36" t="s">
        <v>41</v>
      </c>
      <c r="D36" t="s">
        <v>8</v>
      </c>
      <c r="E36" t="s">
        <v>12</v>
      </c>
      <c r="F36">
        <v>33</v>
      </c>
      <c r="G36" s="4">
        <v>44374</v>
      </c>
      <c r="H36" s="5">
        <v>75480</v>
      </c>
      <c r="I36" t="s">
        <v>42</v>
      </c>
    </row>
    <row r="37" spans="3:9" x14ac:dyDescent="0.2">
      <c r="C37" t="s">
        <v>40</v>
      </c>
      <c r="D37" t="s">
        <v>15</v>
      </c>
      <c r="E37" t="s">
        <v>9</v>
      </c>
      <c r="F37">
        <v>33</v>
      </c>
      <c r="G37" s="4">
        <v>44164</v>
      </c>
      <c r="H37" s="5">
        <v>115920</v>
      </c>
      <c r="I37" t="s">
        <v>16</v>
      </c>
    </row>
    <row r="38" spans="3:9" x14ac:dyDescent="0.2">
      <c r="C38" t="s">
        <v>48</v>
      </c>
      <c r="D38" t="s">
        <v>8</v>
      </c>
      <c r="E38" t="s">
        <v>19</v>
      </c>
      <c r="F38">
        <v>36</v>
      </c>
      <c r="G38" s="4">
        <v>44494</v>
      </c>
      <c r="H38" s="5">
        <v>78540</v>
      </c>
      <c r="I38" t="s">
        <v>16</v>
      </c>
    </row>
    <row r="39" spans="3:9" x14ac:dyDescent="0.2">
      <c r="C39" t="s">
        <v>34</v>
      </c>
      <c r="D39" t="s">
        <v>15</v>
      </c>
      <c r="E39" t="s">
        <v>9</v>
      </c>
      <c r="F39">
        <v>25</v>
      </c>
      <c r="G39" s="4">
        <v>44726</v>
      </c>
      <c r="H39" s="5">
        <v>109190</v>
      </c>
      <c r="I39" t="s">
        <v>13</v>
      </c>
    </row>
    <row r="40" spans="3:9" x14ac:dyDescent="0.2">
      <c r="C40" t="s">
        <v>73</v>
      </c>
      <c r="D40" t="s">
        <v>8</v>
      </c>
      <c r="E40" t="s">
        <v>19</v>
      </c>
      <c r="F40">
        <v>34</v>
      </c>
      <c r="G40" s="4">
        <v>44721</v>
      </c>
      <c r="H40" s="5">
        <v>49630</v>
      </c>
      <c r="I40" t="s">
        <v>24</v>
      </c>
    </row>
    <row r="41" spans="3:9" x14ac:dyDescent="0.2">
      <c r="C41" t="s">
        <v>107</v>
      </c>
      <c r="D41" t="s">
        <v>8</v>
      </c>
      <c r="E41" t="s">
        <v>9</v>
      </c>
      <c r="F41">
        <v>28</v>
      </c>
      <c r="G41" s="4">
        <v>44630</v>
      </c>
      <c r="H41" s="5">
        <v>99970</v>
      </c>
      <c r="I41" t="s">
        <v>16</v>
      </c>
    </row>
    <row r="42" spans="3:9" x14ac:dyDescent="0.2">
      <c r="C42" t="s">
        <v>71</v>
      </c>
      <c r="D42" t="s">
        <v>8</v>
      </c>
      <c r="E42" t="s">
        <v>12</v>
      </c>
      <c r="F42">
        <v>33</v>
      </c>
      <c r="G42" s="4">
        <v>44190</v>
      </c>
      <c r="H42" s="5">
        <v>96140</v>
      </c>
      <c r="I42" t="s">
        <v>16</v>
      </c>
    </row>
    <row r="43" spans="3:9" x14ac:dyDescent="0.2">
      <c r="C43" t="s">
        <v>50</v>
      </c>
      <c r="D43" t="s">
        <v>15</v>
      </c>
      <c r="E43" t="s">
        <v>9</v>
      </c>
      <c r="F43">
        <v>31</v>
      </c>
      <c r="G43" s="4">
        <v>44724</v>
      </c>
      <c r="H43" s="5">
        <v>103550</v>
      </c>
      <c r="I43" t="s">
        <v>16</v>
      </c>
    </row>
    <row r="44" spans="3:9" x14ac:dyDescent="0.2">
      <c r="C44" t="s">
        <v>14</v>
      </c>
      <c r="D44" t="s">
        <v>15</v>
      </c>
      <c r="E44" t="s">
        <v>12</v>
      </c>
      <c r="F44">
        <v>31</v>
      </c>
      <c r="G44" s="4">
        <v>44511</v>
      </c>
      <c r="H44" s="5">
        <v>48950</v>
      </c>
      <c r="I44" t="s">
        <v>16</v>
      </c>
    </row>
    <row r="45" spans="3:9" x14ac:dyDescent="0.2">
      <c r="C45" t="s">
        <v>63</v>
      </c>
      <c r="D45" t="s">
        <v>15</v>
      </c>
      <c r="E45" t="s">
        <v>21</v>
      </c>
      <c r="F45">
        <v>24</v>
      </c>
      <c r="G45" s="4">
        <v>44436</v>
      </c>
      <c r="H45" s="5">
        <v>52610</v>
      </c>
      <c r="I45" t="s">
        <v>24</v>
      </c>
    </row>
    <row r="46" spans="3:9" x14ac:dyDescent="0.2">
      <c r="C46" t="s">
        <v>72</v>
      </c>
      <c r="D46" t="s">
        <v>8</v>
      </c>
      <c r="E46" t="s">
        <v>9</v>
      </c>
      <c r="F46">
        <v>36</v>
      </c>
      <c r="G46" s="4">
        <v>44529</v>
      </c>
      <c r="H46" s="5">
        <v>78390</v>
      </c>
      <c r="I46" t="s">
        <v>16</v>
      </c>
    </row>
    <row r="47" spans="3:9" x14ac:dyDescent="0.2">
      <c r="C47" t="s">
        <v>88</v>
      </c>
      <c r="D47" t="s">
        <v>8</v>
      </c>
      <c r="E47" t="s">
        <v>21</v>
      </c>
      <c r="F47">
        <v>33</v>
      </c>
      <c r="G47" s="4">
        <v>44809</v>
      </c>
      <c r="H47" s="5">
        <v>86570</v>
      </c>
      <c r="I47" t="s">
        <v>16</v>
      </c>
    </row>
    <row r="48" spans="3:9" x14ac:dyDescent="0.2">
      <c r="C48" t="s">
        <v>92</v>
      </c>
      <c r="D48" t="s">
        <v>8</v>
      </c>
      <c r="E48" t="s">
        <v>12</v>
      </c>
      <c r="F48">
        <v>27</v>
      </c>
      <c r="G48" s="4">
        <v>44686</v>
      </c>
      <c r="H48" s="5">
        <v>83750</v>
      </c>
      <c r="I48" t="s">
        <v>16</v>
      </c>
    </row>
    <row r="49" spans="3:9" x14ac:dyDescent="0.2">
      <c r="C49" t="s">
        <v>102</v>
      </c>
      <c r="D49" t="s">
        <v>8</v>
      </c>
      <c r="E49" t="s">
        <v>21</v>
      </c>
      <c r="F49">
        <v>34</v>
      </c>
      <c r="G49" s="4">
        <v>44445</v>
      </c>
      <c r="H49" s="5">
        <v>92450</v>
      </c>
      <c r="I49" t="s">
        <v>16</v>
      </c>
    </row>
    <row r="50" spans="3:9" x14ac:dyDescent="0.2">
      <c r="C50" t="s">
        <v>64</v>
      </c>
      <c r="D50" t="s">
        <v>15</v>
      </c>
      <c r="E50" t="s">
        <v>12</v>
      </c>
      <c r="F50">
        <v>20</v>
      </c>
      <c r="G50" s="4">
        <v>44183</v>
      </c>
      <c r="H50" s="5">
        <v>112650</v>
      </c>
      <c r="I50" t="s">
        <v>16</v>
      </c>
    </row>
    <row r="51" spans="3:9" x14ac:dyDescent="0.2">
      <c r="C51" t="s">
        <v>104</v>
      </c>
      <c r="D51" t="s">
        <v>15</v>
      </c>
      <c r="E51" t="s">
        <v>9</v>
      </c>
      <c r="F51">
        <v>20</v>
      </c>
      <c r="G51" s="4">
        <v>44744</v>
      </c>
      <c r="H51" s="5">
        <v>79570</v>
      </c>
      <c r="I51" t="s">
        <v>16</v>
      </c>
    </row>
    <row r="52" spans="3:9" x14ac:dyDescent="0.2">
      <c r="C52" t="s">
        <v>91</v>
      </c>
      <c r="D52" t="s">
        <v>8</v>
      </c>
      <c r="E52" t="s">
        <v>19</v>
      </c>
      <c r="F52">
        <v>20</v>
      </c>
      <c r="G52" s="4">
        <v>44537</v>
      </c>
      <c r="H52" s="5">
        <v>68900</v>
      </c>
      <c r="I52" t="s">
        <v>24</v>
      </c>
    </row>
    <row r="53" spans="3:9" x14ac:dyDescent="0.2">
      <c r="C53" t="s">
        <v>39</v>
      </c>
      <c r="D53" t="s">
        <v>8</v>
      </c>
      <c r="E53" t="s">
        <v>12</v>
      </c>
      <c r="F53">
        <v>25</v>
      </c>
      <c r="G53" s="4">
        <v>44694</v>
      </c>
      <c r="H53" s="5">
        <v>80700</v>
      </c>
      <c r="I53" t="s">
        <v>13</v>
      </c>
    </row>
    <row r="54" spans="3:9" x14ac:dyDescent="0.2">
      <c r="C54" t="s">
        <v>100</v>
      </c>
      <c r="D54" t="s">
        <v>15</v>
      </c>
      <c r="E54" t="s">
        <v>9</v>
      </c>
      <c r="F54">
        <v>19</v>
      </c>
      <c r="G54" s="4">
        <v>44277</v>
      </c>
      <c r="H54" s="5">
        <v>58960</v>
      </c>
      <c r="I54" t="s">
        <v>16</v>
      </c>
    </row>
    <row r="55" spans="3:9" x14ac:dyDescent="0.2">
      <c r="C55" t="s">
        <v>106</v>
      </c>
      <c r="D55" t="s">
        <v>15</v>
      </c>
      <c r="E55" t="s">
        <v>12</v>
      </c>
      <c r="F55">
        <v>36</v>
      </c>
      <c r="G55" s="4">
        <v>44019</v>
      </c>
      <c r="H55" s="5">
        <v>118840</v>
      </c>
      <c r="I55" t="s">
        <v>16</v>
      </c>
    </row>
    <row r="56" spans="3:9" x14ac:dyDescent="0.2">
      <c r="C56" t="s">
        <v>29</v>
      </c>
      <c r="D56" t="s">
        <v>15</v>
      </c>
      <c r="E56" t="s">
        <v>21</v>
      </c>
      <c r="F56">
        <v>28</v>
      </c>
      <c r="G56" s="4">
        <v>44041</v>
      </c>
      <c r="H56" s="5">
        <v>48170</v>
      </c>
      <c r="I56" t="s">
        <v>13</v>
      </c>
    </row>
    <row r="57" spans="3:9" x14ac:dyDescent="0.2">
      <c r="C57" t="s">
        <v>108</v>
      </c>
      <c r="D57" t="s">
        <v>8</v>
      </c>
      <c r="E57" t="s">
        <v>56</v>
      </c>
      <c r="F57">
        <v>32</v>
      </c>
      <c r="G57" s="4">
        <v>44400</v>
      </c>
      <c r="H57" s="5">
        <v>45510</v>
      </c>
      <c r="I57" t="s">
        <v>16</v>
      </c>
    </row>
    <row r="58" spans="3:9" x14ac:dyDescent="0.2">
      <c r="C58" t="s">
        <v>64</v>
      </c>
      <c r="D58" t="s">
        <v>15</v>
      </c>
      <c r="E58" t="s">
        <v>9</v>
      </c>
      <c r="F58">
        <v>34</v>
      </c>
      <c r="G58" s="4">
        <v>44703</v>
      </c>
      <c r="H58" s="5">
        <v>112650</v>
      </c>
      <c r="I58" t="s">
        <v>16</v>
      </c>
    </row>
    <row r="59" spans="3:9" x14ac:dyDescent="0.2">
      <c r="C59" t="s">
        <v>83</v>
      </c>
      <c r="D59" t="s">
        <v>8</v>
      </c>
      <c r="E59" t="s">
        <v>9</v>
      </c>
      <c r="F59">
        <v>36</v>
      </c>
      <c r="G59" s="4">
        <v>44085</v>
      </c>
      <c r="H59" s="5">
        <v>114890</v>
      </c>
      <c r="I59" t="s">
        <v>16</v>
      </c>
    </row>
    <row r="60" spans="3:9" x14ac:dyDescent="0.2">
      <c r="C60" t="s">
        <v>67</v>
      </c>
      <c r="D60" t="s">
        <v>15</v>
      </c>
      <c r="E60" t="s">
        <v>12</v>
      </c>
      <c r="F60">
        <v>30</v>
      </c>
      <c r="G60" s="4">
        <v>44850</v>
      </c>
      <c r="H60" s="5">
        <v>69710</v>
      </c>
      <c r="I60" t="s">
        <v>16</v>
      </c>
    </row>
    <row r="61" spans="3:9" x14ac:dyDescent="0.2">
      <c r="C61" t="s">
        <v>94</v>
      </c>
      <c r="D61" t="s">
        <v>15</v>
      </c>
      <c r="E61" t="s">
        <v>21</v>
      </c>
      <c r="F61">
        <v>36</v>
      </c>
      <c r="G61" s="4">
        <v>44333</v>
      </c>
      <c r="H61" s="5">
        <v>71380</v>
      </c>
      <c r="I61" t="s">
        <v>16</v>
      </c>
    </row>
    <row r="62" spans="3:9" x14ac:dyDescent="0.2">
      <c r="C62" t="s">
        <v>33</v>
      </c>
      <c r="D62" t="s">
        <v>8</v>
      </c>
      <c r="E62" t="s">
        <v>19</v>
      </c>
      <c r="F62">
        <v>38</v>
      </c>
      <c r="G62" s="4">
        <v>44377</v>
      </c>
      <c r="H62" s="5">
        <v>109160</v>
      </c>
      <c r="I62" t="s">
        <v>10</v>
      </c>
    </row>
    <row r="63" spans="3:9" x14ac:dyDescent="0.2">
      <c r="C63" t="s">
        <v>98</v>
      </c>
      <c r="D63" t="s">
        <v>15</v>
      </c>
      <c r="E63" t="s">
        <v>9</v>
      </c>
      <c r="F63">
        <v>27</v>
      </c>
      <c r="G63" s="4">
        <v>44609</v>
      </c>
      <c r="H63" s="5">
        <v>113280</v>
      </c>
      <c r="I63" t="s">
        <v>42</v>
      </c>
    </row>
    <row r="64" spans="3:9" x14ac:dyDescent="0.2">
      <c r="C64" t="s">
        <v>25</v>
      </c>
      <c r="D64" t="s">
        <v>15</v>
      </c>
      <c r="E64" t="s">
        <v>12</v>
      </c>
      <c r="F64">
        <v>30</v>
      </c>
      <c r="G64" s="4">
        <v>44273</v>
      </c>
      <c r="H64" s="5">
        <v>69120</v>
      </c>
      <c r="I64" t="s">
        <v>16</v>
      </c>
    </row>
    <row r="65" spans="3:9" x14ac:dyDescent="0.2">
      <c r="C65" t="s">
        <v>55</v>
      </c>
      <c r="D65" t="s">
        <v>8</v>
      </c>
      <c r="E65" t="s">
        <v>56</v>
      </c>
      <c r="F65">
        <v>37</v>
      </c>
      <c r="G65" s="4">
        <v>44451</v>
      </c>
      <c r="H65" s="5">
        <v>118100</v>
      </c>
      <c r="I65" t="s">
        <v>16</v>
      </c>
    </row>
    <row r="66" spans="3:9" x14ac:dyDescent="0.2">
      <c r="C66" t="s">
        <v>62</v>
      </c>
      <c r="D66" t="s">
        <v>8</v>
      </c>
      <c r="E66" t="s">
        <v>9</v>
      </c>
      <c r="F66">
        <v>22</v>
      </c>
      <c r="G66" s="4">
        <v>44450</v>
      </c>
      <c r="H66" s="5">
        <v>76900</v>
      </c>
      <c r="I66" t="s">
        <v>13</v>
      </c>
    </row>
    <row r="67" spans="3:9" x14ac:dyDescent="0.2">
      <c r="C67" t="s">
        <v>17</v>
      </c>
      <c r="D67" t="s">
        <v>8</v>
      </c>
      <c r="E67" t="s">
        <v>12</v>
      </c>
      <c r="F67">
        <v>43</v>
      </c>
      <c r="G67" s="4">
        <v>45045</v>
      </c>
      <c r="H67" s="5">
        <v>114870</v>
      </c>
      <c r="I67" t="s">
        <v>16</v>
      </c>
    </row>
    <row r="68" spans="3:9" x14ac:dyDescent="0.2">
      <c r="C68" t="s">
        <v>52</v>
      </c>
      <c r="E68" t="s">
        <v>12</v>
      </c>
      <c r="F68">
        <v>32</v>
      </c>
      <c r="G68" s="4">
        <v>44774</v>
      </c>
      <c r="H68" s="5">
        <v>91310</v>
      </c>
      <c r="I68" t="s">
        <v>16</v>
      </c>
    </row>
    <row r="69" spans="3:9" x14ac:dyDescent="0.2">
      <c r="C69" t="s">
        <v>43</v>
      </c>
      <c r="D69" t="s">
        <v>8</v>
      </c>
      <c r="E69" t="s">
        <v>9</v>
      </c>
      <c r="F69">
        <v>28</v>
      </c>
      <c r="G69" s="4">
        <v>44486</v>
      </c>
      <c r="H69" s="5">
        <v>104770</v>
      </c>
      <c r="I69" t="s">
        <v>16</v>
      </c>
    </row>
    <row r="70" spans="3:9" x14ac:dyDescent="0.2">
      <c r="C70" t="s">
        <v>89</v>
      </c>
      <c r="D70" t="s">
        <v>15</v>
      </c>
      <c r="E70" t="s">
        <v>19</v>
      </c>
      <c r="F70">
        <v>27</v>
      </c>
      <c r="G70" s="4">
        <v>44134</v>
      </c>
      <c r="H70" s="5">
        <v>54970</v>
      </c>
      <c r="I70" t="s">
        <v>16</v>
      </c>
    </row>
    <row r="71" spans="3:9" x14ac:dyDescent="0.2">
      <c r="C71" t="s">
        <v>11</v>
      </c>
      <c r="E71" t="s">
        <v>12</v>
      </c>
      <c r="F71">
        <v>26</v>
      </c>
      <c r="G71" s="4">
        <v>44271</v>
      </c>
      <c r="H71" s="5">
        <v>90700</v>
      </c>
      <c r="I71" t="s">
        <v>13</v>
      </c>
    </row>
    <row r="72" spans="3:9" x14ac:dyDescent="0.2">
      <c r="C72" t="s">
        <v>109</v>
      </c>
      <c r="D72" t="s">
        <v>8</v>
      </c>
      <c r="E72" t="s">
        <v>19</v>
      </c>
      <c r="F72">
        <v>38</v>
      </c>
      <c r="G72" s="4">
        <v>44329</v>
      </c>
      <c r="H72" s="5">
        <v>56870</v>
      </c>
      <c r="I72" t="s">
        <v>13</v>
      </c>
    </row>
    <row r="73" spans="3:9" x14ac:dyDescent="0.2">
      <c r="C73" t="s">
        <v>77</v>
      </c>
      <c r="D73" t="s">
        <v>8</v>
      </c>
      <c r="E73" t="s">
        <v>19</v>
      </c>
      <c r="F73">
        <v>25</v>
      </c>
      <c r="G73" s="4">
        <v>44205</v>
      </c>
      <c r="H73" s="5">
        <v>92700</v>
      </c>
      <c r="I73" t="s">
        <v>16</v>
      </c>
    </row>
    <row r="74" spans="3:9" x14ac:dyDescent="0.2">
      <c r="C74" t="s">
        <v>32</v>
      </c>
      <c r="D74" t="s">
        <v>8</v>
      </c>
      <c r="E74" t="s">
        <v>21</v>
      </c>
      <c r="F74">
        <v>21</v>
      </c>
      <c r="G74" s="4">
        <v>44317</v>
      </c>
      <c r="H74" s="5">
        <v>65920</v>
      </c>
      <c r="I74" t="s">
        <v>16</v>
      </c>
    </row>
    <row r="75" spans="3:9" x14ac:dyDescent="0.2">
      <c r="C75" t="s">
        <v>59</v>
      </c>
      <c r="D75" t="s">
        <v>15</v>
      </c>
      <c r="E75" t="s">
        <v>9</v>
      </c>
      <c r="F75">
        <v>26</v>
      </c>
      <c r="G75" s="4">
        <v>44225</v>
      </c>
      <c r="H75" s="5">
        <v>47360</v>
      </c>
      <c r="I75" t="s">
        <v>16</v>
      </c>
    </row>
    <row r="76" spans="3:9" x14ac:dyDescent="0.2">
      <c r="C76" t="s">
        <v>37</v>
      </c>
      <c r="D76" t="s">
        <v>15</v>
      </c>
      <c r="E76" t="s">
        <v>9</v>
      </c>
      <c r="F76">
        <v>30</v>
      </c>
      <c r="G76" s="4">
        <v>44666</v>
      </c>
      <c r="H76" s="5">
        <v>60570</v>
      </c>
      <c r="I76" t="s">
        <v>16</v>
      </c>
    </row>
    <row r="77" spans="3:9" x14ac:dyDescent="0.2">
      <c r="C77" t="s">
        <v>96</v>
      </c>
      <c r="D77" t="s">
        <v>8</v>
      </c>
      <c r="E77" t="s">
        <v>9</v>
      </c>
      <c r="F77">
        <v>28</v>
      </c>
      <c r="G77" s="4">
        <v>44649</v>
      </c>
      <c r="H77" s="5">
        <v>104120</v>
      </c>
      <c r="I77" t="s">
        <v>16</v>
      </c>
    </row>
    <row r="78" spans="3:9" x14ac:dyDescent="0.2">
      <c r="C78" t="s">
        <v>23</v>
      </c>
      <c r="D78" t="s">
        <v>15</v>
      </c>
      <c r="E78" t="s">
        <v>12</v>
      </c>
      <c r="F78">
        <v>37</v>
      </c>
      <c r="G78" s="4">
        <v>44338</v>
      </c>
      <c r="H78" s="5">
        <v>88050</v>
      </c>
      <c r="I78" t="s">
        <v>24</v>
      </c>
    </row>
    <row r="79" spans="3:9" x14ac:dyDescent="0.2">
      <c r="C79" t="s">
        <v>103</v>
      </c>
      <c r="D79" t="s">
        <v>15</v>
      </c>
      <c r="E79" t="s">
        <v>12</v>
      </c>
      <c r="F79">
        <v>24</v>
      </c>
      <c r="G79" s="4">
        <v>44686</v>
      </c>
      <c r="H79" s="5">
        <v>100420</v>
      </c>
      <c r="I79" t="s">
        <v>16</v>
      </c>
    </row>
    <row r="80" spans="3:9" x14ac:dyDescent="0.2">
      <c r="C80" t="s">
        <v>54</v>
      </c>
      <c r="D80" t="s">
        <v>8</v>
      </c>
      <c r="E80" t="s">
        <v>9</v>
      </c>
      <c r="F80">
        <v>30</v>
      </c>
      <c r="G80" s="4">
        <v>44850</v>
      </c>
      <c r="H80" s="5">
        <v>114180</v>
      </c>
      <c r="I80" t="s">
        <v>16</v>
      </c>
    </row>
    <row r="81" spans="3:9" x14ac:dyDescent="0.2">
      <c r="C81" t="s">
        <v>86</v>
      </c>
      <c r="D81" t="s">
        <v>8</v>
      </c>
      <c r="E81" t="s">
        <v>12</v>
      </c>
      <c r="F81">
        <v>21</v>
      </c>
      <c r="G81" s="4">
        <v>44678</v>
      </c>
      <c r="H81" s="5">
        <v>33920</v>
      </c>
      <c r="I81" t="s">
        <v>16</v>
      </c>
    </row>
    <row r="82" spans="3:9" x14ac:dyDescent="0.2">
      <c r="C82" t="s">
        <v>69</v>
      </c>
      <c r="D82" t="s">
        <v>15</v>
      </c>
      <c r="E82" t="s">
        <v>9</v>
      </c>
      <c r="F82">
        <v>23</v>
      </c>
      <c r="G82" s="4">
        <v>44440</v>
      </c>
      <c r="H82" s="5">
        <v>106460</v>
      </c>
      <c r="I82" t="s">
        <v>16</v>
      </c>
    </row>
    <row r="83" spans="3:9" x14ac:dyDescent="0.2">
      <c r="C83" t="s">
        <v>57</v>
      </c>
      <c r="D83" t="s">
        <v>15</v>
      </c>
      <c r="E83" t="s">
        <v>9</v>
      </c>
      <c r="F83">
        <v>35</v>
      </c>
      <c r="G83" s="4">
        <v>44727</v>
      </c>
      <c r="H83" s="5">
        <v>40400</v>
      </c>
      <c r="I83" t="s">
        <v>16</v>
      </c>
    </row>
    <row r="84" spans="3:9" x14ac:dyDescent="0.2">
      <c r="C84" t="s">
        <v>68</v>
      </c>
      <c r="D84" t="s">
        <v>15</v>
      </c>
      <c r="E84" t="s">
        <v>21</v>
      </c>
      <c r="F84">
        <v>27</v>
      </c>
      <c r="G84" s="4">
        <v>44236</v>
      </c>
      <c r="H84" s="5">
        <v>91650</v>
      </c>
      <c r="I84" t="s">
        <v>13</v>
      </c>
    </row>
    <row r="85" spans="3:9" x14ac:dyDescent="0.2">
      <c r="C85" t="s">
        <v>99</v>
      </c>
      <c r="D85" t="s">
        <v>15</v>
      </c>
      <c r="E85" t="s">
        <v>19</v>
      </c>
      <c r="F85">
        <v>43</v>
      </c>
      <c r="G85" s="4">
        <v>44620</v>
      </c>
      <c r="H85" s="5">
        <v>36040</v>
      </c>
      <c r="I85" t="s">
        <v>16</v>
      </c>
    </row>
    <row r="86" spans="3:9" x14ac:dyDescent="0.2">
      <c r="C86" t="s">
        <v>101</v>
      </c>
      <c r="D86" t="s">
        <v>8</v>
      </c>
      <c r="E86" t="s">
        <v>12</v>
      </c>
      <c r="F86">
        <v>40</v>
      </c>
      <c r="G86" s="4">
        <v>44381</v>
      </c>
      <c r="H86" s="5">
        <v>104410</v>
      </c>
      <c r="I86" t="s">
        <v>16</v>
      </c>
    </row>
    <row r="87" spans="3:9" x14ac:dyDescent="0.2">
      <c r="C87" t="s">
        <v>85</v>
      </c>
      <c r="D87" t="s">
        <v>15</v>
      </c>
      <c r="E87" t="s">
        <v>21</v>
      </c>
      <c r="F87">
        <v>30</v>
      </c>
      <c r="G87" s="4">
        <v>44606</v>
      </c>
      <c r="H87" s="5">
        <v>96800</v>
      </c>
      <c r="I87" t="s">
        <v>16</v>
      </c>
    </row>
    <row r="88" spans="3:9" x14ac:dyDescent="0.2">
      <c r="C88" t="s">
        <v>28</v>
      </c>
      <c r="D88" t="s">
        <v>8</v>
      </c>
      <c r="E88" t="s">
        <v>21</v>
      </c>
      <c r="F88">
        <v>34</v>
      </c>
      <c r="G88" s="4">
        <v>44459</v>
      </c>
      <c r="H88" s="5">
        <v>85000</v>
      </c>
      <c r="I88" t="s">
        <v>16</v>
      </c>
    </row>
    <row r="89" spans="3:9" x14ac:dyDescent="0.2">
      <c r="C89" t="s">
        <v>80</v>
      </c>
      <c r="D89" t="s">
        <v>15</v>
      </c>
      <c r="E89" t="s">
        <v>19</v>
      </c>
      <c r="F89">
        <v>28</v>
      </c>
      <c r="G89" s="4">
        <v>44820</v>
      </c>
      <c r="H89" s="5">
        <v>43510</v>
      </c>
      <c r="I89" t="s">
        <v>42</v>
      </c>
    </row>
    <row r="90" spans="3:9" x14ac:dyDescent="0.2">
      <c r="C90" t="s">
        <v>79</v>
      </c>
      <c r="D90" t="s">
        <v>15</v>
      </c>
      <c r="E90" t="s">
        <v>21</v>
      </c>
      <c r="F90">
        <v>33</v>
      </c>
      <c r="G90" s="4">
        <v>44243</v>
      </c>
      <c r="H90" s="5">
        <v>59430</v>
      </c>
      <c r="I90" t="s">
        <v>16</v>
      </c>
    </row>
    <row r="91" spans="3:9" x14ac:dyDescent="0.2">
      <c r="C91" t="s">
        <v>93</v>
      </c>
      <c r="D91" t="s">
        <v>8</v>
      </c>
      <c r="E91" t="s">
        <v>21</v>
      </c>
      <c r="F91">
        <v>33</v>
      </c>
      <c r="G91" s="4">
        <v>44067</v>
      </c>
      <c r="H91" s="5">
        <v>65360</v>
      </c>
      <c r="I91" t="s">
        <v>16</v>
      </c>
    </row>
    <row r="92" spans="3:9" x14ac:dyDescent="0.2">
      <c r="C92" t="s">
        <v>66</v>
      </c>
      <c r="D92" t="s">
        <v>8</v>
      </c>
      <c r="E92" t="s">
        <v>9</v>
      </c>
      <c r="F92">
        <v>32</v>
      </c>
      <c r="G92" s="4">
        <v>44611</v>
      </c>
      <c r="H92" s="5">
        <v>41570</v>
      </c>
      <c r="I92" t="s">
        <v>16</v>
      </c>
    </row>
    <row r="93" spans="3:9" x14ac:dyDescent="0.2">
      <c r="C93" t="s">
        <v>95</v>
      </c>
      <c r="D93" t="s">
        <v>8</v>
      </c>
      <c r="E93" t="s">
        <v>12</v>
      </c>
      <c r="F93">
        <v>33</v>
      </c>
      <c r="G93" s="4">
        <v>44312</v>
      </c>
      <c r="H93" s="5">
        <v>75280</v>
      </c>
      <c r="I93" t="s">
        <v>16</v>
      </c>
    </row>
    <row r="94" spans="3:9" x14ac:dyDescent="0.2">
      <c r="C94" t="s">
        <v>18</v>
      </c>
      <c r="D94" t="s">
        <v>15</v>
      </c>
      <c r="E94" t="s">
        <v>19</v>
      </c>
      <c r="F94">
        <v>33</v>
      </c>
      <c r="G94" s="4">
        <v>44385</v>
      </c>
      <c r="H94" s="5">
        <v>74550</v>
      </c>
      <c r="I94" t="s">
        <v>16</v>
      </c>
    </row>
    <row r="95" spans="3:9" x14ac:dyDescent="0.2">
      <c r="C95" t="s">
        <v>45</v>
      </c>
      <c r="D95" t="s">
        <v>15</v>
      </c>
      <c r="E95" t="s">
        <v>9</v>
      </c>
      <c r="F95">
        <v>30</v>
      </c>
      <c r="G95" s="4">
        <v>44701</v>
      </c>
      <c r="H95" s="5">
        <v>67950</v>
      </c>
      <c r="I95" t="s">
        <v>16</v>
      </c>
    </row>
    <row r="96" spans="3:9" x14ac:dyDescent="0.2">
      <c r="C96" t="s">
        <v>90</v>
      </c>
      <c r="D96" t="s">
        <v>15</v>
      </c>
      <c r="E96" t="s">
        <v>21</v>
      </c>
      <c r="F96">
        <v>42</v>
      </c>
      <c r="G96" s="4">
        <v>44731</v>
      </c>
      <c r="H96" s="5">
        <v>70270</v>
      </c>
      <c r="I96" t="s">
        <v>24</v>
      </c>
    </row>
    <row r="97" spans="3:9" x14ac:dyDescent="0.2">
      <c r="C97" t="s">
        <v>46</v>
      </c>
      <c r="D97" t="s">
        <v>15</v>
      </c>
      <c r="E97" t="s">
        <v>9</v>
      </c>
      <c r="F97">
        <v>26</v>
      </c>
      <c r="G97" s="4">
        <v>44411</v>
      </c>
      <c r="H97" s="5">
        <v>53540</v>
      </c>
      <c r="I97" t="s">
        <v>16</v>
      </c>
    </row>
    <row r="98" spans="3:9" x14ac:dyDescent="0.2">
      <c r="C98" t="s">
        <v>58</v>
      </c>
      <c r="D98" t="s">
        <v>15</v>
      </c>
      <c r="E98" t="s">
        <v>19</v>
      </c>
      <c r="F98">
        <v>22</v>
      </c>
      <c r="G98" s="4">
        <v>44446</v>
      </c>
      <c r="H98" s="5">
        <v>112780</v>
      </c>
      <c r="I98" t="s">
        <v>13</v>
      </c>
    </row>
    <row r="99" spans="3:9" x14ac:dyDescent="0.2">
      <c r="C99" t="s">
        <v>70</v>
      </c>
      <c r="D99" t="s">
        <v>15</v>
      </c>
      <c r="E99" t="s">
        <v>9</v>
      </c>
      <c r="F99">
        <v>46</v>
      </c>
      <c r="G99" s="4">
        <v>44758</v>
      </c>
      <c r="H99" s="5">
        <v>70610</v>
      </c>
      <c r="I99" t="s">
        <v>16</v>
      </c>
    </row>
    <row r="100" spans="3:9" x14ac:dyDescent="0.2">
      <c r="C100" t="s">
        <v>75</v>
      </c>
      <c r="D100" t="s">
        <v>8</v>
      </c>
      <c r="E100" t="s">
        <v>19</v>
      </c>
      <c r="F100">
        <v>28</v>
      </c>
      <c r="G100" s="4">
        <v>44357</v>
      </c>
      <c r="H100" s="5">
        <v>53240</v>
      </c>
      <c r="I100" t="s">
        <v>16</v>
      </c>
    </row>
    <row r="101" spans="3:9" x14ac:dyDescent="0.2">
      <c r="C101" t="s">
        <v>49</v>
      </c>
      <c r="E101" t="s">
        <v>21</v>
      </c>
      <c r="F101">
        <v>37</v>
      </c>
      <c r="G101" s="4">
        <v>44146</v>
      </c>
      <c r="H101" s="5">
        <v>115440</v>
      </c>
      <c r="I101" t="s">
        <v>24</v>
      </c>
    </row>
    <row r="102" spans="3:9" x14ac:dyDescent="0.2">
      <c r="C102" t="s">
        <v>65</v>
      </c>
      <c r="D102" t="s">
        <v>15</v>
      </c>
      <c r="E102" t="s">
        <v>19</v>
      </c>
      <c r="F102">
        <v>32</v>
      </c>
      <c r="G102" s="4">
        <v>44465</v>
      </c>
      <c r="H102" s="5">
        <v>53540</v>
      </c>
      <c r="I102" t="s">
        <v>16</v>
      </c>
    </row>
    <row r="103" spans="3:9" x14ac:dyDescent="0.2">
      <c r="C103" t="s">
        <v>81</v>
      </c>
      <c r="D103" t="s">
        <v>8</v>
      </c>
      <c r="E103" t="s">
        <v>9</v>
      </c>
      <c r="F103">
        <v>30</v>
      </c>
      <c r="G103" s="4">
        <v>44861</v>
      </c>
      <c r="H103" s="5">
        <v>112570</v>
      </c>
      <c r="I103" t="s">
        <v>16</v>
      </c>
    </row>
    <row r="104" spans="3:9" x14ac:dyDescent="0.2">
      <c r="C104" t="s">
        <v>51</v>
      </c>
      <c r="D104" t="s">
        <v>15</v>
      </c>
      <c r="E104" t="s">
        <v>9</v>
      </c>
      <c r="F104">
        <v>33</v>
      </c>
      <c r="G104" s="4">
        <v>44701</v>
      </c>
      <c r="H104" s="5">
        <v>48530</v>
      </c>
      <c r="I104" t="s">
        <v>13</v>
      </c>
    </row>
    <row r="105" spans="3:9" x14ac:dyDescent="0.2">
      <c r="C105" t="s">
        <v>61</v>
      </c>
      <c r="D105" t="s">
        <v>8</v>
      </c>
      <c r="E105" t="s">
        <v>12</v>
      </c>
      <c r="F105">
        <v>24</v>
      </c>
      <c r="G105" s="4">
        <v>44148</v>
      </c>
      <c r="H105" s="5">
        <v>62780</v>
      </c>
      <c r="I105" t="s">
        <v>16</v>
      </c>
    </row>
    <row r="106" spans="3:9" x14ac:dyDescent="0.2">
      <c r="C106" t="s">
        <v>203</v>
      </c>
      <c r="H106" s="5">
        <f>SUBTOTAL(101,nz_staff[Salary])</f>
        <v>77472.100000000006</v>
      </c>
      <c r="I106">
        <f>SUBTOTAL(103,nz_staff[Rating])</f>
        <v>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zoomScale="130" zoomScaleNormal="130" workbookViewId="0">
      <selection activeCell="L14" sqref="L14"/>
    </sheetView>
  </sheetViews>
  <sheetFormatPr baseColWidth="10" defaultColWidth="8.83203125" defaultRowHeight="15" x14ac:dyDescent="0.2"/>
  <cols>
    <col min="2" max="2" width="24.33203125" customWidth="1"/>
    <col min="3" max="5" width="9.5" customWidth="1"/>
    <col min="6" max="6" width="11.6640625" customWidth="1"/>
    <col min="7" max="7" width="12" customWidth="1"/>
    <col min="8" max="8" width="9.5" customWidth="1"/>
  </cols>
  <sheetData>
    <row r="2" spans="2:8" x14ac:dyDescent="0.2">
      <c r="B2" t="s">
        <v>0</v>
      </c>
      <c r="C2" t="s">
        <v>1</v>
      </c>
      <c r="D2" t="s">
        <v>3</v>
      </c>
      <c r="E2" t="s">
        <v>6</v>
      </c>
      <c r="F2" t="s">
        <v>4</v>
      </c>
      <c r="G2" t="s">
        <v>2</v>
      </c>
      <c r="H2" t="s">
        <v>5</v>
      </c>
    </row>
    <row r="3" spans="2:8" x14ac:dyDescent="0.2">
      <c r="B3" t="s">
        <v>156</v>
      </c>
      <c r="C3" t="s">
        <v>15</v>
      </c>
      <c r="D3">
        <v>20</v>
      </c>
      <c r="E3" t="s">
        <v>16</v>
      </c>
      <c r="F3" s="4">
        <v>44122</v>
      </c>
      <c r="G3" t="s">
        <v>12</v>
      </c>
      <c r="H3">
        <v>112650</v>
      </c>
    </row>
    <row r="4" spans="2:8" x14ac:dyDescent="0.2">
      <c r="B4" t="s">
        <v>176</v>
      </c>
      <c r="C4" t="s">
        <v>8</v>
      </c>
      <c r="D4">
        <v>32</v>
      </c>
      <c r="E4" t="s">
        <v>13</v>
      </c>
      <c r="F4" s="4">
        <v>44293</v>
      </c>
      <c r="G4" t="s">
        <v>12</v>
      </c>
      <c r="H4">
        <v>43840</v>
      </c>
    </row>
    <row r="5" spans="2:8" x14ac:dyDescent="0.2">
      <c r="B5" t="s">
        <v>143</v>
      </c>
      <c r="C5" t="s">
        <v>15</v>
      </c>
      <c r="D5">
        <v>31</v>
      </c>
      <c r="E5" t="s">
        <v>16</v>
      </c>
      <c r="F5" s="4">
        <v>44663</v>
      </c>
      <c r="G5" t="s">
        <v>9</v>
      </c>
      <c r="H5">
        <v>103550</v>
      </c>
    </row>
    <row r="6" spans="2:8" x14ac:dyDescent="0.2">
      <c r="B6" t="s">
        <v>201</v>
      </c>
      <c r="C6" t="s">
        <v>8</v>
      </c>
      <c r="D6">
        <v>32</v>
      </c>
      <c r="E6" t="s">
        <v>16</v>
      </c>
      <c r="F6" s="4">
        <v>44339</v>
      </c>
      <c r="G6" t="s">
        <v>56</v>
      </c>
      <c r="H6">
        <v>45510</v>
      </c>
    </row>
    <row r="7" spans="2:8" x14ac:dyDescent="0.2">
      <c r="B7" t="s">
        <v>142</v>
      </c>
      <c r="D7">
        <v>37</v>
      </c>
      <c r="E7" t="s">
        <v>24</v>
      </c>
      <c r="F7" s="4">
        <v>44085</v>
      </c>
      <c r="G7" t="s">
        <v>21</v>
      </c>
      <c r="H7">
        <v>115440</v>
      </c>
    </row>
    <row r="8" spans="2:8" x14ac:dyDescent="0.2">
      <c r="B8" t="s">
        <v>202</v>
      </c>
      <c r="C8" t="s">
        <v>8</v>
      </c>
      <c r="D8">
        <v>38</v>
      </c>
      <c r="E8" t="s">
        <v>13</v>
      </c>
      <c r="F8" s="4">
        <v>44268</v>
      </c>
      <c r="G8" t="s">
        <v>19</v>
      </c>
      <c r="H8">
        <v>56870</v>
      </c>
    </row>
    <row r="9" spans="2:8" x14ac:dyDescent="0.2">
      <c r="B9" t="s">
        <v>169</v>
      </c>
      <c r="C9" t="s">
        <v>8</v>
      </c>
      <c r="D9">
        <v>25</v>
      </c>
      <c r="E9" t="s">
        <v>16</v>
      </c>
      <c r="F9" s="4">
        <v>44144</v>
      </c>
      <c r="G9" t="s">
        <v>19</v>
      </c>
      <c r="H9">
        <v>92700</v>
      </c>
    </row>
    <row r="10" spans="2:8" x14ac:dyDescent="0.2">
      <c r="B10" t="s">
        <v>145</v>
      </c>
      <c r="D10">
        <v>32</v>
      </c>
      <c r="E10" t="s">
        <v>16</v>
      </c>
      <c r="F10" s="4">
        <v>44713</v>
      </c>
      <c r="G10" t="s">
        <v>12</v>
      </c>
      <c r="H10">
        <v>91310</v>
      </c>
    </row>
    <row r="11" spans="2:8" x14ac:dyDescent="0.2">
      <c r="B11" t="s">
        <v>115</v>
      </c>
      <c r="C11" t="s">
        <v>15</v>
      </c>
      <c r="D11">
        <v>33</v>
      </c>
      <c r="E11" t="s">
        <v>16</v>
      </c>
      <c r="F11" s="4">
        <v>44324</v>
      </c>
      <c r="G11" t="s">
        <v>19</v>
      </c>
      <c r="H11">
        <v>74550</v>
      </c>
    </row>
    <row r="12" spans="2:8" x14ac:dyDescent="0.2">
      <c r="B12" t="s">
        <v>128</v>
      </c>
      <c r="C12" t="s">
        <v>15</v>
      </c>
      <c r="D12">
        <v>25</v>
      </c>
      <c r="E12" t="s">
        <v>13</v>
      </c>
      <c r="F12" s="4">
        <v>44665</v>
      </c>
      <c r="G12" t="s">
        <v>9</v>
      </c>
      <c r="H12">
        <v>109190</v>
      </c>
    </row>
    <row r="13" spans="2:8" x14ac:dyDescent="0.2">
      <c r="B13" t="s">
        <v>194</v>
      </c>
      <c r="C13" t="s">
        <v>8</v>
      </c>
      <c r="D13">
        <v>40</v>
      </c>
      <c r="E13" t="s">
        <v>16</v>
      </c>
      <c r="F13" s="4">
        <v>44320</v>
      </c>
      <c r="G13" t="s">
        <v>12</v>
      </c>
      <c r="H13">
        <v>104410</v>
      </c>
    </row>
    <row r="14" spans="2:8" x14ac:dyDescent="0.2">
      <c r="B14" t="s">
        <v>177</v>
      </c>
      <c r="C14" t="s">
        <v>15</v>
      </c>
      <c r="D14">
        <v>30</v>
      </c>
      <c r="E14" t="s">
        <v>16</v>
      </c>
      <c r="F14" s="4">
        <v>44544</v>
      </c>
      <c r="G14" t="s">
        <v>21</v>
      </c>
      <c r="H14">
        <v>96800</v>
      </c>
    </row>
    <row r="15" spans="2:8" x14ac:dyDescent="0.2">
      <c r="B15" t="s">
        <v>123</v>
      </c>
      <c r="C15" t="s">
        <v>15</v>
      </c>
      <c r="D15">
        <v>28</v>
      </c>
      <c r="E15" t="s">
        <v>13</v>
      </c>
      <c r="F15" s="4">
        <v>43980</v>
      </c>
      <c r="G15" t="s">
        <v>21</v>
      </c>
      <c r="H15">
        <v>48170</v>
      </c>
    </row>
    <row r="16" spans="2:8" x14ac:dyDescent="0.2">
      <c r="B16" t="s">
        <v>140</v>
      </c>
      <c r="C16" t="s">
        <v>15</v>
      </c>
      <c r="D16">
        <v>21</v>
      </c>
      <c r="E16" t="s">
        <v>16</v>
      </c>
      <c r="F16" s="4">
        <v>44042</v>
      </c>
      <c r="G16" t="s">
        <v>9</v>
      </c>
      <c r="H16">
        <v>37920</v>
      </c>
    </row>
    <row r="17" spans="2:8" x14ac:dyDescent="0.2">
      <c r="B17" t="s">
        <v>178</v>
      </c>
      <c r="C17" t="s">
        <v>15</v>
      </c>
      <c r="D17">
        <v>34</v>
      </c>
      <c r="E17" t="s">
        <v>16</v>
      </c>
      <c r="F17" s="4">
        <v>44642</v>
      </c>
      <c r="G17" t="s">
        <v>9</v>
      </c>
      <c r="H17">
        <v>112650</v>
      </c>
    </row>
    <row r="18" spans="2:8" x14ac:dyDescent="0.2">
      <c r="B18" t="s">
        <v>165</v>
      </c>
      <c r="C18" t="s">
        <v>8</v>
      </c>
      <c r="D18">
        <v>34</v>
      </c>
      <c r="E18" t="s">
        <v>24</v>
      </c>
      <c r="F18" s="4">
        <v>44660</v>
      </c>
      <c r="G18" t="s">
        <v>19</v>
      </c>
      <c r="H18">
        <v>49630</v>
      </c>
    </row>
    <row r="19" spans="2:8" x14ac:dyDescent="0.2">
      <c r="B19" t="s">
        <v>199</v>
      </c>
      <c r="C19" t="s">
        <v>15</v>
      </c>
      <c r="D19">
        <v>36</v>
      </c>
      <c r="E19" t="s">
        <v>16</v>
      </c>
      <c r="F19" s="4">
        <v>43958</v>
      </c>
      <c r="G19" t="s">
        <v>12</v>
      </c>
      <c r="H19">
        <v>118840</v>
      </c>
    </row>
    <row r="20" spans="2:8" x14ac:dyDescent="0.2">
      <c r="B20" t="s">
        <v>159</v>
      </c>
      <c r="C20" t="s">
        <v>15</v>
      </c>
      <c r="D20">
        <v>30</v>
      </c>
      <c r="E20" t="s">
        <v>16</v>
      </c>
      <c r="F20" s="4">
        <v>44789</v>
      </c>
      <c r="G20" t="s">
        <v>12</v>
      </c>
      <c r="H20">
        <v>69710</v>
      </c>
    </row>
    <row r="21" spans="2:8" x14ac:dyDescent="0.2">
      <c r="B21" t="s">
        <v>197</v>
      </c>
      <c r="C21" t="s">
        <v>15</v>
      </c>
      <c r="D21">
        <v>20</v>
      </c>
      <c r="E21" t="s">
        <v>16</v>
      </c>
      <c r="F21" s="4">
        <v>44683</v>
      </c>
      <c r="G21" t="s">
        <v>9</v>
      </c>
      <c r="H21">
        <v>79570</v>
      </c>
    </row>
    <row r="22" spans="2:8" x14ac:dyDescent="0.2">
      <c r="B22" t="s">
        <v>154</v>
      </c>
      <c r="C22" t="s">
        <v>8</v>
      </c>
      <c r="D22">
        <v>22</v>
      </c>
      <c r="E22" t="s">
        <v>13</v>
      </c>
      <c r="F22" s="4">
        <v>44388</v>
      </c>
      <c r="G22" t="s">
        <v>9</v>
      </c>
      <c r="H22">
        <v>76900</v>
      </c>
    </row>
    <row r="23" spans="2:8" x14ac:dyDescent="0.2">
      <c r="B23" t="s">
        <v>182</v>
      </c>
      <c r="C23" t="s">
        <v>15</v>
      </c>
      <c r="D23">
        <v>27</v>
      </c>
      <c r="E23" t="s">
        <v>16</v>
      </c>
      <c r="F23" s="4">
        <v>44073</v>
      </c>
      <c r="G23" t="s">
        <v>19</v>
      </c>
      <c r="H23">
        <v>54970</v>
      </c>
    </row>
    <row r="24" spans="2:8" x14ac:dyDescent="0.2">
      <c r="B24" t="s">
        <v>118</v>
      </c>
      <c r="C24" t="s">
        <v>15</v>
      </c>
      <c r="D24">
        <v>37</v>
      </c>
      <c r="E24" t="s">
        <v>24</v>
      </c>
      <c r="F24" s="4">
        <v>44277</v>
      </c>
      <c r="G24" t="s">
        <v>12</v>
      </c>
      <c r="H24">
        <v>88050</v>
      </c>
    </row>
    <row r="25" spans="2:8" x14ac:dyDescent="0.2">
      <c r="B25" t="s">
        <v>192</v>
      </c>
      <c r="C25" t="s">
        <v>15</v>
      </c>
      <c r="D25">
        <v>43</v>
      </c>
      <c r="E25" t="s">
        <v>16</v>
      </c>
      <c r="F25" s="4">
        <v>44558</v>
      </c>
      <c r="G25" t="s">
        <v>19</v>
      </c>
      <c r="H25">
        <v>36040</v>
      </c>
    </row>
    <row r="26" spans="2:8" x14ac:dyDescent="0.2">
      <c r="B26" t="s">
        <v>111</v>
      </c>
      <c r="C26" t="s">
        <v>8</v>
      </c>
      <c r="D26">
        <v>42</v>
      </c>
      <c r="E26" t="s">
        <v>10</v>
      </c>
      <c r="F26" s="4">
        <v>44718</v>
      </c>
      <c r="G26" t="s">
        <v>9</v>
      </c>
      <c r="H26">
        <v>75000</v>
      </c>
    </row>
    <row r="27" spans="2:8" x14ac:dyDescent="0.2">
      <c r="B27" t="s">
        <v>149</v>
      </c>
      <c r="C27" t="s">
        <v>15</v>
      </c>
      <c r="D27">
        <v>35</v>
      </c>
      <c r="E27" t="s">
        <v>16</v>
      </c>
      <c r="F27" s="4">
        <v>44666</v>
      </c>
      <c r="G27" t="s">
        <v>9</v>
      </c>
      <c r="H27">
        <v>40400</v>
      </c>
    </row>
    <row r="28" spans="2:8" x14ac:dyDescent="0.2">
      <c r="B28" t="s">
        <v>196</v>
      </c>
      <c r="C28" t="s">
        <v>15</v>
      </c>
      <c r="D28">
        <v>24</v>
      </c>
      <c r="E28" t="s">
        <v>16</v>
      </c>
      <c r="F28" s="4">
        <v>44625</v>
      </c>
      <c r="G28" t="s">
        <v>12</v>
      </c>
      <c r="H28">
        <v>100420</v>
      </c>
    </row>
    <row r="29" spans="2:8" x14ac:dyDescent="0.2">
      <c r="B29" t="s">
        <v>120</v>
      </c>
      <c r="C29" t="s">
        <v>8</v>
      </c>
      <c r="D29">
        <v>31</v>
      </c>
      <c r="E29" t="s">
        <v>16</v>
      </c>
      <c r="F29" s="4">
        <v>44604</v>
      </c>
      <c r="G29" t="s">
        <v>12</v>
      </c>
      <c r="H29">
        <v>58100</v>
      </c>
    </row>
    <row r="30" spans="2:8" x14ac:dyDescent="0.2">
      <c r="B30" t="s">
        <v>114</v>
      </c>
      <c r="C30" t="s">
        <v>8</v>
      </c>
      <c r="D30">
        <v>44</v>
      </c>
      <c r="E30" t="s">
        <v>16</v>
      </c>
      <c r="F30" s="4">
        <v>44985</v>
      </c>
      <c r="G30" t="s">
        <v>12</v>
      </c>
      <c r="H30">
        <v>114870</v>
      </c>
    </row>
    <row r="31" spans="2:8" x14ac:dyDescent="0.2">
      <c r="B31" t="s">
        <v>158</v>
      </c>
      <c r="C31" t="s">
        <v>8</v>
      </c>
      <c r="D31">
        <v>32</v>
      </c>
      <c r="E31" t="s">
        <v>16</v>
      </c>
      <c r="F31" s="4">
        <v>44549</v>
      </c>
      <c r="G31" t="s">
        <v>9</v>
      </c>
      <c r="H31">
        <v>41570</v>
      </c>
    </row>
    <row r="32" spans="2:8" x14ac:dyDescent="0.2">
      <c r="B32" t="s">
        <v>173</v>
      </c>
      <c r="C32" t="s">
        <v>8</v>
      </c>
      <c r="D32">
        <v>30</v>
      </c>
      <c r="E32" t="s">
        <v>16</v>
      </c>
      <c r="F32" s="4">
        <v>44800</v>
      </c>
      <c r="G32" t="s">
        <v>9</v>
      </c>
      <c r="H32">
        <v>112570</v>
      </c>
    </row>
    <row r="33" spans="2:8" x14ac:dyDescent="0.2">
      <c r="B33" t="s">
        <v>151</v>
      </c>
      <c r="C33" t="s">
        <v>15</v>
      </c>
      <c r="D33">
        <v>26</v>
      </c>
      <c r="E33" t="s">
        <v>16</v>
      </c>
      <c r="F33" s="4">
        <v>44164</v>
      </c>
      <c r="G33" t="s">
        <v>9</v>
      </c>
      <c r="H33">
        <v>47360</v>
      </c>
    </row>
    <row r="34" spans="2:8" x14ac:dyDescent="0.2">
      <c r="B34" t="s">
        <v>126</v>
      </c>
      <c r="C34" t="s">
        <v>8</v>
      </c>
      <c r="D34">
        <v>21</v>
      </c>
      <c r="E34" t="s">
        <v>16</v>
      </c>
      <c r="F34" s="4">
        <v>44256</v>
      </c>
      <c r="G34" t="s">
        <v>21</v>
      </c>
      <c r="H34">
        <v>65920</v>
      </c>
    </row>
    <row r="35" spans="2:8" x14ac:dyDescent="0.2">
      <c r="B35" t="s">
        <v>200</v>
      </c>
      <c r="C35" t="s">
        <v>8</v>
      </c>
      <c r="D35">
        <v>28</v>
      </c>
      <c r="E35" t="s">
        <v>16</v>
      </c>
      <c r="F35" s="4">
        <v>44571</v>
      </c>
      <c r="G35" t="s">
        <v>9</v>
      </c>
      <c r="H35">
        <v>99970</v>
      </c>
    </row>
    <row r="36" spans="2:8" x14ac:dyDescent="0.2">
      <c r="B36" t="s">
        <v>133</v>
      </c>
      <c r="C36" t="s">
        <v>8</v>
      </c>
      <c r="D36">
        <v>25</v>
      </c>
      <c r="E36" t="s">
        <v>13</v>
      </c>
      <c r="F36" s="4">
        <v>44633</v>
      </c>
      <c r="G36" t="s">
        <v>12</v>
      </c>
      <c r="H36">
        <v>80700</v>
      </c>
    </row>
    <row r="37" spans="2:8" x14ac:dyDescent="0.2">
      <c r="B37" t="s">
        <v>155</v>
      </c>
      <c r="C37" t="s">
        <v>15</v>
      </c>
      <c r="D37">
        <v>24</v>
      </c>
      <c r="E37" t="s">
        <v>24</v>
      </c>
      <c r="F37" s="4">
        <v>44375</v>
      </c>
      <c r="G37" t="s">
        <v>21</v>
      </c>
      <c r="H37">
        <v>52610</v>
      </c>
    </row>
    <row r="38" spans="2:8" x14ac:dyDescent="0.2">
      <c r="B38" t="s">
        <v>180</v>
      </c>
      <c r="C38" t="s">
        <v>15</v>
      </c>
      <c r="D38">
        <v>29</v>
      </c>
      <c r="E38" t="s">
        <v>24</v>
      </c>
      <c r="F38" s="4">
        <v>44119</v>
      </c>
      <c r="G38" t="s">
        <v>12</v>
      </c>
      <c r="H38">
        <v>112110</v>
      </c>
    </row>
    <row r="39" spans="2:8" x14ac:dyDescent="0.2">
      <c r="B39" t="s">
        <v>152</v>
      </c>
      <c r="C39" t="s">
        <v>8</v>
      </c>
      <c r="D39">
        <v>27</v>
      </c>
      <c r="E39" t="s">
        <v>16</v>
      </c>
      <c r="F39" s="4">
        <v>44061</v>
      </c>
      <c r="G39" t="s">
        <v>56</v>
      </c>
      <c r="H39">
        <v>119110</v>
      </c>
    </row>
    <row r="40" spans="2:8" x14ac:dyDescent="0.2">
      <c r="B40" t="s">
        <v>150</v>
      </c>
      <c r="C40" t="s">
        <v>15</v>
      </c>
      <c r="D40">
        <v>22</v>
      </c>
      <c r="E40" t="s">
        <v>13</v>
      </c>
      <c r="F40" s="4">
        <v>44384</v>
      </c>
      <c r="G40" t="s">
        <v>19</v>
      </c>
      <c r="H40">
        <v>112780</v>
      </c>
    </row>
    <row r="41" spans="2:8" x14ac:dyDescent="0.2">
      <c r="B41" t="s">
        <v>175</v>
      </c>
      <c r="C41" t="s">
        <v>8</v>
      </c>
      <c r="D41">
        <v>36</v>
      </c>
      <c r="E41" t="s">
        <v>16</v>
      </c>
      <c r="F41" s="4">
        <v>44023</v>
      </c>
      <c r="G41" t="s">
        <v>9</v>
      </c>
      <c r="H41">
        <v>114890</v>
      </c>
    </row>
    <row r="42" spans="2:8" x14ac:dyDescent="0.2">
      <c r="B42" t="s">
        <v>146</v>
      </c>
      <c r="C42" t="s">
        <v>15</v>
      </c>
      <c r="D42">
        <v>27</v>
      </c>
      <c r="E42" t="s">
        <v>16</v>
      </c>
      <c r="F42" s="4">
        <v>44506</v>
      </c>
      <c r="G42" t="s">
        <v>21</v>
      </c>
      <c r="H42">
        <v>48980</v>
      </c>
    </row>
    <row r="43" spans="2:8" x14ac:dyDescent="0.2">
      <c r="B43" t="s">
        <v>170</v>
      </c>
      <c r="C43" t="s">
        <v>15</v>
      </c>
      <c r="D43">
        <v>21</v>
      </c>
      <c r="E43" t="s">
        <v>16</v>
      </c>
      <c r="F43" s="4">
        <v>44180</v>
      </c>
      <c r="G43" t="s">
        <v>56</v>
      </c>
      <c r="H43">
        <v>75880</v>
      </c>
    </row>
    <row r="44" spans="2:8" x14ac:dyDescent="0.2">
      <c r="B44" t="s">
        <v>167</v>
      </c>
      <c r="C44" t="s">
        <v>8</v>
      </c>
      <c r="D44">
        <v>28</v>
      </c>
      <c r="E44" t="s">
        <v>16</v>
      </c>
      <c r="F44" s="4">
        <v>44296</v>
      </c>
      <c r="G44" t="s">
        <v>19</v>
      </c>
      <c r="H44">
        <v>53240</v>
      </c>
    </row>
    <row r="45" spans="2:8" x14ac:dyDescent="0.2">
      <c r="B45" t="s">
        <v>122</v>
      </c>
      <c r="C45" t="s">
        <v>8</v>
      </c>
      <c r="D45">
        <v>34</v>
      </c>
      <c r="E45" t="s">
        <v>16</v>
      </c>
      <c r="F45" s="4">
        <v>44397</v>
      </c>
      <c r="G45" t="s">
        <v>21</v>
      </c>
      <c r="H45">
        <v>85000</v>
      </c>
    </row>
    <row r="46" spans="2:8" x14ac:dyDescent="0.2">
      <c r="B46" t="s">
        <v>179</v>
      </c>
      <c r="C46" t="s">
        <v>8</v>
      </c>
      <c r="D46">
        <v>21</v>
      </c>
      <c r="E46" t="s">
        <v>16</v>
      </c>
      <c r="F46" s="4">
        <v>44619</v>
      </c>
      <c r="G46" t="s">
        <v>12</v>
      </c>
      <c r="H46">
        <v>33920</v>
      </c>
    </row>
    <row r="47" spans="2:8" x14ac:dyDescent="0.2">
      <c r="B47" t="s">
        <v>188</v>
      </c>
      <c r="C47" t="s">
        <v>8</v>
      </c>
      <c r="D47">
        <v>33</v>
      </c>
      <c r="E47" t="s">
        <v>16</v>
      </c>
      <c r="F47" s="4">
        <v>44253</v>
      </c>
      <c r="G47" t="s">
        <v>12</v>
      </c>
      <c r="H47">
        <v>75280</v>
      </c>
    </row>
    <row r="48" spans="2:8" x14ac:dyDescent="0.2">
      <c r="B48" t="s">
        <v>130</v>
      </c>
      <c r="C48" t="s">
        <v>8</v>
      </c>
      <c r="D48">
        <v>34</v>
      </c>
      <c r="E48" t="s">
        <v>16</v>
      </c>
      <c r="F48" s="4">
        <v>44594</v>
      </c>
      <c r="G48" t="s">
        <v>21</v>
      </c>
      <c r="H48">
        <v>58940</v>
      </c>
    </row>
    <row r="49" spans="2:8" x14ac:dyDescent="0.2">
      <c r="B49" t="s">
        <v>136</v>
      </c>
      <c r="C49" t="s">
        <v>8</v>
      </c>
      <c r="D49">
        <v>28</v>
      </c>
      <c r="E49" t="s">
        <v>16</v>
      </c>
      <c r="F49" s="4">
        <v>44425</v>
      </c>
      <c r="G49" t="s">
        <v>9</v>
      </c>
      <c r="H49">
        <v>104770</v>
      </c>
    </row>
    <row r="50" spans="2:8" x14ac:dyDescent="0.2">
      <c r="B50" t="s">
        <v>125</v>
      </c>
      <c r="C50" t="s">
        <v>15</v>
      </c>
      <c r="D50">
        <v>21</v>
      </c>
      <c r="E50" t="s">
        <v>16</v>
      </c>
      <c r="F50" s="4">
        <v>44701</v>
      </c>
      <c r="G50" t="s">
        <v>9</v>
      </c>
      <c r="H50">
        <v>57090</v>
      </c>
    </row>
    <row r="51" spans="2:8" x14ac:dyDescent="0.2">
      <c r="B51" t="s">
        <v>160</v>
      </c>
      <c r="C51" t="s">
        <v>15</v>
      </c>
      <c r="D51">
        <v>27</v>
      </c>
      <c r="E51" t="s">
        <v>13</v>
      </c>
      <c r="F51" s="4">
        <v>44174</v>
      </c>
      <c r="G51" t="s">
        <v>21</v>
      </c>
      <c r="H51">
        <v>91650</v>
      </c>
    </row>
    <row r="52" spans="2:8" x14ac:dyDescent="0.2">
      <c r="B52" t="s">
        <v>183</v>
      </c>
      <c r="C52" t="s">
        <v>15</v>
      </c>
      <c r="D52">
        <v>42</v>
      </c>
      <c r="E52" t="s">
        <v>24</v>
      </c>
      <c r="F52" s="4">
        <v>44670</v>
      </c>
      <c r="G52" t="s">
        <v>21</v>
      </c>
      <c r="H52">
        <v>70270</v>
      </c>
    </row>
    <row r="53" spans="2:8" x14ac:dyDescent="0.2">
      <c r="B53" t="s">
        <v>129</v>
      </c>
      <c r="C53" t="s">
        <v>8</v>
      </c>
      <c r="D53">
        <v>28</v>
      </c>
      <c r="E53" t="s">
        <v>16</v>
      </c>
      <c r="F53" s="4">
        <v>44124</v>
      </c>
      <c r="G53" t="s">
        <v>21</v>
      </c>
      <c r="H53">
        <v>75970</v>
      </c>
    </row>
    <row r="54" spans="2:8" x14ac:dyDescent="0.2">
      <c r="B54" t="s">
        <v>112</v>
      </c>
      <c r="D54">
        <v>27</v>
      </c>
      <c r="E54" t="s">
        <v>13</v>
      </c>
      <c r="F54" s="4">
        <v>44212</v>
      </c>
      <c r="G54" t="s">
        <v>12</v>
      </c>
      <c r="H54">
        <v>90700</v>
      </c>
    </row>
    <row r="55" spans="2:8" x14ac:dyDescent="0.2">
      <c r="B55" t="s">
        <v>131</v>
      </c>
      <c r="C55" t="s">
        <v>15</v>
      </c>
      <c r="D55">
        <v>30</v>
      </c>
      <c r="E55" t="s">
        <v>16</v>
      </c>
      <c r="F55" s="4">
        <v>44607</v>
      </c>
      <c r="G55" t="s">
        <v>9</v>
      </c>
      <c r="H55">
        <v>60570</v>
      </c>
    </row>
    <row r="56" spans="2:8" x14ac:dyDescent="0.2">
      <c r="B56" t="s">
        <v>134</v>
      </c>
      <c r="C56" t="s">
        <v>15</v>
      </c>
      <c r="D56">
        <v>33</v>
      </c>
      <c r="E56" t="s">
        <v>16</v>
      </c>
      <c r="F56" s="4">
        <v>44103</v>
      </c>
      <c r="G56" t="s">
        <v>9</v>
      </c>
      <c r="H56">
        <v>115920</v>
      </c>
    </row>
    <row r="57" spans="2:8" x14ac:dyDescent="0.2">
      <c r="B57" t="s">
        <v>186</v>
      </c>
      <c r="C57" t="s">
        <v>8</v>
      </c>
      <c r="D57">
        <v>33</v>
      </c>
      <c r="E57" t="s">
        <v>16</v>
      </c>
      <c r="F57" s="4">
        <v>44006</v>
      </c>
      <c r="G57" t="s">
        <v>21</v>
      </c>
      <c r="H57">
        <v>65360</v>
      </c>
    </row>
    <row r="58" spans="2:8" x14ac:dyDescent="0.2">
      <c r="B58" t="s">
        <v>116</v>
      </c>
      <c r="D58">
        <v>30</v>
      </c>
      <c r="E58" t="s">
        <v>16</v>
      </c>
      <c r="F58" s="4">
        <v>44535</v>
      </c>
      <c r="G58" t="s">
        <v>21</v>
      </c>
      <c r="H58">
        <v>64000</v>
      </c>
    </row>
    <row r="59" spans="2:8" x14ac:dyDescent="0.2">
      <c r="B59" t="s">
        <v>195</v>
      </c>
      <c r="C59" t="s">
        <v>8</v>
      </c>
      <c r="D59">
        <v>34</v>
      </c>
      <c r="E59" t="s">
        <v>16</v>
      </c>
      <c r="F59" s="4">
        <v>44383</v>
      </c>
      <c r="G59" t="s">
        <v>21</v>
      </c>
      <c r="H59">
        <v>92450</v>
      </c>
    </row>
    <row r="60" spans="2:8" x14ac:dyDescent="0.2">
      <c r="B60" t="s">
        <v>113</v>
      </c>
      <c r="C60" t="s">
        <v>15</v>
      </c>
      <c r="D60">
        <v>31</v>
      </c>
      <c r="E60" t="s">
        <v>16</v>
      </c>
      <c r="F60" s="4">
        <v>44450</v>
      </c>
      <c r="G60" t="s">
        <v>12</v>
      </c>
      <c r="H60">
        <v>48950</v>
      </c>
    </row>
    <row r="61" spans="2:8" x14ac:dyDescent="0.2">
      <c r="B61" t="s">
        <v>185</v>
      </c>
      <c r="C61" t="s">
        <v>8</v>
      </c>
      <c r="D61">
        <v>27</v>
      </c>
      <c r="E61" t="s">
        <v>16</v>
      </c>
      <c r="F61" s="4">
        <v>44625</v>
      </c>
      <c r="G61" t="s">
        <v>12</v>
      </c>
      <c r="H61">
        <v>83750</v>
      </c>
    </row>
    <row r="62" spans="2:8" x14ac:dyDescent="0.2">
      <c r="B62" t="s">
        <v>166</v>
      </c>
      <c r="C62" t="s">
        <v>8</v>
      </c>
      <c r="D62">
        <v>40</v>
      </c>
      <c r="E62" t="s">
        <v>16</v>
      </c>
      <c r="F62" s="4">
        <v>44276</v>
      </c>
      <c r="G62" t="s">
        <v>12</v>
      </c>
      <c r="H62">
        <v>87620</v>
      </c>
    </row>
    <row r="63" spans="2:8" x14ac:dyDescent="0.2">
      <c r="B63" t="s">
        <v>184</v>
      </c>
      <c r="C63" t="s">
        <v>8</v>
      </c>
      <c r="D63">
        <v>20</v>
      </c>
      <c r="E63" t="s">
        <v>24</v>
      </c>
      <c r="F63" s="4">
        <v>44476</v>
      </c>
      <c r="G63" t="s">
        <v>19</v>
      </c>
      <c r="H63">
        <v>68900</v>
      </c>
    </row>
    <row r="64" spans="2:8" x14ac:dyDescent="0.2">
      <c r="B64" t="s">
        <v>157</v>
      </c>
      <c r="C64" t="s">
        <v>15</v>
      </c>
      <c r="D64">
        <v>32</v>
      </c>
      <c r="E64" t="s">
        <v>16</v>
      </c>
      <c r="F64" s="4">
        <v>44403</v>
      </c>
      <c r="G64" t="s">
        <v>19</v>
      </c>
      <c r="H64">
        <v>53540</v>
      </c>
    </row>
    <row r="65" spans="2:8" x14ac:dyDescent="0.2">
      <c r="B65" t="s">
        <v>172</v>
      </c>
      <c r="C65" t="s">
        <v>15</v>
      </c>
      <c r="D65">
        <v>28</v>
      </c>
      <c r="E65" t="s">
        <v>42</v>
      </c>
      <c r="F65" s="4">
        <v>44758</v>
      </c>
      <c r="G65" t="s">
        <v>19</v>
      </c>
      <c r="H65">
        <v>43510</v>
      </c>
    </row>
    <row r="66" spans="2:8" x14ac:dyDescent="0.2">
      <c r="B66" t="s">
        <v>127</v>
      </c>
      <c r="C66" t="s">
        <v>8</v>
      </c>
      <c r="D66">
        <v>38</v>
      </c>
      <c r="E66" t="s">
        <v>10</v>
      </c>
      <c r="F66" s="4">
        <v>44316</v>
      </c>
      <c r="G66" t="s">
        <v>19</v>
      </c>
      <c r="H66">
        <v>109160</v>
      </c>
    </row>
    <row r="67" spans="2:8" x14ac:dyDescent="0.2">
      <c r="B67" t="s">
        <v>198</v>
      </c>
      <c r="C67" t="s">
        <v>15</v>
      </c>
      <c r="D67">
        <v>40</v>
      </c>
      <c r="E67" t="s">
        <v>16</v>
      </c>
      <c r="F67" s="4">
        <v>44204</v>
      </c>
      <c r="G67" t="s">
        <v>9</v>
      </c>
      <c r="H67">
        <v>99750</v>
      </c>
    </row>
    <row r="68" spans="2:8" x14ac:dyDescent="0.2">
      <c r="B68" t="s">
        <v>124</v>
      </c>
      <c r="C68" t="s">
        <v>8</v>
      </c>
      <c r="D68">
        <v>31</v>
      </c>
      <c r="E68" t="s">
        <v>16</v>
      </c>
      <c r="F68" s="4">
        <v>44084</v>
      </c>
      <c r="G68" t="s">
        <v>12</v>
      </c>
      <c r="H68">
        <v>41980</v>
      </c>
    </row>
    <row r="69" spans="2:8" x14ac:dyDescent="0.2">
      <c r="B69" t="s">
        <v>187</v>
      </c>
      <c r="C69" t="s">
        <v>15</v>
      </c>
      <c r="D69">
        <v>36</v>
      </c>
      <c r="E69" t="s">
        <v>16</v>
      </c>
      <c r="F69" s="4">
        <v>44272</v>
      </c>
      <c r="G69" t="s">
        <v>21</v>
      </c>
      <c r="H69">
        <v>71380</v>
      </c>
    </row>
    <row r="70" spans="2:8" x14ac:dyDescent="0.2">
      <c r="B70" t="s">
        <v>191</v>
      </c>
      <c r="C70" t="s">
        <v>15</v>
      </c>
      <c r="D70">
        <v>27</v>
      </c>
      <c r="E70" t="s">
        <v>42</v>
      </c>
      <c r="F70" s="4">
        <v>44547</v>
      </c>
      <c r="G70" t="s">
        <v>9</v>
      </c>
      <c r="H70">
        <v>113280</v>
      </c>
    </row>
    <row r="71" spans="2:8" x14ac:dyDescent="0.2">
      <c r="B71" t="s">
        <v>181</v>
      </c>
      <c r="C71" t="s">
        <v>8</v>
      </c>
      <c r="D71">
        <v>33</v>
      </c>
      <c r="E71" t="s">
        <v>16</v>
      </c>
      <c r="F71" s="4">
        <v>44747</v>
      </c>
      <c r="G71" t="s">
        <v>21</v>
      </c>
      <c r="H71">
        <v>86570</v>
      </c>
    </row>
    <row r="72" spans="2:8" x14ac:dyDescent="0.2">
      <c r="B72" t="s">
        <v>139</v>
      </c>
      <c r="C72" t="s">
        <v>15</v>
      </c>
      <c r="D72">
        <v>26</v>
      </c>
      <c r="E72" t="s">
        <v>16</v>
      </c>
      <c r="F72" s="4">
        <v>44350</v>
      </c>
      <c r="G72" t="s">
        <v>9</v>
      </c>
      <c r="H72">
        <v>53540</v>
      </c>
    </row>
    <row r="73" spans="2:8" x14ac:dyDescent="0.2">
      <c r="B73" t="s">
        <v>190</v>
      </c>
      <c r="C73" t="s">
        <v>15</v>
      </c>
      <c r="D73">
        <v>37</v>
      </c>
      <c r="E73" t="s">
        <v>16</v>
      </c>
      <c r="F73" s="4">
        <v>44640</v>
      </c>
      <c r="G73" t="s">
        <v>12</v>
      </c>
      <c r="H73">
        <v>69070</v>
      </c>
    </row>
    <row r="74" spans="2:8" x14ac:dyDescent="0.2">
      <c r="B74" t="s">
        <v>121</v>
      </c>
      <c r="C74" t="s">
        <v>8</v>
      </c>
      <c r="D74">
        <v>30</v>
      </c>
      <c r="E74" t="s">
        <v>24</v>
      </c>
      <c r="F74" s="4">
        <v>44328</v>
      </c>
      <c r="G74" t="s">
        <v>21</v>
      </c>
      <c r="H74">
        <v>67910</v>
      </c>
    </row>
    <row r="75" spans="2:8" x14ac:dyDescent="0.2">
      <c r="B75" t="s">
        <v>119</v>
      </c>
      <c r="C75" t="s">
        <v>15</v>
      </c>
      <c r="D75">
        <v>30</v>
      </c>
      <c r="E75" t="s">
        <v>16</v>
      </c>
      <c r="F75" s="4">
        <v>44214</v>
      </c>
      <c r="G75" t="s">
        <v>12</v>
      </c>
      <c r="H75">
        <v>69120</v>
      </c>
    </row>
    <row r="76" spans="2:8" x14ac:dyDescent="0.2">
      <c r="B76" t="s">
        <v>132</v>
      </c>
      <c r="C76" t="s">
        <v>8</v>
      </c>
      <c r="D76">
        <v>34</v>
      </c>
      <c r="E76" t="s">
        <v>16</v>
      </c>
      <c r="F76" s="4">
        <v>44550</v>
      </c>
      <c r="G76" t="s">
        <v>21</v>
      </c>
      <c r="H76">
        <v>60130</v>
      </c>
    </row>
    <row r="77" spans="2:8" x14ac:dyDescent="0.2">
      <c r="B77" t="s">
        <v>161</v>
      </c>
      <c r="C77" t="s">
        <v>15</v>
      </c>
      <c r="D77">
        <v>23</v>
      </c>
      <c r="E77" t="s">
        <v>16</v>
      </c>
      <c r="F77" s="4">
        <v>44378</v>
      </c>
      <c r="G77" t="s">
        <v>9</v>
      </c>
      <c r="H77">
        <v>106460</v>
      </c>
    </row>
    <row r="78" spans="2:8" x14ac:dyDescent="0.2">
      <c r="B78" t="s">
        <v>148</v>
      </c>
      <c r="C78" t="s">
        <v>8</v>
      </c>
      <c r="D78">
        <v>37</v>
      </c>
      <c r="E78" t="s">
        <v>16</v>
      </c>
      <c r="F78" s="4">
        <v>44389</v>
      </c>
      <c r="G78" t="s">
        <v>56</v>
      </c>
      <c r="H78">
        <v>118100</v>
      </c>
    </row>
    <row r="79" spans="2:8" x14ac:dyDescent="0.2">
      <c r="B79" t="s">
        <v>164</v>
      </c>
      <c r="C79" t="s">
        <v>8</v>
      </c>
      <c r="D79">
        <v>36</v>
      </c>
      <c r="E79" t="s">
        <v>16</v>
      </c>
      <c r="F79" s="4">
        <v>44468</v>
      </c>
      <c r="G79" t="s">
        <v>9</v>
      </c>
      <c r="H79">
        <v>78390</v>
      </c>
    </row>
    <row r="80" spans="2:8" x14ac:dyDescent="0.2">
      <c r="B80" t="s">
        <v>147</v>
      </c>
      <c r="C80" t="s">
        <v>8</v>
      </c>
      <c r="D80">
        <v>30</v>
      </c>
      <c r="E80" t="s">
        <v>16</v>
      </c>
      <c r="F80" s="4">
        <v>44789</v>
      </c>
      <c r="G80" t="s">
        <v>9</v>
      </c>
      <c r="H80">
        <v>114180</v>
      </c>
    </row>
    <row r="81" spans="2:8" x14ac:dyDescent="0.2">
      <c r="B81" t="s">
        <v>189</v>
      </c>
      <c r="C81" t="s">
        <v>8</v>
      </c>
      <c r="D81">
        <v>28</v>
      </c>
      <c r="E81" t="s">
        <v>16</v>
      </c>
      <c r="F81" s="4">
        <v>44590</v>
      </c>
      <c r="G81" t="s">
        <v>9</v>
      </c>
      <c r="H81">
        <v>104120</v>
      </c>
    </row>
    <row r="82" spans="2:8" x14ac:dyDescent="0.2">
      <c r="B82" t="s">
        <v>138</v>
      </c>
      <c r="C82" t="s">
        <v>15</v>
      </c>
      <c r="D82">
        <v>30</v>
      </c>
      <c r="E82" t="s">
        <v>16</v>
      </c>
      <c r="F82" s="4">
        <v>44640</v>
      </c>
      <c r="G82" t="s">
        <v>9</v>
      </c>
      <c r="H82">
        <v>67950</v>
      </c>
    </row>
    <row r="83" spans="2:8" x14ac:dyDescent="0.2">
      <c r="B83" t="s">
        <v>137</v>
      </c>
      <c r="C83" t="s">
        <v>8</v>
      </c>
      <c r="D83">
        <v>29</v>
      </c>
      <c r="E83" t="s">
        <v>16</v>
      </c>
      <c r="F83" s="4">
        <v>43962</v>
      </c>
      <c r="G83" t="s">
        <v>12</v>
      </c>
      <c r="H83">
        <v>34980</v>
      </c>
    </row>
    <row r="84" spans="2:8" x14ac:dyDescent="0.2">
      <c r="B84" t="s">
        <v>153</v>
      </c>
      <c r="C84" t="s">
        <v>8</v>
      </c>
      <c r="D84">
        <v>24</v>
      </c>
      <c r="E84" t="s">
        <v>16</v>
      </c>
      <c r="F84" s="4">
        <v>44087</v>
      </c>
      <c r="G84" t="s">
        <v>12</v>
      </c>
      <c r="H84">
        <v>62780</v>
      </c>
    </row>
    <row r="85" spans="2:8" x14ac:dyDescent="0.2">
      <c r="B85" t="s">
        <v>117</v>
      </c>
      <c r="C85" t="s">
        <v>15</v>
      </c>
      <c r="D85">
        <v>20</v>
      </c>
      <c r="E85" t="s">
        <v>16</v>
      </c>
      <c r="F85" s="4">
        <v>44397</v>
      </c>
      <c r="G85" t="s">
        <v>12</v>
      </c>
      <c r="H85">
        <v>107700</v>
      </c>
    </row>
    <row r="86" spans="2:8" x14ac:dyDescent="0.2">
      <c r="B86" t="s">
        <v>168</v>
      </c>
      <c r="C86" t="s">
        <v>15</v>
      </c>
      <c r="D86">
        <v>25</v>
      </c>
      <c r="E86" t="s">
        <v>16</v>
      </c>
      <c r="F86" s="4">
        <v>44322</v>
      </c>
      <c r="G86" t="s">
        <v>19</v>
      </c>
      <c r="H86">
        <v>65700</v>
      </c>
    </row>
    <row r="87" spans="2:8" x14ac:dyDescent="0.2">
      <c r="B87" t="s">
        <v>135</v>
      </c>
      <c r="C87" t="s">
        <v>8</v>
      </c>
      <c r="D87">
        <v>33</v>
      </c>
      <c r="E87" t="s">
        <v>42</v>
      </c>
      <c r="F87" s="4">
        <v>44313</v>
      </c>
      <c r="G87" t="s">
        <v>12</v>
      </c>
      <c r="H87">
        <v>75480</v>
      </c>
    </row>
    <row r="88" spans="2:8" x14ac:dyDescent="0.2">
      <c r="B88" t="s">
        <v>174</v>
      </c>
      <c r="C88" t="s">
        <v>15</v>
      </c>
      <c r="D88">
        <v>33</v>
      </c>
      <c r="E88" t="s">
        <v>16</v>
      </c>
      <c r="F88" s="4">
        <v>44448</v>
      </c>
      <c r="G88" t="s">
        <v>12</v>
      </c>
      <c r="H88">
        <v>53870</v>
      </c>
    </row>
    <row r="89" spans="2:8" x14ac:dyDescent="0.2">
      <c r="B89" t="s">
        <v>141</v>
      </c>
      <c r="C89" t="s">
        <v>8</v>
      </c>
      <c r="D89">
        <v>36</v>
      </c>
      <c r="E89" t="s">
        <v>16</v>
      </c>
      <c r="F89" s="4">
        <v>44433</v>
      </c>
      <c r="G89" t="s">
        <v>19</v>
      </c>
      <c r="H89">
        <v>78540</v>
      </c>
    </row>
    <row r="90" spans="2:8" x14ac:dyDescent="0.2">
      <c r="B90" t="s">
        <v>193</v>
      </c>
      <c r="C90" t="s">
        <v>15</v>
      </c>
      <c r="D90">
        <v>19</v>
      </c>
      <c r="E90" t="s">
        <v>16</v>
      </c>
      <c r="F90" s="4">
        <v>44218</v>
      </c>
      <c r="G90" t="s">
        <v>9</v>
      </c>
      <c r="H90">
        <v>58960</v>
      </c>
    </row>
    <row r="91" spans="2:8" x14ac:dyDescent="0.2">
      <c r="B91" t="s">
        <v>162</v>
      </c>
      <c r="C91" t="s">
        <v>15</v>
      </c>
      <c r="D91">
        <v>46</v>
      </c>
      <c r="E91" t="s">
        <v>16</v>
      </c>
      <c r="F91" s="4">
        <v>44697</v>
      </c>
      <c r="G91" t="s">
        <v>9</v>
      </c>
      <c r="H91">
        <v>70610</v>
      </c>
    </row>
    <row r="92" spans="2:8" x14ac:dyDescent="0.2">
      <c r="B92" t="s">
        <v>171</v>
      </c>
      <c r="C92" t="s">
        <v>15</v>
      </c>
      <c r="D92">
        <v>33</v>
      </c>
      <c r="E92" t="s">
        <v>16</v>
      </c>
      <c r="F92" s="4">
        <v>44181</v>
      </c>
      <c r="G92" t="s">
        <v>21</v>
      </c>
      <c r="H92">
        <v>59430</v>
      </c>
    </row>
    <row r="93" spans="2:8" x14ac:dyDescent="0.2">
      <c r="B93" t="s">
        <v>144</v>
      </c>
      <c r="C93" t="s">
        <v>15</v>
      </c>
      <c r="D93">
        <v>33</v>
      </c>
      <c r="E93" t="s">
        <v>13</v>
      </c>
      <c r="F93" s="4">
        <v>44640</v>
      </c>
      <c r="G93" t="s">
        <v>9</v>
      </c>
      <c r="H93">
        <v>48530</v>
      </c>
    </row>
    <row r="94" spans="2:8" x14ac:dyDescent="0.2">
      <c r="B94" t="s">
        <v>163</v>
      </c>
      <c r="C94" t="s">
        <v>8</v>
      </c>
      <c r="D94">
        <v>33</v>
      </c>
      <c r="E94" t="s">
        <v>16</v>
      </c>
      <c r="F94" s="4">
        <v>44129</v>
      </c>
      <c r="G94" t="s">
        <v>12</v>
      </c>
      <c r="H94">
        <v>96140</v>
      </c>
    </row>
    <row r="95" spans="2:8" x14ac:dyDescent="0.2">
      <c r="B95" t="s">
        <v>156</v>
      </c>
      <c r="C95" t="s">
        <v>15</v>
      </c>
      <c r="D95">
        <v>20</v>
      </c>
      <c r="E95" t="s">
        <v>16</v>
      </c>
      <c r="F95" s="4">
        <v>44122</v>
      </c>
      <c r="G95" t="s">
        <v>12</v>
      </c>
      <c r="H95">
        <v>112650</v>
      </c>
    </row>
    <row r="96" spans="2:8" x14ac:dyDescent="0.2">
      <c r="B96" t="s">
        <v>176</v>
      </c>
      <c r="C96" t="s">
        <v>8</v>
      </c>
      <c r="D96">
        <v>32</v>
      </c>
      <c r="E96" t="s">
        <v>13</v>
      </c>
      <c r="F96" s="4">
        <v>44293</v>
      </c>
      <c r="G96" t="s">
        <v>12</v>
      </c>
      <c r="H96">
        <v>43840</v>
      </c>
    </row>
    <row r="97" spans="2:8" x14ac:dyDescent="0.2">
      <c r="B97" t="s">
        <v>143</v>
      </c>
      <c r="C97" t="s">
        <v>15</v>
      </c>
      <c r="D97">
        <v>31</v>
      </c>
      <c r="E97" t="s">
        <v>16</v>
      </c>
      <c r="F97" s="4">
        <v>44663</v>
      </c>
      <c r="G97" t="s">
        <v>9</v>
      </c>
      <c r="H97">
        <v>103550</v>
      </c>
    </row>
    <row r="98" spans="2:8" x14ac:dyDescent="0.2">
      <c r="B98" t="s">
        <v>201</v>
      </c>
      <c r="C98" t="s">
        <v>8</v>
      </c>
      <c r="D98">
        <v>32</v>
      </c>
      <c r="E98" t="s">
        <v>16</v>
      </c>
      <c r="F98" s="4">
        <v>44339</v>
      </c>
      <c r="G98" t="s">
        <v>56</v>
      </c>
      <c r="H98">
        <v>45510</v>
      </c>
    </row>
    <row r="99" spans="2:8" x14ac:dyDescent="0.2">
      <c r="B99" t="s">
        <v>142</v>
      </c>
      <c r="D99">
        <v>37</v>
      </c>
      <c r="E99" t="s">
        <v>24</v>
      </c>
      <c r="F99" s="4">
        <v>44085</v>
      </c>
      <c r="G99" t="s">
        <v>21</v>
      </c>
      <c r="H99">
        <v>115440</v>
      </c>
    </row>
    <row r="100" spans="2:8" x14ac:dyDescent="0.2">
      <c r="B100" t="s">
        <v>202</v>
      </c>
      <c r="C100" t="s">
        <v>8</v>
      </c>
      <c r="D100">
        <v>38</v>
      </c>
      <c r="E100" t="s">
        <v>13</v>
      </c>
      <c r="F100" s="4">
        <v>44268</v>
      </c>
      <c r="G100" t="s">
        <v>19</v>
      </c>
      <c r="H100">
        <v>56870</v>
      </c>
    </row>
    <row r="101" spans="2:8" x14ac:dyDescent="0.2">
      <c r="B101" t="s">
        <v>169</v>
      </c>
      <c r="C101" t="s">
        <v>8</v>
      </c>
      <c r="D101">
        <v>25</v>
      </c>
      <c r="E101" t="s">
        <v>16</v>
      </c>
      <c r="F101" s="4">
        <v>44144</v>
      </c>
      <c r="G101" t="s">
        <v>19</v>
      </c>
      <c r="H101">
        <v>92700</v>
      </c>
    </row>
    <row r="102" spans="2:8" x14ac:dyDescent="0.2">
      <c r="B102" t="s">
        <v>145</v>
      </c>
      <c r="D102">
        <v>32</v>
      </c>
      <c r="E102" t="s">
        <v>16</v>
      </c>
      <c r="F102" s="4">
        <v>44713</v>
      </c>
      <c r="G102" t="s">
        <v>12</v>
      </c>
      <c r="H102">
        <v>91310</v>
      </c>
    </row>
    <row r="103" spans="2:8" x14ac:dyDescent="0.2">
      <c r="B103" t="s">
        <v>115</v>
      </c>
      <c r="C103" t="s">
        <v>15</v>
      </c>
      <c r="D103">
        <v>33</v>
      </c>
      <c r="E103" t="s">
        <v>16</v>
      </c>
      <c r="F103" s="4">
        <v>44324</v>
      </c>
      <c r="G103" t="s">
        <v>19</v>
      </c>
      <c r="H103">
        <v>74550</v>
      </c>
    </row>
    <row r="104" spans="2:8" x14ac:dyDescent="0.2">
      <c r="B104" t="s">
        <v>128</v>
      </c>
      <c r="C104" t="s">
        <v>15</v>
      </c>
      <c r="D104">
        <v>25</v>
      </c>
      <c r="E104" t="s">
        <v>13</v>
      </c>
      <c r="F104" s="4">
        <v>44665</v>
      </c>
      <c r="G104" t="s">
        <v>9</v>
      </c>
      <c r="H104">
        <v>109190</v>
      </c>
    </row>
    <row r="105" spans="2:8" x14ac:dyDescent="0.2">
      <c r="B105" t="s">
        <v>194</v>
      </c>
      <c r="C105" t="s">
        <v>8</v>
      </c>
      <c r="D105">
        <v>40</v>
      </c>
      <c r="E105" t="s">
        <v>16</v>
      </c>
      <c r="F105" s="4">
        <v>44320</v>
      </c>
      <c r="G105" t="s">
        <v>12</v>
      </c>
      <c r="H105">
        <v>104410</v>
      </c>
    </row>
    <row r="106" spans="2:8" x14ac:dyDescent="0.2">
      <c r="B106" t="s">
        <v>177</v>
      </c>
      <c r="C106" t="s">
        <v>15</v>
      </c>
      <c r="D106">
        <v>30</v>
      </c>
      <c r="E106" t="s">
        <v>16</v>
      </c>
      <c r="F106" s="4">
        <v>44544</v>
      </c>
      <c r="G106" t="s">
        <v>21</v>
      </c>
      <c r="H106">
        <v>96800</v>
      </c>
    </row>
    <row r="107" spans="2:8" x14ac:dyDescent="0.2">
      <c r="B107" t="s">
        <v>123</v>
      </c>
      <c r="C107" t="s">
        <v>15</v>
      </c>
      <c r="D107">
        <v>28</v>
      </c>
      <c r="E107" t="s">
        <v>13</v>
      </c>
      <c r="F107" s="4">
        <v>43980</v>
      </c>
      <c r="G107" t="s">
        <v>21</v>
      </c>
      <c r="H107">
        <v>48170</v>
      </c>
    </row>
    <row r="108" spans="2:8" x14ac:dyDescent="0.2">
      <c r="B108" t="s">
        <v>140</v>
      </c>
      <c r="C108" t="s">
        <v>15</v>
      </c>
      <c r="D108">
        <v>21</v>
      </c>
      <c r="E108" t="s">
        <v>16</v>
      </c>
      <c r="F108" s="4">
        <v>44042</v>
      </c>
      <c r="G108" t="s">
        <v>9</v>
      </c>
      <c r="H108">
        <v>37920</v>
      </c>
    </row>
    <row r="109" spans="2:8" x14ac:dyDescent="0.2">
      <c r="B109" t="s">
        <v>178</v>
      </c>
      <c r="C109" t="s">
        <v>15</v>
      </c>
      <c r="D109">
        <v>34</v>
      </c>
      <c r="E109" t="s">
        <v>16</v>
      </c>
      <c r="F109" s="4">
        <v>44642</v>
      </c>
      <c r="G109" t="s">
        <v>9</v>
      </c>
      <c r="H109">
        <v>112650</v>
      </c>
    </row>
    <row r="110" spans="2:8" x14ac:dyDescent="0.2">
      <c r="B110" t="s">
        <v>165</v>
      </c>
      <c r="C110" t="s">
        <v>8</v>
      </c>
      <c r="D110">
        <v>34</v>
      </c>
      <c r="E110" t="s">
        <v>24</v>
      </c>
      <c r="F110" s="4">
        <v>44660</v>
      </c>
      <c r="G110" t="s">
        <v>19</v>
      </c>
      <c r="H110">
        <v>49630</v>
      </c>
    </row>
    <row r="111" spans="2:8" x14ac:dyDescent="0.2">
      <c r="B111" t="s">
        <v>199</v>
      </c>
      <c r="C111" t="s">
        <v>15</v>
      </c>
      <c r="D111">
        <v>36</v>
      </c>
      <c r="E111" t="s">
        <v>16</v>
      </c>
      <c r="F111" s="4">
        <v>43958</v>
      </c>
      <c r="G111" t="s">
        <v>12</v>
      </c>
      <c r="H111">
        <v>118840</v>
      </c>
    </row>
    <row r="112" spans="2:8" x14ac:dyDescent="0.2">
      <c r="B112" t="s">
        <v>159</v>
      </c>
      <c r="C112" t="s">
        <v>15</v>
      </c>
      <c r="D112">
        <v>30</v>
      </c>
      <c r="E112" t="s">
        <v>16</v>
      </c>
      <c r="F112" s="4">
        <v>44789</v>
      </c>
      <c r="G112" t="s">
        <v>12</v>
      </c>
      <c r="H112">
        <v>69710</v>
      </c>
    </row>
    <row r="113" spans="2:8" x14ac:dyDescent="0.2">
      <c r="B113" t="s">
        <v>197</v>
      </c>
      <c r="C113" t="s">
        <v>15</v>
      </c>
      <c r="D113">
        <v>20</v>
      </c>
      <c r="E113" t="s">
        <v>16</v>
      </c>
      <c r="F113" s="4">
        <v>44683</v>
      </c>
      <c r="G113" t="s">
        <v>9</v>
      </c>
      <c r="H113">
        <v>79570</v>
      </c>
    </row>
    <row r="114" spans="2:8" x14ac:dyDescent="0.2">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9A2F3-8DE4-7C4A-9D05-E8271D6E8B26}">
  <dimension ref="B5:D62"/>
  <sheetViews>
    <sheetView zoomScale="130" zoomScaleNormal="130" workbookViewId="0">
      <selection activeCell="B9" sqref="B9"/>
    </sheetView>
  </sheetViews>
  <sheetFormatPr baseColWidth="10" defaultRowHeight="15" x14ac:dyDescent="0.2"/>
  <cols>
    <col min="2" max="2" width="26" bestFit="1" customWidth="1"/>
    <col min="3" max="3" width="11.83203125" bestFit="1" customWidth="1"/>
    <col min="5" max="5" width="11.83203125" bestFit="1" customWidth="1"/>
  </cols>
  <sheetData>
    <row r="5" spans="2:4" x14ac:dyDescent="0.2">
      <c r="B5" t="s">
        <v>219</v>
      </c>
      <c r="C5" t="s">
        <v>12</v>
      </c>
    </row>
    <row r="7" spans="2:4" x14ac:dyDescent="0.2">
      <c r="B7" t="s">
        <v>220</v>
      </c>
      <c r="C7">
        <f>COUNTIFS(Staff[Department], C5)</f>
        <v>54</v>
      </c>
    </row>
    <row r="9" spans="2:4" x14ac:dyDescent="0.2">
      <c r="B9" t="str" cm="1">
        <f t="array" aca="1" ref="B9:D62" ca="1">_xlfn._xlws.SORT(_xlfn.CHOOSECOLS(_xlfn._xlws.FILTER(Staff[],Staff[Department]=C5),1,4,5),2,-1)</f>
        <v>Ayog Chakrabarti</v>
      </c>
      <c r="C9" t="str">
        <f ca="1"/>
        <v>Very poor</v>
      </c>
      <c r="D9">
        <f ca="1"/>
        <v>44313</v>
      </c>
    </row>
    <row r="10" spans="2:4" x14ac:dyDescent="0.2">
      <c r="B10" t="str">
        <f ca="1"/>
        <v>Camilla Castle</v>
      </c>
      <c r="C10" t="str">
        <f ca="1"/>
        <v>Very poor</v>
      </c>
      <c r="D10">
        <f ca="1"/>
        <v>44374</v>
      </c>
    </row>
    <row r="11" spans="2:4" x14ac:dyDescent="0.2">
      <c r="B11" t="str">
        <f ca="1"/>
        <v>Gangadutt Ragha</v>
      </c>
      <c r="C11" t="str">
        <f ca="1"/>
        <v>Poor</v>
      </c>
      <c r="D11">
        <f ca="1"/>
        <v>44277</v>
      </c>
    </row>
    <row r="12" spans="2:4" x14ac:dyDescent="0.2">
      <c r="B12" t="str">
        <f ca="1"/>
        <v>Ches Bonnell</v>
      </c>
      <c r="C12" t="str">
        <f ca="1"/>
        <v>Poor</v>
      </c>
      <c r="D12">
        <f ca="1"/>
        <v>44338</v>
      </c>
    </row>
    <row r="13" spans="2:4" x14ac:dyDescent="0.2">
      <c r="B13" t="str">
        <f ca="1"/>
        <v>Narois Motiwala</v>
      </c>
      <c r="C13" t="str">
        <f ca="1"/>
        <v>Poor</v>
      </c>
      <c r="D13">
        <f ca="1"/>
        <v>44119</v>
      </c>
    </row>
    <row r="14" spans="2:4" x14ac:dyDescent="0.2">
      <c r="B14" t="str">
        <f ca="1"/>
        <v>Bev Lashley</v>
      </c>
      <c r="C14" t="str">
        <f ca="1"/>
        <v>Poor</v>
      </c>
      <c r="D14">
        <f ca="1"/>
        <v>44180</v>
      </c>
    </row>
    <row r="15" spans="2:4" x14ac:dyDescent="0.2">
      <c r="B15" t="str">
        <f ca="1"/>
        <v>Shubhra Potla</v>
      </c>
      <c r="C15" t="str">
        <f ca="1"/>
        <v>Average</v>
      </c>
      <c r="D15">
        <f ca="1"/>
        <v>44619</v>
      </c>
    </row>
    <row r="16" spans="2:4" x14ac:dyDescent="0.2">
      <c r="B16" t="str">
        <f ca="1"/>
        <v>Gretchen Callow</v>
      </c>
      <c r="C16" t="str">
        <f ca="1"/>
        <v>Average</v>
      </c>
      <c r="D16">
        <f ca="1"/>
        <v>44678</v>
      </c>
    </row>
    <row r="17" spans="2:4" x14ac:dyDescent="0.2">
      <c r="B17" t="str">
        <f ca="1"/>
        <v>Suchira Bhanupriya Tapti</v>
      </c>
      <c r="C17" t="str">
        <f ca="1"/>
        <v>Average</v>
      </c>
      <c r="D17">
        <f ca="1"/>
        <v>43962</v>
      </c>
    </row>
    <row r="18" spans="2:4" x14ac:dyDescent="0.2">
      <c r="B18" t="str">
        <f ca="1"/>
        <v>Niall Selesnick</v>
      </c>
      <c r="C18" t="str">
        <f ca="1"/>
        <v>Average</v>
      </c>
      <c r="D18">
        <f ca="1"/>
        <v>44023</v>
      </c>
    </row>
    <row r="19" spans="2:4" x14ac:dyDescent="0.2">
      <c r="B19" t="str">
        <f ca="1"/>
        <v>Jagajeet Viraj</v>
      </c>
      <c r="C19" t="str">
        <f ca="1"/>
        <v>Average</v>
      </c>
      <c r="D19">
        <f ca="1"/>
        <v>44084</v>
      </c>
    </row>
    <row r="20" spans="2:4" x14ac:dyDescent="0.2">
      <c r="B20" t="str">
        <f ca="1"/>
        <v>Dotty Strutley</v>
      </c>
      <c r="C20" t="str">
        <f ca="1"/>
        <v>Average</v>
      </c>
      <c r="D20">
        <f ca="1"/>
        <v>44145</v>
      </c>
    </row>
    <row r="21" spans="2:4" x14ac:dyDescent="0.2">
      <c r="B21" t="str">
        <f ca="1"/>
        <v>Amal Nimesh</v>
      </c>
      <c r="C21" t="str">
        <f ca="1"/>
        <v>Average</v>
      </c>
      <c r="D21">
        <f ca="1"/>
        <v>44450</v>
      </c>
    </row>
    <row r="22" spans="2:4" x14ac:dyDescent="0.2">
      <c r="B22" t="str">
        <f ca="1"/>
        <v>Gunar Cockshoot</v>
      </c>
      <c r="C22" t="str">
        <f ca="1"/>
        <v>Average</v>
      </c>
      <c r="D22">
        <f ca="1"/>
        <v>44511</v>
      </c>
    </row>
    <row r="23" spans="2:4" x14ac:dyDescent="0.2">
      <c r="B23" t="str">
        <f ca="1"/>
        <v>Pragya Nilufar</v>
      </c>
      <c r="C23" t="str">
        <f ca="1"/>
        <v>Average</v>
      </c>
      <c r="D23">
        <f ca="1"/>
        <v>44448</v>
      </c>
    </row>
    <row r="24" spans="2:4" x14ac:dyDescent="0.2">
      <c r="B24" t="str">
        <f ca="1"/>
        <v>William Reeveley</v>
      </c>
      <c r="C24" t="str">
        <f ca="1"/>
        <v>Average</v>
      </c>
      <c r="D24">
        <f ca="1"/>
        <v>44509</v>
      </c>
    </row>
    <row r="25" spans="2:4" x14ac:dyDescent="0.2">
      <c r="B25" t="str">
        <f ca="1"/>
        <v>Pratigya Rema</v>
      </c>
      <c r="C25" t="str">
        <f ca="1"/>
        <v>Average</v>
      </c>
      <c r="D25">
        <f ca="1"/>
        <v>44604</v>
      </c>
    </row>
    <row r="26" spans="2:4" x14ac:dyDescent="0.2">
      <c r="B26" t="str">
        <f ca="1"/>
        <v>Brien Boise</v>
      </c>
      <c r="C26" t="str">
        <f ca="1"/>
        <v>Average</v>
      </c>
      <c r="D26">
        <f ca="1"/>
        <v>44663</v>
      </c>
    </row>
    <row r="27" spans="2:4" x14ac:dyDescent="0.2">
      <c r="B27" t="str">
        <f ca="1"/>
        <v>Fullara Sushanti Mokate</v>
      </c>
      <c r="C27" t="str">
        <f ca="1"/>
        <v>Average</v>
      </c>
      <c r="D27">
        <f ca="1"/>
        <v>44087</v>
      </c>
    </row>
    <row r="28" spans="2:4" x14ac:dyDescent="0.2">
      <c r="B28" t="str">
        <f ca="1"/>
        <v>Vic Radolf</v>
      </c>
      <c r="C28" t="str">
        <f ca="1"/>
        <v>Average</v>
      </c>
      <c r="D28">
        <f ca="1"/>
        <v>44148</v>
      </c>
    </row>
    <row r="29" spans="2:4" x14ac:dyDescent="0.2">
      <c r="B29" t="str">
        <f ca="1"/>
        <v>Jaishree Atasi Yavatkar</v>
      </c>
      <c r="C29" t="str">
        <f ca="1"/>
        <v>Average</v>
      </c>
      <c r="D29">
        <f ca="1"/>
        <v>44640</v>
      </c>
    </row>
    <row r="30" spans="2:4" x14ac:dyDescent="0.2">
      <c r="B30" t="str">
        <f ca="1"/>
        <v>Murry Dryburgh</v>
      </c>
      <c r="C30" t="str">
        <f ca="1"/>
        <v>Average</v>
      </c>
      <c r="D30">
        <f ca="1"/>
        <v>44701</v>
      </c>
    </row>
    <row r="31" spans="2:4" x14ac:dyDescent="0.2">
      <c r="B31" t="str">
        <f ca="1"/>
        <v>Rameshwari Chikodi</v>
      </c>
      <c r="C31" t="str">
        <f ca="1"/>
        <v>Average</v>
      </c>
      <c r="D31">
        <f ca="1"/>
        <v>44214</v>
      </c>
    </row>
    <row r="32" spans="2:4" x14ac:dyDescent="0.2">
      <c r="B32" t="str">
        <f ca="1"/>
        <v>Andria Kimpton</v>
      </c>
      <c r="C32" t="str">
        <f ca="1"/>
        <v>Average</v>
      </c>
      <c r="D32">
        <f ca="1"/>
        <v>44273</v>
      </c>
    </row>
    <row r="33" spans="2:4" x14ac:dyDescent="0.2">
      <c r="B33" t="str">
        <f ca="1"/>
        <v>Shekhar Eswara</v>
      </c>
      <c r="C33" t="str">
        <f ca="1"/>
        <v>Average</v>
      </c>
      <c r="D33">
        <f ca="1"/>
        <v>44789</v>
      </c>
    </row>
    <row r="34" spans="2:4" x14ac:dyDescent="0.2">
      <c r="B34" t="str">
        <f ca="1"/>
        <v>Myer McCory</v>
      </c>
      <c r="C34" t="str">
        <f ca="1"/>
        <v>Average</v>
      </c>
      <c r="D34">
        <f ca="1"/>
        <v>44850</v>
      </c>
    </row>
    <row r="35" spans="2:4" x14ac:dyDescent="0.2">
      <c r="B35" t="str">
        <f ca="1"/>
        <v>Hemavati Muthiah</v>
      </c>
      <c r="C35" t="str">
        <f ca="1"/>
        <v>Average</v>
      </c>
      <c r="D35">
        <f ca="1"/>
        <v>44253</v>
      </c>
    </row>
    <row r="36" spans="2:4" x14ac:dyDescent="0.2">
      <c r="B36" t="str">
        <f ca="1"/>
        <v>Elia Cockton</v>
      </c>
      <c r="C36" t="str">
        <f ca="1"/>
        <v>Average</v>
      </c>
      <c r="D36">
        <f ca="1"/>
        <v>44312</v>
      </c>
    </row>
    <row r="37" spans="2:4" x14ac:dyDescent="0.2">
      <c r="B37" t="str">
        <f ca="1"/>
        <v>Kunja Prashanta Vibha</v>
      </c>
      <c r="C37" t="str">
        <f ca="1"/>
        <v>Average</v>
      </c>
      <c r="D37">
        <f ca="1"/>
        <v>44625</v>
      </c>
    </row>
    <row r="38" spans="2:4" x14ac:dyDescent="0.2">
      <c r="B38" t="str">
        <f ca="1"/>
        <v>Agnes Collicott</v>
      </c>
      <c r="C38" t="str">
        <f ca="1"/>
        <v>Average</v>
      </c>
      <c r="D38">
        <f ca="1"/>
        <v>44686</v>
      </c>
    </row>
    <row r="39" spans="2:4" x14ac:dyDescent="0.2">
      <c r="B39" t="str">
        <f ca="1"/>
        <v>Godavari Veena</v>
      </c>
      <c r="C39" t="str">
        <f ca="1"/>
        <v>Average</v>
      </c>
      <c r="D39">
        <f ca="1"/>
        <v>44276</v>
      </c>
    </row>
    <row r="40" spans="2:4" x14ac:dyDescent="0.2">
      <c r="B40" t="str">
        <f ca="1"/>
        <v>Merrilee Plenty</v>
      </c>
      <c r="C40" t="str">
        <f ca="1"/>
        <v>Average</v>
      </c>
      <c r="D40">
        <f ca="1"/>
        <v>44337</v>
      </c>
    </row>
    <row r="41" spans="2:4" x14ac:dyDescent="0.2">
      <c r="B41" t="str">
        <f ca="1"/>
        <v>Rukma Vinita</v>
      </c>
      <c r="C41" t="str">
        <f ca="1"/>
        <v>Average</v>
      </c>
      <c r="D41">
        <f ca="1"/>
        <v>44713</v>
      </c>
    </row>
    <row r="42" spans="2:4" x14ac:dyDescent="0.2">
      <c r="B42" t="str">
        <f ca="1"/>
        <v>Madge McCloughen</v>
      </c>
      <c r="C42" t="str">
        <f ca="1"/>
        <v>Average</v>
      </c>
      <c r="D42">
        <f ca="1"/>
        <v>44774</v>
      </c>
    </row>
    <row r="43" spans="2:4" x14ac:dyDescent="0.2">
      <c r="B43" t="str">
        <f ca="1"/>
        <v>Sukhdev Nageshwar</v>
      </c>
      <c r="C43" t="str">
        <f ca="1"/>
        <v>Average</v>
      </c>
      <c r="D43">
        <f ca="1"/>
        <v>44129</v>
      </c>
    </row>
    <row r="44" spans="2:4" x14ac:dyDescent="0.2">
      <c r="B44" t="str">
        <f ca="1"/>
        <v>Torrance Collier</v>
      </c>
      <c r="C44" t="str">
        <f ca="1"/>
        <v>Average</v>
      </c>
      <c r="D44">
        <f ca="1"/>
        <v>44190</v>
      </c>
    </row>
    <row r="45" spans="2:4" x14ac:dyDescent="0.2">
      <c r="B45" t="str">
        <f ca="1"/>
        <v>Amlankusum Rajabhushan</v>
      </c>
      <c r="C45" t="str">
        <f ca="1"/>
        <v>Average</v>
      </c>
      <c r="D45">
        <f ca="1"/>
        <v>44625</v>
      </c>
    </row>
    <row r="46" spans="2:4" x14ac:dyDescent="0.2">
      <c r="B46" t="str">
        <f ca="1"/>
        <v>Collin Jagson</v>
      </c>
      <c r="C46" t="str">
        <f ca="1"/>
        <v>Average</v>
      </c>
      <c r="D46">
        <f ca="1"/>
        <v>44686</v>
      </c>
    </row>
    <row r="47" spans="2:4" x14ac:dyDescent="0.2">
      <c r="B47" t="str">
        <f ca="1"/>
        <v>Manjusri Ruchi</v>
      </c>
      <c r="C47" t="str">
        <f ca="1"/>
        <v>Average</v>
      </c>
      <c r="D47">
        <f ca="1"/>
        <v>44320</v>
      </c>
    </row>
    <row r="48" spans="2:4" x14ac:dyDescent="0.2">
      <c r="B48" t="str">
        <f ca="1"/>
        <v>Caro Chappel</v>
      </c>
      <c r="C48" t="str">
        <f ca="1"/>
        <v>Average</v>
      </c>
      <c r="D48">
        <f ca="1"/>
        <v>44381</v>
      </c>
    </row>
    <row r="49" spans="2:4" x14ac:dyDescent="0.2">
      <c r="B49" t="str">
        <f ca="1"/>
        <v>Hridaynath Tendulkar</v>
      </c>
      <c r="C49" t="str">
        <f ca="1"/>
        <v>Average</v>
      </c>
      <c r="D49">
        <f ca="1"/>
        <v>44397</v>
      </c>
    </row>
    <row r="50" spans="2:4" x14ac:dyDescent="0.2">
      <c r="B50" t="str">
        <f ca="1"/>
        <v>Kaine Padly</v>
      </c>
      <c r="C50" t="str">
        <f ca="1"/>
        <v>Average</v>
      </c>
      <c r="D50">
        <f ca="1"/>
        <v>44459</v>
      </c>
    </row>
    <row r="51" spans="2:4" x14ac:dyDescent="0.2">
      <c r="B51" t="str">
        <f ca="1"/>
        <v>Deepali Charan</v>
      </c>
      <c r="C51" t="str">
        <f ca="1"/>
        <v>Average</v>
      </c>
      <c r="D51">
        <f ca="1"/>
        <v>44122</v>
      </c>
    </row>
    <row r="52" spans="2:4" x14ac:dyDescent="0.2">
      <c r="B52" t="str">
        <f ca="1"/>
        <v>Mollie Hanway</v>
      </c>
      <c r="C52" t="str">
        <f ca="1"/>
        <v>Average</v>
      </c>
      <c r="D52">
        <f ca="1"/>
        <v>44183</v>
      </c>
    </row>
    <row r="53" spans="2:4" x14ac:dyDescent="0.2">
      <c r="B53" t="str">
        <f ca="1"/>
        <v>Ramnath Ravuri</v>
      </c>
      <c r="C53" t="str">
        <f ca="1"/>
        <v>Average</v>
      </c>
      <c r="D53">
        <f ca="1"/>
        <v>44985</v>
      </c>
    </row>
    <row r="54" spans="2:4" x14ac:dyDescent="0.2">
      <c r="B54" t="str">
        <f ca="1"/>
        <v>Wilone O'Kielt</v>
      </c>
      <c r="C54" t="str">
        <f ca="1"/>
        <v>Average</v>
      </c>
      <c r="D54">
        <f ca="1"/>
        <v>45045</v>
      </c>
    </row>
    <row r="55" spans="2:4" x14ac:dyDescent="0.2">
      <c r="B55" t="str">
        <f ca="1"/>
        <v>Heer Pennathur</v>
      </c>
      <c r="C55" t="str">
        <f ca="1"/>
        <v>Average</v>
      </c>
      <c r="D55">
        <f ca="1"/>
        <v>43958</v>
      </c>
    </row>
    <row r="56" spans="2:4" x14ac:dyDescent="0.2">
      <c r="B56" t="str">
        <f ca="1"/>
        <v>Tawnya Tickel</v>
      </c>
      <c r="C56" t="str">
        <f ca="1"/>
        <v>Average</v>
      </c>
      <c r="D56">
        <f ca="1"/>
        <v>44019</v>
      </c>
    </row>
    <row r="57" spans="2:4" x14ac:dyDescent="0.2">
      <c r="B57" t="str">
        <f ca="1"/>
        <v>Yagna Sujeev</v>
      </c>
      <c r="C57" t="str">
        <f ca="1"/>
        <v>Above average</v>
      </c>
      <c r="D57">
        <f ca="1"/>
        <v>44293</v>
      </c>
    </row>
    <row r="58" spans="2:4" x14ac:dyDescent="0.2">
      <c r="B58" t="str">
        <f ca="1"/>
        <v>Kassi Jonson</v>
      </c>
      <c r="C58" t="str">
        <f ca="1"/>
        <v>Above average</v>
      </c>
      <c r="D58">
        <f ca="1"/>
        <v>44354</v>
      </c>
    </row>
    <row r="59" spans="2:4" x14ac:dyDescent="0.2">
      <c r="B59" t="str">
        <f ca="1"/>
        <v>Bhuvan Pals</v>
      </c>
      <c r="C59" t="str">
        <f ca="1"/>
        <v>Above average</v>
      </c>
      <c r="D59">
        <f ca="1"/>
        <v>44633</v>
      </c>
    </row>
    <row r="60" spans="2:4" x14ac:dyDescent="0.2">
      <c r="B60" t="str">
        <f ca="1"/>
        <v>Van Tuxwell</v>
      </c>
      <c r="C60" t="str">
        <f ca="1"/>
        <v>Above average</v>
      </c>
      <c r="D60">
        <f ca="1"/>
        <v>44694</v>
      </c>
    </row>
    <row r="61" spans="2:4" x14ac:dyDescent="0.2">
      <c r="B61" t="str">
        <f ca="1"/>
        <v>Karuna Pashupathy</v>
      </c>
      <c r="C61" t="str">
        <f ca="1"/>
        <v>Above average</v>
      </c>
      <c r="D61">
        <f ca="1"/>
        <v>44212</v>
      </c>
    </row>
    <row r="62" spans="2:4" x14ac:dyDescent="0.2">
      <c r="B62" t="str">
        <f ca="1"/>
        <v>Dennison Crosswaite</v>
      </c>
      <c r="C62" t="str">
        <f ca="1"/>
        <v>Above average</v>
      </c>
      <c r="D62">
        <f ca="1"/>
        <v>44271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9FAB-DC32-504D-B4CA-F9F3C22CD72A}">
  <dimension ref="B6:D11"/>
  <sheetViews>
    <sheetView zoomScale="130" zoomScaleNormal="130" workbookViewId="0">
      <selection activeCell="B9" sqref="B9"/>
    </sheetView>
  </sheetViews>
  <sheetFormatPr baseColWidth="10" defaultRowHeight="15" x14ac:dyDescent="0.2"/>
  <cols>
    <col min="2" max="2" width="14.33203125" bestFit="1" customWidth="1"/>
    <col min="3" max="3" width="14.83203125" bestFit="1" customWidth="1"/>
    <col min="4" max="4" width="9.1640625" bestFit="1" customWidth="1"/>
    <col min="5" max="5" width="11" bestFit="1" customWidth="1"/>
    <col min="6" max="7" width="9.1640625" bestFit="1" customWidth="1"/>
    <col min="8" max="8" width="9.33203125" bestFit="1" customWidth="1"/>
    <col min="9" max="9" width="13.83203125" bestFit="1" customWidth="1"/>
  </cols>
  <sheetData>
    <row r="6" spans="2:4" x14ac:dyDescent="0.2">
      <c r="C6" s="15" t="s">
        <v>221</v>
      </c>
    </row>
    <row r="7" spans="2:4" x14ac:dyDescent="0.2">
      <c r="B7" s="15" t="s">
        <v>227</v>
      </c>
      <c r="C7" t="s">
        <v>8</v>
      </c>
      <c r="D7" t="s">
        <v>15</v>
      </c>
    </row>
    <row r="8" spans="2:4" x14ac:dyDescent="0.2">
      <c r="B8" s="16" t="s">
        <v>223</v>
      </c>
      <c r="C8">
        <v>43</v>
      </c>
      <c r="D8">
        <v>44</v>
      </c>
    </row>
    <row r="9" spans="2:4" x14ac:dyDescent="0.2">
      <c r="B9" s="16" t="s">
        <v>226</v>
      </c>
      <c r="C9" s="17">
        <v>31.395348837209301</v>
      </c>
      <c r="D9" s="17">
        <v>29.34090909090909</v>
      </c>
    </row>
    <row r="10" spans="2:4" x14ac:dyDescent="0.2">
      <c r="B10" s="16" t="s">
        <v>225</v>
      </c>
      <c r="C10" s="18">
        <v>78284.186046511633</v>
      </c>
      <c r="D10" s="18">
        <v>74486.363636363632</v>
      </c>
    </row>
    <row r="11" spans="2:4" x14ac:dyDescent="0.2">
      <c r="B11" s="16" t="s">
        <v>228</v>
      </c>
      <c r="C11" s="17">
        <v>1.9656578528193689</v>
      </c>
      <c r="D11" s="17">
        <v>1.9627023661270242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6CF9E-6B1F-DD4C-95B5-FAC448767E36}">
  <dimension ref="A1"/>
  <sheetViews>
    <sheetView zoomScale="130" zoomScaleNormal="130" workbookViewId="0">
      <selection activeCell="N21" sqref="N21"/>
    </sheetView>
  </sheetViews>
  <sheetFormatPr baseColWidth="10" defaultRowHeight="1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62B8E-3718-1648-941E-89B98D2C858E}">
  <dimension ref="C5:I11"/>
  <sheetViews>
    <sheetView zoomScale="130" zoomScaleNormal="130" workbookViewId="0">
      <selection activeCell="M18" sqref="M18"/>
    </sheetView>
  </sheetViews>
  <sheetFormatPr baseColWidth="10" defaultRowHeight="15" x14ac:dyDescent="0.2"/>
  <cols>
    <col min="3" max="3" width="12.1640625" bestFit="1" customWidth="1"/>
    <col min="4" max="4" width="12.5" bestFit="1" customWidth="1"/>
    <col min="5" max="5" width="14.1640625" bestFit="1" customWidth="1"/>
    <col min="6" max="6" width="10.1640625" bestFit="1" customWidth="1"/>
    <col min="7" max="7" width="4.83203125" bestFit="1" customWidth="1"/>
    <col min="8" max="8" width="11.83203125" bestFit="1" customWidth="1"/>
    <col min="9" max="9" width="10" bestFit="1" customWidth="1"/>
    <col min="10" max="71" width="6.1640625" bestFit="1" customWidth="1"/>
    <col min="72" max="93" width="7.1640625" bestFit="1" customWidth="1"/>
    <col min="94" max="94" width="10" bestFit="1" customWidth="1"/>
    <col min="95" max="96" width="10.5" bestFit="1" customWidth="1"/>
    <col min="97" max="97" width="13" bestFit="1" customWidth="1"/>
    <col min="98" max="98" width="10" bestFit="1" customWidth="1"/>
  </cols>
  <sheetData>
    <row r="5" spans="3:9" x14ac:dyDescent="0.2">
      <c r="C5" s="15" t="s">
        <v>224</v>
      </c>
      <c r="D5" t="s">
        <v>223</v>
      </c>
      <c r="E5" t="s">
        <v>225</v>
      </c>
    </row>
    <row r="6" spans="3:9" x14ac:dyDescent="0.2">
      <c r="C6" s="16" t="s">
        <v>10</v>
      </c>
      <c r="D6">
        <v>4</v>
      </c>
      <c r="E6" s="19">
        <v>92080</v>
      </c>
      <c r="H6" s="16" t="s">
        <v>10</v>
      </c>
      <c r="I6">
        <v>5</v>
      </c>
    </row>
    <row r="7" spans="3:9" x14ac:dyDescent="0.2">
      <c r="C7" s="16" t="s">
        <v>13</v>
      </c>
      <c r="D7">
        <v>20</v>
      </c>
      <c r="E7" s="19">
        <v>75933</v>
      </c>
      <c r="H7" s="16" t="s">
        <v>13</v>
      </c>
      <c r="I7">
        <v>4</v>
      </c>
    </row>
    <row r="8" spans="3:9" x14ac:dyDescent="0.2">
      <c r="C8" s="16" t="s">
        <v>16</v>
      </c>
      <c r="D8">
        <v>137</v>
      </c>
      <c r="E8" s="19">
        <v>76798.759124087592</v>
      </c>
      <c r="H8" s="16" t="s">
        <v>16</v>
      </c>
      <c r="I8">
        <v>3</v>
      </c>
    </row>
    <row r="9" spans="3:9" x14ac:dyDescent="0.2">
      <c r="C9" s="16" t="s">
        <v>24</v>
      </c>
      <c r="D9">
        <v>16</v>
      </c>
      <c r="E9" s="19">
        <v>78115</v>
      </c>
      <c r="H9" s="16" t="s">
        <v>24</v>
      </c>
      <c r="I9">
        <v>2</v>
      </c>
    </row>
    <row r="10" spans="3:9" x14ac:dyDescent="0.2">
      <c r="C10" s="16" t="s">
        <v>42</v>
      </c>
      <c r="D10">
        <v>6</v>
      </c>
      <c r="E10" s="19">
        <v>77423.333333333328</v>
      </c>
      <c r="H10" s="16" t="s">
        <v>42</v>
      </c>
      <c r="I10">
        <v>1</v>
      </c>
    </row>
    <row r="11" spans="3:9" x14ac:dyDescent="0.2">
      <c r="C11" s="16" t="s">
        <v>222</v>
      </c>
      <c r="D11">
        <v>183</v>
      </c>
      <c r="E11" s="19">
        <v>77173.715846994543</v>
      </c>
    </row>
  </sheetData>
  <conditionalFormatting pivot="1" sqref="E6:E10">
    <cfRule type="dataBar" priority="1">
      <dataBar>
        <cfvo type="min"/>
        <cfvo type="max"/>
        <color rgb="FF638EC6"/>
      </dataBar>
      <extLst>
        <ext xmlns:x14="http://schemas.microsoft.com/office/spreadsheetml/2009/9/main" uri="{B025F937-C7B1-47D3-B67F-A62EFF666E3E}">
          <x14:id>{1541C558-AA54-C043-8303-4620B1C42A85}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541C558-AA54-C043-8303-4620B1C42A85}">
            <x14:dataBar minLength="0" maxLength="100" gradient="0">
              <x14:cfvo type="autoMin"/>
              <x14:cfvo type="autoMax"/>
              <x14:negativeFillColor rgb="FFFF0000"/>
              <x14:axisColor rgb="FF000000"/>
            </x14:dataBar>
          </x14:cfRule>
          <xm:sqref>E6:E10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4019F-4804-8D43-B999-4FB33A38AECF}">
  <dimension ref="A1:I17"/>
  <sheetViews>
    <sheetView zoomScale="140" zoomScaleNormal="140" workbookViewId="0">
      <selection activeCell="F14" sqref="F14"/>
    </sheetView>
  </sheetViews>
  <sheetFormatPr baseColWidth="10" defaultRowHeight="15" x14ac:dyDescent="0.2"/>
  <cols>
    <col min="1" max="1" width="24" customWidth="1"/>
    <col min="2" max="2" width="12.1640625" bestFit="1" customWidth="1"/>
    <col min="3" max="3" width="12.5" bestFit="1" customWidth="1"/>
    <col min="5" max="5" width="12.6640625" customWidth="1"/>
    <col min="6" max="6" width="12.1640625" bestFit="1" customWidth="1"/>
    <col min="7" max="7" width="12.5" bestFit="1" customWidth="1"/>
  </cols>
  <sheetData>
    <row r="1" spans="1:9" x14ac:dyDescent="0.2">
      <c r="A1" t="s">
        <v>0</v>
      </c>
      <c r="B1" t="s">
        <v>1</v>
      </c>
      <c r="C1" t="s">
        <v>3</v>
      </c>
      <c r="D1" t="s">
        <v>6</v>
      </c>
      <c r="E1" t="s">
        <v>4</v>
      </c>
      <c r="F1" t="s">
        <v>2</v>
      </c>
      <c r="G1" t="s">
        <v>5</v>
      </c>
      <c r="H1" t="s">
        <v>204</v>
      </c>
      <c r="I1" t="s">
        <v>214</v>
      </c>
    </row>
    <row r="2" spans="1:9" x14ac:dyDescent="0.2">
      <c r="A2" t="s">
        <v>137</v>
      </c>
      <c r="B2" t="s">
        <v>8</v>
      </c>
      <c r="C2">
        <v>29</v>
      </c>
      <c r="D2" t="s">
        <v>16</v>
      </c>
      <c r="E2" s="6">
        <v>43962</v>
      </c>
      <c r="F2" t="s">
        <v>12</v>
      </c>
      <c r="G2">
        <v>34980</v>
      </c>
      <c r="H2" t="s">
        <v>205</v>
      </c>
      <c r="I2">
        <v>3.3369863013698629</v>
      </c>
    </row>
    <row r="3" spans="1:9" x14ac:dyDescent="0.2">
      <c r="A3" t="s">
        <v>199</v>
      </c>
      <c r="B3" t="s">
        <v>15</v>
      </c>
      <c r="C3">
        <v>36</v>
      </c>
      <c r="D3" t="s">
        <v>16</v>
      </c>
      <c r="E3" s="6">
        <v>43958</v>
      </c>
      <c r="F3" t="s">
        <v>12</v>
      </c>
      <c r="G3">
        <v>118840</v>
      </c>
      <c r="H3" t="s">
        <v>205</v>
      </c>
      <c r="I3">
        <v>3.3479452054794518</v>
      </c>
    </row>
    <row r="4" spans="1:9" x14ac:dyDescent="0.2">
      <c r="A4" t="s">
        <v>123</v>
      </c>
      <c r="B4" t="s">
        <v>15</v>
      </c>
      <c r="C4">
        <v>28</v>
      </c>
      <c r="D4" t="s">
        <v>13</v>
      </c>
      <c r="E4" s="6">
        <v>43980</v>
      </c>
      <c r="F4" t="s">
        <v>21</v>
      </c>
      <c r="G4">
        <v>48170</v>
      </c>
      <c r="H4" t="s">
        <v>205</v>
      </c>
      <c r="I4">
        <v>3.2876712328767121</v>
      </c>
    </row>
    <row r="9" spans="1:9" x14ac:dyDescent="0.2">
      <c r="B9" s="15" t="s">
        <v>204</v>
      </c>
      <c r="C9" t="s">
        <v>205</v>
      </c>
      <c r="F9" s="15" t="s">
        <v>204</v>
      </c>
      <c r="G9" t="s">
        <v>207</v>
      </c>
    </row>
    <row r="11" spans="1:9" x14ac:dyDescent="0.2">
      <c r="B11" s="15" t="s">
        <v>224</v>
      </c>
      <c r="C11" t="s">
        <v>223</v>
      </c>
      <c r="F11" s="15" t="s">
        <v>224</v>
      </c>
      <c r="G11" t="s">
        <v>223</v>
      </c>
    </row>
    <row r="12" spans="1:9" x14ac:dyDescent="0.2">
      <c r="B12" s="16" t="s">
        <v>9</v>
      </c>
      <c r="C12">
        <v>28</v>
      </c>
      <c r="F12" s="16" t="s">
        <v>12</v>
      </c>
      <c r="G12">
        <v>27</v>
      </c>
    </row>
    <row r="13" spans="1:9" x14ac:dyDescent="0.2">
      <c r="B13" s="16" t="s">
        <v>12</v>
      </c>
      <c r="C13">
        <v>27</v>
      </c>
      <c r="F13" s="16" t="s">
        <v>9</v>
      </c>
      <c r="G13">
        <v>27</v>
      </c>
    </row>
    <row r="14" spans="1:9" x14ac:dyDescent="0.2">
      <c r="B14" s="16" t="s">
        <v>21</v>
      </c>
      <c r="C14">
        <v>19</v>
      </c>
      <c r="F14" s="16" t="s">
        <v>21</v>
      </c>
      <c r="G14">
        <v>19</v>
      </c>
    </row>
    <row r="15" spans="1:9" x14ac:dyDescent="0.2">
      <c r="B15" s="16" t="s">
        <v>19</v>
      </c>
      <c r="C15">
        <v>14</v>
      </c>
      <c r="F15" s="16" t="s">
        <v>19</v>
      </c>
      <c r="G15">
        <v>14</v>
      </c>
    </row>
    <row r="16" spans="1:9" x14ac:dyDescent="0.2">
      <c r="B16" s="16" t="s">
        <v>56</v>
      </c>
      <c r="C16">
        <v>4</v>
      </c>
      <c r="F16" s="16" t="s">
        <v>56</v>
      </c>
      <c r="G16">
        <v>4</v>
      </c>
    </row>
    <row r="17" spans="2:7" x14ac:dyDescent="0.2">
      <c r="B17" s="16" t="s">
        <v>222</v>
      </c>
      <c r="C17">
        <v>92</v>
      </c>
      <c r="F17" s="16" t="s">
        <v>222</v>
      </c>
      <c r="G17">
        <v>91</v>
      </c>
    </row>
  </sheetData>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AFACE-D072-604C-9293-DE9B5B704C51}">
  <dimension ref="B5:S42"/>
  <sheetViews>
    <sheetView topLeftCell="Q1" zoomScale="130" zoomScaleNormal="130" workbookViewId="0">
      <selection activeCell="S6" activeCellId="1" sqref="Q6:Q42 S6:S42"/>
    </sheetView>
  </sheetViews>
  <sheetFormatPr baseColWidth="10" defaultRowHeight="15" x14ac:dyDescent="0.2"/>
  <cols>
    <col min="2" max="2" width="12.1640625" bestFit="1" customWidth="1"/>
    <col min="3" max="3" width="12.5" bestFit="1" customWidth="1"/>
    <col min="5" max="5" width="12.1640625" bestFit="1" customWidth="1"/>
    <col min="6" max="6" width="12.5" bestFit="1" customWidth="1"/>
    <col min="17" max="17" width="10.33203125" customWidth="1"/>
    <col min="18" max="18" width="12.1640625" customWidth="1"/>
    <col min="19" max="19" width="13.5" customWidth="1"/>
  </cols>
  <sheetData>
    <row r="5" spans="2:19" x14ac:dyDescent="0.2">
      <c r="B5" s="15" t="s">
        <v>224</v>
      </c>
      <c r="C5" t="s">
        <v>223</v>
      </c>
    </row>
    <row r="6" spans="2:19" x14ac:dyDescent="0.2">
      <c r="B6" s="16" t="s">
        <v>233</v>
      </c>
      <c r="D6" t="s">
        <v>231</v>
      </c>
      <c r="Q6" t="s">
        <v>249</v>
      </c>
      <c r="R6" t="s">
        <v>250</v>
      </c>
      <c r="S6" t="s">
        <v>251</v>
      </c>
    </row>
    <row r="7" spans="2:19" x14ac:dyDescent="0.2">
      <c r="B7" s="20" t="s">
        <v>234</v>
      </c>
      <c r="C7">
        <v>3</v>
      </c>
      <c r="P7" cm="1">
        <f t="array" ref="P7:P42">_xlfn.SEQUENCE(36)</f>
        <v>1</v>
      </c>
      <c r="Q7" s="21" cm="1">
        <f t="array" ref="Q7:Q42">EDATE(DATE(2020,4,1),_xlfn.ANCHORARRAY(P7)+0)</f>
        <v>43952</v>
      </c>
      <c r="R7">
        <f>COUNTIFS(Staff[Date Joined],"&gt;="&amp;Q7, Staff[Date Joined],"&lt;="&amp;EOMONTH(Q7,0))</f>
        <v>3</v>
      </c>
      <c r="S7">
        <f>SUM(R$7:R7)</f>
        <v>3</v>
      </c>
    </row>
    <row r="8" spans="2:19" x14ac:dyDescent="0.2">
      <c r="B8" s="20" t="s">
        <v>235</v>
      </c>
      <c r="C8">
        <v>4</v>
      </c>
      <c r="P8">
        <v>2</v>
      </c>
      <c r="Q8" s="21">
        <v>43983</v>
      </c>
      <c r="R8">
        <f>COUNTIFS(Staff[Date Joined],"&gt;="&amp;Q8, Staff[Date Joined],"&lt;="&amp;EOMONTH(Q8,0))</f>
        <v>1</v>
      </c>
      <c r="S8">
        <f>SUM(R$7:R8)</f>
        <v>4</v>
      </c>
    </row>
    <row r="9" spans="2:19" x14ac:dyDescent="0.2">
      <c r="B9" s="20" t="s">
        <v>236</v>
      </c>
      <c r="C9">
        <v>9</v>
      </c>
      <c r="P9">
        <v>3</v>
      </c>
      <c r="Q9" s="21">
        <v>44013</v>
      </c>
      <c r="R9">
        <f>COUNTIFS(Staff[Date Joined],"&gt;="&amp;Q9, Staff[Date Joined],"&lt;="&amp;EOMONTH(Q9,0))</f>
        <v>5</v>
      </c>
      <c r="S9">
        <f>SUM(R$7:R9)</f>
        <v>9</v>
      </c>
    </row>
    <row r="10" spans="2:19" x14ac:dyDescent="0.2">
      <c r="B10" s="20" t="s">
        <v>237</v>
      </c>
      <c r="C10">
        <v>12</v>
      </c>
      <c r="P10">
        <v>4</v>
      </c>
      <c r="Q10" s="21">
        <v>44044</v>
      </c>
      <c r="R10">
        <f>COUNTIFS(Staff[Date Joined],"&gt;="&amp;Q10, Staff[Date Joined],"&lt;="&amp;EOMONTH(Q10,0))</f>
        <v>3</v>
      </c>
      <c r="S10">
        <f>SUM(R$7:R10)</f>
        <v>12</v>
      </c>
    </row>
    <row r="11" spans="2:19" x14ac:dyDescent="0.2">
      <c r="B11" s="20" t="s">
        <v>238</v>
      </c>
      <c r="C11">
        <v>18</v>
      </c>
      <c r="P11">
        <v>5</v>
      </c>
      <c r="Q11" s="21">
        <v>44075</v>
      </c>
      <c r="R11">
        <f>COUNTIFS(Staff[Date Joined],"&gt;="&amp;Q11, Staff[Date Joined],"&lt;="&amp;EOMONTH(Q11,0))</f>
        <v>6</v>
      </c>
      <c r="S11">
        <f>SUM(R$7:R11)</f>
        <v>18</v>
      </c>
    </row>
    <row r="12" spans="2:19" x14ac:dyDescent="0.2">
      <c r="B12" s="20" t="s">
        <v>239</v>
      </c>
      <c r="C12">
        <v>24</v>
      </c>
      <c r="P12">
        <v>6</v>
      </c>
      <c r="Q12" s="21">
        <v>44105</v>
      </c>
      <c r="R12">
        <f>COUNTIFS(Staff[Date Joined],"&gt;="&amp;Q12, Staff[Date Joined],"&lt;="&amp;EOMONTH(Q12,0))</f>
        <v>6</v>
      </c>
      <c r="S12">
        <f>SUM(R$7:R12)</f>
        <v>24</v>
      </c>
    </row>
    <row r="13" spans="2:19" x14ac:dyDescent="0.2">
      <c r="B13" s="20" t="s">
        <v>240</v>
      </c>
      <c r="C13">
        <v>30</v>
      </c>
      <c r="P13">
        <v>7</v>
      </c>
      <c r="Q13" s="21">
        <v>44136</v>
      </c>
      <c r="R13">
        <f>COUNTIFS(Staff[Date Joined],"&gt;="&amp;Q13, Staff[Date Joined],"&lt;="&amp;EOMONTH(Q13,0))</f>
        <v>6</v>
      </c>
      <c r="S13">
        <f>SUM(R$7:R13)</f>
        <v>30</v>
      </c>
    </row>
    <row r="14" spans="2:19" x14ac:dyDescent="0.2">
      <c r="B14" s="20" t="s">
        <v>241</v>
      </c>
      <c r="C14">
        <v>37</v>
      </c>
      <c r="P14">
        <v>8</v>
      </c>
      <c r="Q14" s="21">
        <v>44166</v>
      </c>
      <c r="R14">
        <f>COUNTIFS(Staff[Date Joined],"&gt;="&amp;Q14, Staff[Date Joined],"&lt;="&amp;EOMONTH(Q14,0))</f>
        <v>7</v>
      </c>
      <c r="S14">
        <f>SUM(R$7:R14)</f>
        <v>37</v>
      </c>
    </row>
    <row r="15" spans="2:19" x14ac:dyDescent="0.2">
      <c r="B15" s="16" t="s">
        <v>242</v>
      </c>
      <c r="P15">
        <v>9</v>
      </c>
      <c r="Q15" s="21">
        <v>44197</v>
      </c>
      <c r="R15">
        <f>COUNTIFS(Staff[Date Joined],"&gt;="&amp;Q15, Staff[Date Joined],"&lt;="&amp;EOMONTH(Q15,0))</f>
        <v>6</v>
      </c>
      <c r="S15">
        <f>SUM(R$7:R15)</f>
        <v>43</v>
      </c>
    </row>
    <row r="16" spans="2:19" x14ac:dyDescent="0.2">
      <c r="B16" s="20" t="s">
        <v>243</v>
      </c>
      <c r="C16">
        <v>6</v>
      </c>
      <c r="P16">
        <v>10</v>
      </c>
      <c r="Q16" s="21">
        <v>44228</v>
      </c>
      <c r="R16">
        <f>COUNTIFS(Staff[Date Joined],"&gt;="&amp;Q16, Staff[Date Joined],"&lt;="&amp;EOMONTH(Q16,0))</f>
        <v>4</v>
      </c>
      <c r="S16">
        <f>SUM(R$7:R16)</f>
        <v>47</v>
      </c>
    </row>
    <row r="17" spans="2:19" x14ac:dyDescent="0.2">
      <c r="B17" s="20" t="s">
        <v>244</v>
      </c>
      <c r="C17">
        <v>10</v>
      </c>
      <c r="P17">
        <v>11</v>
      </c>
      <c r="Q17" s="21">
        <v>44256</v>
      </c>
      <c r="R17">
        <f>COUNTIFS(Staff[Date Joined],"&gt;="&amp;Q17, Staff[Date Joined],"&lt;="&amp;EOMONTH(Q17,0))</f>
        <v>9</v>
      </c>
      <c r="S17">
        <f>SUM(R$7:R17)</f>
        <v>56</v>
      </c>
    </row>
    <row r="18" spans="2:19" x14ac:dyDescent="0.2">
      <c r="B18" s="20" t="s">
        <v>245</v>
      </c>
      <c r="C18">
        <v>19</v>
      </c>
      <c r="P18">
        <v>12</v>
      </c>
      <c r="Q18" s="21">
        <v>44287</v>
      </c>
      <c r="R18">
        <f>COUNTIFS(Staff[Date Joined],"&gt;="&amp;Q18, Staff[Date Joined],"&lt;="&amp;EOMONTH(Q18,0))</f>
        <v>5</v>
      </c>
      <c r="S18">
        <f>SUM(R$7:R18)</f>
        <v>61</v>
      </c>
    </row>
    <row r="19" spans="2:19" x14ac:dyDescent="0.2">
      <c r="B19" s="20" t="s">
        <v>246</v>
      </c>
      <c r="C19">
        <v>24</v>
      </c>
      <c r="P19">
        <v>13</v>
      </c>
      <c r="Q19" s="21">
        <v>44317</v>
      </c>
      <c r="R19">
        <f>COUNTIFS(Staff[Date Joined],"&gt;="&amp;Q19, Staff[Date Joined],"&lt;="&amp;EOMONTH(Q19,0))</f>
        <v>10</v>
      </c>
      <c r="S19">
        <f>SUM(R$7:R19)</f>
        <v>71</v>
      </c>
    </row>
    <row r="20" spans="2:19" x14ac:dyDescent="0.2">
      <c r="B20" s="20" t="s">
        <v>234</v>
      </c>
      <c r="C20">
        <v>34</v>
      </c>
      <c r="P20">
        <v>14</v>
      </c>
      <c r="Q20" s="21">
        <v>44348</v>
      </c>
      <c r="R20">
        <f>COUNTIFS(Staff[Date Joined],"&gt;="&amp;Q20, Staff[Date Joined],"&lt;="&amp;EOMONTH(Q20,0))</f>
        <v>6</v>
      </c>
      <c r="S20">
        <f>SUM(R$7:R20)</f>
        <v>77</v>
      </c>
    </row>
    <row r="21" spans="2:19" x14ac:dyDescent="0.2">
      <c r="B21" s="20" t="s">
        <v>235</v>
      </c>
      <c r="C21">
        <v>40</v>
      </c>
      <c r="P21">
        <v>15</v>
      </c>
      <c r="Q21" s="21">
        <v>44378</v>
      </c>
      <c r="R21">
        <f>COUNTIFS(Staff[Date Joined],"&gt;="&amp;Q21, Staff[Date Joined],"&lt;="&amp;EOMONTH(Q21,0))</f>
        <v>13</v>
      </c>
      <c r="S21">
        <f>SUM(R$7:R21)</f>
        <v>90</v>
      </c>
    </row>
    <row r="22" spans="2:19" x14ac:dyDescent="0.2">
      <c r="B22" s="20" t="s">
        <v>236</v>
      </c>
      <c r="C22">
        <v>53</v>
      </c>
      <c r="P22">
        <v>16</v>
      </c>
      <c r="Q22" s="21">
        <v>44409</v>
      </c>
      <c r="R22">
        <f>COUNTIFS(Staff[Date Joined],"&gt;="&amp;Q22, Staff[Date Joined],"&lt;="&amp;EOMONTH(Q22,0))</f>
        <v>4</v>
      </c>
      <c r="S22">
        <f>SUM(R$7:R22)</f>
        <v>94</v>
      </c>
    </row>
    <row r="23" spans="2:19" x14ac:dyDescent="0.2">
      <c r="B23" s="20" t="s">
        <v>237</v>
      </c>
      <c r="C23">
        <v>57</v>
      </c>
      <c r="P23">
        <v>17</v>
      </c>
      <c r="Q23" s="21">
        <v>44440</v>
      </c>
      <c r="R23">
        <f>COUNTIFS(Staff[Date Joined],"&gt;="&amp;Q23, Staff[Date Joined],"&lt;="&amp;EOMONTH(Q23,0))</f>
        <v>11</v>
      </c>
      <c r="S23">
        <f>SUM(R$7:R23)</f>
        <v>105</v>
      </c>
    </row>
    <row r="24" spans="2:19" x14ac:dyDescent="0.2">
      <c r="B24" s="20" t="s">
        <v>238</v>
      </c>
      <c r="C24">
        <v>68</v>
      </c>
      <c r="P24">
        <v>18</v>
      </c>
      <c r="Q24" s="21">
        <v>44470</v>
      </c>
      <c r="R24">
        <f>COUNTIFS(Staff[Date Joined],"&gt;="&amp;Q24, Staff[Date Joined],"&lt;="&amp;EOMONTH(Q24,0))</f>
        <v>3</v>
      </c>
      <c r="S24">
        <f>SUM(R$7:R24)</f>
        <v>108</v>
      </c>
    </row>
    <row r="25" spans="2:19" x14ac:dyDescent="0.2">
      <c r="B25" s="20" t="s">
        <v>239</v>
      </c>
      <c r="C25">
        <v>71</v>
      </c>
      <c r="P25">
        <v>19</v>
      </c>
      <c r="Q25" s="21">
        <v>44501</v>
      </c>
      <c r="R25">
        <f>COUNTIFS(Staff[Date Joined],"&gt;="&amp;Q25, Staff[Date Joined],"&lt;="&amp;EOMONTH(Q25,0))</f>
        <v>4</v>
      </c>
      <c r="S25">
        <f>SUM(R$7:R25)</f>
        <v>112</v>
      </c>
    </row>
    <row r="26" spans="2:19" x14ac:dyDescent="0.2">
      <c r="B26" s="20" t="s">
        <v>240</v>
      </c>
      <c r="C26">
        <v>75</v>
      </c>
      <c r="P26">
        <v>20</v>
      </c>
      <c r="Q26" s="21">
        <v>44531</v>
      </c>
      <c r="R26">
        <f>COUNTIFS(Staff[Date Joined],"&gt;="&amp;Q26, Staff[Date Joined],"&lt;="&amp;EOMONTH(Q26,0))</f>
        <v>7</v>
      </c>
      <c r="S26">
        <f>SUM(R$7:R26)</f>
        <v>119</v>
      </c>
    </row>
    <row r="27" spans="2:19" x14ac:dyDescent="0.2">
      <c r="B27" s="20" t="s">
        <v>241</v>
      </c>
      <c r="C27">
        <v>82</v>
      </c>
      <c r="P27">
        <v>21</v>
      </c>
      <c r="Q27" s="21">
        <v>44562</v>
      </c>
      <c r="R27">
        <f>COUNTIFS(Staff[Date Joined],"&gt;="&amp;Q27, Staff[Date Joined],"&lt;="&amp;EOMONTH(Q27,0))</f>
        <v>3</v>
      </c>
      <c r="S27">
        <f>SUM(R$7:R27)</f>
        <v>122</v>
      </c>
    </row>
    <row r="28" spans="2:19" x14ac:dyDescent="0.2">
      <c r="B28" s="16" t="s">
        <v>247</v>
      </c>
      <c r="P28">
        <v>22</v>
      </c>
      <c r="Q28" s="21">
        <v>44593</v>
      </c>
      <c r="R28">
        <f>COUNTIFS(Staff[Date Joined],"&gt;="&amp;Q28, Staff[Date Joined],"&lt;="&amp;EOMONTH(Q28,0))</f>
        <v>10</v>
      </c>
      <c r="S28">
        <f>SUM(R$7:R28)</f>
        <v>132</v>
      </c>
    </row>
    <row r="29" spans="2:19" x14ac:dyDescent="0.2">
      <c r="B29" s="20" t="s">
        <v>243</v>
      </c>
      <c r="C29">
        <v>3</v>
      </c>
      <c r="P29">
        <v>23</v>
      </c>
      <c r="Q29" s="21">
        <v>44621</v>
      </c>
      <c r="R29">
        <f>COUNTIFS(Staff[Date Joined],"&gt;="&amp;Q29, Staff[Date Joined],"&lt;="&amp;EOMONTH(Q29,0))</f>
        <v>9</v>
      </c>
      <c r="S29">
        <f>SUM(R$7:R29)</f>
        <v>141</v>
      </c>
    </row>
    <row r="30" spans="2:19" x14ac:dyDescent="0.2">
      <c r="B30" s="20" t="s">
        <v>244</v>
      </c>
      <c r="C30">
        <v>13</v>
      </c>
      <c r="P30">
        <v>24</v>
      </c>
      <c r="Q30" s="21">
        <v>44652</v>
      </c>
      <c r="R30">
        <f>COUNTIFS(Staff[Date Joined],"&gt;="&amp;Q30, Staff[Date Joined],"&lt;="&amp;EOMONTH(Q30,0))</f>
        <v>9</v>
      </c>
      <c r="S30">
        <f>SUM(R$7:R30)</f>
        <v>150</v>
      </c>
    </row>
    <row r="31" spans="2:19" x14ac:dyDescent="0.2">
      <c r="B31" s="20" t="s">
        <v>245</v>
      </c>
      <c r="C31">
        <v>22</v>
      </c>
      <c r="P31">
        <v>25</v>
      </c>
      <c r="Q31" s="21">
        <v>44682</v>
      </c>
      <c r="R31">
        <f>COUNTIFS(Staff[Date Joined],"&gt;="&amp;Q31, Staff[Date Joined],"&lt;="&amp;EOMONTH(Q31,0))</f>
        <v>9</v>
      </c>
      <c r="S31">
        <f>SUM(R$7:R31)</f>
        <v>159</v>
      </c>
    </row>
    <row r="32" spans="2:19" x14ac:dyDescent="0.2">
      <c r="B32" s="20" t="s">
        <v>246</v>
      </c>
      <c r="C32">
        <v>31</v>
      </c>
      <c r="P32">
        <v>26</v>
      </c>
      <c r="Q32" s="21">
        <v>44713</v>
      </c>
      <c r="R32">
        <f>COUNTIFS(Staff[Date Joined],"&gt;="&amp;Q32, Staff[Date Joined],"&lt;="&amp;EOMONTH(Q32,0))</f>
        <v>7</v>
      </c>
      <c r="S32">
        <f>SUM(R$7:R32)</f>
        <v>166</v>
      </c>
    </row>
    <row r="33" spans="2:19" x14ac:dyDescent="0.2">
      <c r="B33" s="20" t="s">
        <v>234</v>
      </c>
      <c r="C33">
        <v>40</v>
      </c>
      <c r="P33">
        <v>27</v>
      </c>
      <c r="Q33" s="21">
        <v>44743</v>
      </c>
      <c r="R33">
        <f>COUNTIFS(Staff[Date Joined],"&gt;="&amp;Q33, Staff[Date Joined],"&lt;="&amp;EOMONTH(Q33,0))</f>
        <v>5</v>
      </c>
      <c r="S33">
        <f>SUM(R$7:R33)</f>
        <v>171</v>
      </c>
    </row>
    <row r="34" spans="2:19" x14ac:dyDescent="0.2">
      <c r="B34" s="20" t="s">
        <v>235</v>
      </c>
      <c r="C34">
        <v>47</v>
      </c>
      <c r="P34">
        <v>28</v>
      </c>
      <c r="Q34" s="21">
        <v>44774</v>
      </c>
      <c r="R34">
        <f>COUNTIFS(Staff[Date Joined],"&gt;="&amp;Q34, Staff[Date Joined],"&lt;="&amp;EOMONTH(Q34,0))</f>
        <v>5</v>
      </c>
      <c r="S34">
        <f>SUM(R$7:R34)</f>
        <v>176</v>
      </c>
    </row>
    <row r="35" spans="2:19" x14ac:dyDescent="0.2">
      <c r="B35" s="20" t="s">
        <v>236</v>
      </c>
      <c r="C35">
        <v>52</v>
      </c>
      <c r="P35">
        <v>29</v>
      </c>
      <c r="Q35" s="21">
        <v>44805</v>
      </c>
      <c r="R35">
        <f>COUNTIFS(Staff[Date Joined],"&gt;="&amp;Q35, Staff[Date Joined],"&lt;="&amp;EOMONTH(Q35,0))</f>
        <v>2</v>
      </c>
      <c r="S35">
        <f>SUM(R$7:R35)</f>
        <v>178</v>
      </c>
    </row>
    <row r="36" spans="2:19" x14ac:dyDescent="0.2">
      <c r="B36" s="20" t="s">
        <v>237</v>
      </c>
      <c r="C36">
        <v>57</v>
      </c>
      <c r="P36">
        <v>30</v>
      </c>
      <c r="Q36" s="21">
        <v>44835</v>
      </c>
      <c r="R36">
        <f>COUNTIFS(Staff[Date Joined],"&gt;="&amp;Q36, Staff[Date Joined],"&lt;="&amp;EOMONTH(Q36,0))</f>
        <v>3</v>
      </c>
      <c r="S36">
        <f>SUM(R$7:R36)</f>
        <v>181</v>
      </c>
    </row>
    <row r="37" spans="2:19" x14ac:dyDescent="0.2">
      <c r="B37" s="20" t="s">
        <v>238</v>
      </c>
      <c r="C37">
        <v>59</v>
      </c>
      <c r="P37">
        <v>31</v>
      </c>
      <c r="Q37" s="21">
        <v>44866</v>
      </c>
      <c r="R37">
        <f>COUNTIFS(Staff[Date Joined],"&gt;="&amp;Q37, Staff[Date Joined],"&lt;="&amp;EOMONTH(Q37,0))</f>
        <v>0</v>
      </c>
      <c r="S37">
        <f>SUM(R$7:R37)</f>
        <v>181</v>
      </c>
    </row>
    <row r="38" spans="2:19" x14ac:dyDescent="0.2">
      <c r="B38" s="20" t="s">
        <v>239</v>
      </c>
      <c r="C38">
        <v>62</v>
      </c>
      <c r="P38">
        <v>32</v>
      </c>
      <c r="Q38" s="21">
        <v>44896</v>
      </c>
      <c r="R38">
        <f>COUNTIFS(Staff[Date Joined],"&gt;="&amp;Q38, Staff[Date Joined],"&lt;="&amp;EOMONTH(Q38,0))</f>
        <v>0</v>
      </c>
      <c r="S38">
        <f>SUM(R$7:R38)</f>
        <v>181</v>
      </c>
    </row>
    <row r="39" spans="2:19" x14ac:dyDescent="0.2">
      <c r="B39" s="16" t="s">
        <v>248</v>
      </c>
      <c r="P39">
        <v>33</v>
      </c>
      <c r="Q39" s="21">
        <v>44927</v>
      </c>
      <c r="R39">
        <f>COUNTIFS(Staff[Date Joined],"&gt;="&amp;Q39, Staff[Date Joined],"&lt;="&amp;EOMONTH(Q39,0))</f>
        <v>0</v>
      </c>
      <c r="S39">
        <f>SUM(R$7:R39)</f>
        <v>181</v>
      </c>
    </row>
    <row r="40" spans="2:19" x14ac:dyDescent="0.2">
      <c r="B40" s="20" t="s">
        <v>244</v>
      </c>
      <c r="C40">
        <v>1</v>
      </c>
      <c r="P40">
        <v>34</v>
      </c>
      <c r="Q40" s="21">
        <v>44958</v>
      </c>
      <c r="R40">
        <f>COUNTIFS(Staff[Date Joined],"&gt;="&amp;Q40, Staff[Date Joined],"&lt;="&amp;EOMONTH(Q40,0))</f>
        <v>1</v>
      </c>
      <c r="S40">
        <f>SUM(R$7:R40)</f>
        <v>182</v>
      </c>
    </row>
    <row r="41" spans="2:19" x14ac:dyDescent="0.2">
      <c r="B41" s="20" t="s">
        <v>246</v>
      </c>
      <c r="C41">
        <v>2</v>
      </c>
      <c r="P41">
        <v>35</v>
      </c>
      <c r="Q41" s="21">
        <v>44986</v>
      </c>
      <c r="R41">
        <f>COUNTIFS(Staff[Date Joined],"&gt;="&amp;Q41, Staff[Date Joined],"&lt;="&amp;EOMONTH(Q41,0))</f>
        <v>0</v>
      </c>
      <c r="S41">
        <f>SUM(R$7:R41)</f>
        <v>182</v>
      </c>
    </row>
    <row r="42" spans="2:19" x14ac:dyDescent="0.2">
      <c r="B42" s="16" t="s">
        <v>222</v>
      </c>
      <c r="P42">
        <v>36</v>
      </c>
      <c r="Q42" s="21">
        <v>45017</v>
      </c>
      <c r="R42">
        <f>COUNTIFS(Staff[Date Joined],"&gt;="&amp;Q42, Staff[Date Joined],"&lt;="&amp;EOMONTH(Q42,0))</f>
        <v>1</v>
      </c>
      <c r="S42">
        <f>SUM(R$7:R42)</f>
        <v>183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8B836-AE5B-6744-8205-8C143F4CA9B0}">
  <dimension ref="C2:M20"/>
  <sheetViews>
    <sheetView tabSelected="1" zoomScale="110" zoomScaleNormal="110" workbookViewId="0">
      <selection activeCell="E27" sqref="E27"/>
    </sheetView>
  </sheetViews>
  <sheetFormatPr baseColWidth="10" defaultRowHeight="15" x14ac:dyDescent="0.2"/>
  <cols>
    <col min="3" max="3" width="22.6640625" customWidth="1"/>
    <col min="4" max="4" width="3" customWidth="1"/>
    <col min="5" max="5" width="22.6640625" customWidth="1"/>
    <col min="6" max="6" width="2.83203125" customWidth="1"/>
    <col min="7" max="7" width="22.6640625" customWidth="1"/>
    <col min="9" max="9" width="22.6640625" customWidth="1"/>
    <col min="10" max="10" width="3" customWidth="1"/>
    <col min="11" max="11" width="22.6640625" customWidth="1"/>
    <col min="12" max="12" width="3" customWidth="1"/>
    <col min="13" max="13" width="22.6640625" customWidth="1"/>
  </cols>
  <sheetData>
    <row r="2" spans="3:13" x14ac:dyDescent="0.2">
      <c r="E2" s="30" t="s">
        <v>252</v>
      </c>
      <c r="K2" s="29" t="s">
        <v>253</v>
      </c>
    </row>
    <row r="4" spans="3:13" ht="106" customHeight="1" x14ac:dyDescent="0.2">
      <c r="C4" s="24">
        <f>COUNTIFS(Staff[Country], "NZ")</f>
        <v>91</v>
      </c>
      <c r="E4" s="25">
        <f>COUNTIFS(Staff[Country],"NZ", Staff[Gender],"Female" )/COUNTIF(Staff[Country], "NZ")</f>
        <v>0.47252747252747251</v>
      </c>
      <c r="G4" s="23">
        <f>AVERAGEIF(Staff[Country], "NZ", Staff[Salary])</f>
        <v>76978.791208791212</v>
      </c>
      <c r="I4" s="26">
        <f>COUNTIFS(Staff[Country], "IND")</f>
        <v>92</v>
      </c>
      <c r="K4" s="27">
        <f>COUNTIFS(Staff[Country],"IND", Staff[Gender],"Female" )/COUNTIF(Staff[Country], "IND")</f>
        <v>0.46739130434782611</v>
      </c>
      <c r="M4" s="28">
        <f>AVERAGEIF(Staff[Country], "IND", Staff[Salary])</f>
        <v>77366.521739130432</v>
      </c>
    </row>
    <row r="7" spans="3:13" x14ac:dyDescent="0.2">
      <c r="C7" s="31"/>
      <c r="D7" s="31"/>
      <c r="E7" s="31"/>
      <c r="F7" s="31"/>
      <c r="G7" s="31"/>
      <c r="I7" s="31"/>
      <c r="J7" s="31"/>
      <c r="K7" s="31"/>
      <c r="L7" s="31"/>
      <c r="M7" s="31"/>
    </row>
    <row r="8" spans="3:13" x14ac:dyDescent="0.2">
      <c r="C8" s="31"/>
      <c r="D8" s="31"/>
      <c r="E8" s="31"/>
      <c r="F8" s="31"/>
      <c r="G8" s="31"/>
      <c r="I8" s="31"/>
      <c r="J8" s="31"/>
      <c r="K8" s="31"/>
      <c r="L8" s="31"/>
      <c r="M8" s="31"/>
    </row>
    <row r="9" spans="3:13" x14ac:dyDescent="0.2">
      <c r="C9" s="31"/>
      <c r="D9" s="31"/>
      <c r="E9" s="31"/>
      <c r="F9" s="31"/>
      <c r="G9" s="31"/>
      <c r="I9" s="31"/>
      <c r="J9" s="31"/>
      <c r="K9" s="31"/>
      <c r="L9" s="31"/>
      <c r="M9" s="31"/>
    </row>
    <row r="10" spans="3:13" x14ac:dyDescent="0.2">
      <c r="C10" s="31"/>
      <c r="D10" s="31"/>
      <c r="E10" s="31"/>
      <c r="F10" s="31"/>
      <c r="G10" s="31"/>
      <c r="I10" s="31"/>
      <c r="J10" s="31"/>
      <c r="K10" s="31"/>
      <c r="L10" s="31"/>
      <c r="M10" s="31"/>
    </row>
    <row r="11" spans="3:13" x14ac:dyDescent="0.2">
      <c r="C11" s="31"/>
      <c r="D11" s="31"/>
      <c r="E11" s="31"/>
      <c r="F11" s="31"/>
      <c r="G11" s="31"/>
      <c r="I11" s="31"/>
      <c r="J11" s="31"/>
      <c r="K11" s="31"/>
      <c r="L11" s="31"/>
      <c r="M11" s="31"/>
    </row>
    <row r="12" spans="3:13" x14ac:dyDescent="0.2">
      <c r="C12" s="31"/>
      <c r="D12" s="31"/>
      <c r="E12" s="31"/>
      <c r="F12" s="31"/>
      <c r="G12" s="31"/>
      <c r="I12" s="31"/>
      <c r="J12" s="31"/>
      <c r="K12" s="31"/>
      <c r="L12" s="31"/>
      <c r="M12" s="31"/>
    </row>
    <row r="13" spans="3:13" x14ac:dyDescent="0.2">
      <c r="C13" s="31"/>
      <c r="D13" s="31"/>
      <c r="E13" s="31"/>
      <c r="F13" s="31"/>
      <c r="G13" s="31"/>
      <c r="I13" s="31"/>
      <c r="J13" s="31"/>
      <c r="K13" s="31"/>
      <c r="L13" s="31"/>
      <c r="M13" s="31"/>
    </row>
    <row r="14" spans="3:13" x14ac:dyDescent="0.2">
      <c r="C14" s="31"/>
      <c r="D14" s="31"/>
      <c r="E14" s="31"/>
      <c r="F14" s="31"/>
      <c r="G14" s="31"/>
      <c r="I14" s="31"/>
      <c r="J14" s="31"/>
      <c r="K14" s="31"/>
      <c r="L14" s="31"/>
      <c r="M14" s="31"/>
    </row>
    <row r="15" spans="3:13" x14ac:dyDescent="0.2">
      <c r="C15" s="31"/>
      <c r="D15" s="31"/>
      <c r="E15" s="31"/>
      <c r="F15" s="31"/>
      <c r="G15" s="31"/>
      <c r="I15" s="31"/>
      <c r="J15" s="31"/>
      <c r="K15" s="31"/>
      <c r="L15" s="31"/>
      <c r="M15" s="31"/>
    </row>
    <row r="16" spans="3:13" x14ac:dyDescent="0.2">
      <c r="C16" s="31"/>
      <c r="D16" s="31"/>
      <c r="E16" s="31"/>
      <c r="F16" s="31"/>
      <c r="G16" s="31"/>
      <c r="I16" s="31"/>
      <c r="J16" s="31"/>
      <c r="K16" s="31"/>
      <c r="L16" s="31"/>
      <c r="M16" s="31"/>
    </row>
    <row r="17" spans="3:13" x14ac:dyDescent="0.2">
      <c r="C17" s="31"/>
      <c r="D17" s="31"/>
      <c r="E17" s="31"/>
      <c r="F17" s="31"/>
      <c r="G17" s="31"/>
      <c r="I17" s="31"/>
      <c r="J17" s="31"/>
      <c r="K17" s="31"/>
      <c r="L17" s="31"/>
      <c r="M17" s="31"/>
    </row>
    <row r="18" spans="3:13" x14ac:dyDescent="0.2">
      <c r="C18" s="31"/>
      <c r="D18" s="31"/>
      <c r="E18" s="31"/>
      <c r="F18" s="31"/>
      <c r="G18" s="31"/>
      <c r="I18" s="31"/>
      <c r="J18" s="31"/>
      <c r="K18" s="31"/>
      <c r="L18" s="31"/>
      <c r="M18" s="31"/>
    </row>
    <row r="19" spans="3:13" x14ac:dyDescent="0.2">
      <c r="C19" s="31"/>
      <c r="D19" s="31"/>
      <c r="E19" s="31"/>
      <c r="F19" s="31"/>
      <c r="G19" s="31"/>
      <c r="I19" s="31"/>
      <c r="J19" s="31"/>
      <c r="K19" s="31"/>
      <c r="L19" s="31"/>
      <c r="M19" s="31"/>
    </row>
    <row r="20" spans="3:13" x14ac:dyDescent="0.2">
      <c r="C20" s="31"/>
      <c r="D20" s="31"/>
      <c r="E20" s="31"/>
      <c r="F20" s="31"/>
      <c r="G20" s="31"/>
      <c r="I20" s="31"/>
      <c r="J20" s="31"/>
      <c r="K20" s="31"/>
      <c r="L20" s="31"/>
      <c r="M20" s="31"/>
    </row>
  </sheetData>
  <mergeCells count="2">
    <mergeCell ref="C7:G20"/>
    <mergeCell ref="I7:M2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75160-D6A5-CC4F-A124-51726DCB115A}">
  <sheetPr>
    <tabColor theme="9" tint="-0.249977111117893"/>
  </sheetPr>
  <dimension ref="A1:N184"/>
  <sheetViews>
    <sheetView zoomScale="130" zoomScaleNormal="130" workbookViewId="0">
      <selection activeCell="E1" sqref="E1:E1048576"/>
    </sheetView>
  </sheetViews>
  <sheetFormatPr baseColWidth="10" defaultRowHeight="15" x14ac:dyDescent="0.2"/>
  <cols>
    <col min="1" max="1" width="26" bestFit="1" customWidth="1"/>
    <col min="2" max="2" width="9.5" bestFit="1" customWidth="1"/>
    <col min="3" max="3" width="6.6640625" bestFit="1" customWidth="1"/>
    <col min="4" max="4" width="11.83203125" bestFit="1" customWidth="1"/>
    <col min="5" max="5" width="12.83203125" style="22" bestFit="1" customWidth="1"/>
    <col min="6" max="6" width="13.1640625" bestFit="1" customWidth="1"/>
    <col min="7" max="7" width="11.6640625" bestFit="1" customWidth="1"/>
    <col min="8" max="8" width="9.83203125" bestFit="1" customWidth="1"/>
    <col min="11" max="11" width="15" customWidth="1"/>
    <col min="13" max="13" width="16" bestFit="1" customWidth="1"/>
  </cols>
  <sheetData>
    <row r="1" spans="1:14" x14ac:dyDescent="0.2">
      <c r="A1" t="s">
        <v>0</v>
      </c>
      <c r="B1" t="s">
        <v>1</v>
      </c>
      <c r="C1" t="s">
        <v>3</v>
      </c>
      <c r="D1" t="s">
        <v>6</v>
      </c>
      <c r="E1" s="22" t="s">
        <v>4</v>
      </c>
      <c r="F1" t="s">
        <v>2</v>
      </c>
      <c r="G1" t="s">
        <v>5</v>
      </c>
      <c r="H1" t="s">
        <v>204</v>
      </c>
      <c r="I1" t="s">
        <v>214</v>
      </c>
      <c r="J1" t="s">
        <v>229</v>
      </c>
      <c r="K1" t="s">
        <v>230</v>
      </c>
    </row>
    <row r="2" spans="1:14" x14ac:dyDescent="0.2">
      <c r="A2" t="s">
        <v>179</v>
      </c>
      <c r="B2" t="s">
        <v>8</v>
      </c>
      <c r="C2">
        <v>21</v>
      </c>
      <c r="D2" t="s">
        <v>16</v>
      </c>
      <c r="E2" s="22">
        <v>44619</v>
      </c>
      <c r="F2" t="s">
        <v>12</v>
      </c>
      <c r="G2" s="5">
        <v>33920</v>
      </c>
      <c r="H2" t="s">
        <v>205</v>
      </c>
      <c r="I2" s="8">
        <f ca="1">(TODAY()-Staff[[#This Row],[Date Joined]])/365</f>
        <v>1.715068493150685</v>
      </c>
      <c r="J2">
        <f ca="1">ROUNDUP(IF(Staff[[#This Row],[Tenure]]&gt;2, 3%, 2%)*Staff[[#This Row],[Salary]],0)</f>
        <v>679</v>
      </c>
      <c r="K2">
        <f>_xlfn.XLOOKUP(Staff[[#This Row],[Rating]], 'Salary vs Rating'!$H$6:$H$10, 'Salary vs Rating'!$I$6:$I$10)</f>
        <v>3</v>
      </c>
    </row>
    <row r="3" spans="1:14" x14ac:dyDescent="0.2">
      <c r="A3" t="s">
        <v>86</v>
      </c>
      <c r="B3" t="s">
        <v>8</v>
      </c>
      <c r="C3">
        <v>21</v>
      </c>
      <c r="D3" t="s">
        <v>16</v>
      </c>
      <c r="E3" s="22">
        <v>44678</v>
      </c>
      <c r="F3" t="s">
        <v>12</v>
      </c>
      <c r="G3" s="5">
        <v>33920</v>
      </c>
      <c r="H3" t="s">
        <v>207</v>
      </c>
      <c r="I3" s="8">
        <f ca="1">(TODAY()-Staff[[#This Row],[Date Joined]])/365</f>
        <v>1.5534246575342465</v>
      </c>
      <c r="J3">
        <f ca="1">ROUNDUP(IF(Staff[[#This Row],[Tenure]]&gt;2, 3%, 2%)*Staff[[#This Row],[Salary]],0)</f>
        <v>679</v>
      </c>
      <c r="K3" t="s">
        <v>231</v>
      </c>
    </row>
    <row r="4" spans="1:14" x14ac:dyDescent="0.2">
      <c r="A4" t="s">
        <v>137</v>
      </c>
      <c r="B4" t="s">
        <v>8</v>
      </c>
      <c r="C4">
        <v>29</v>
      </c>
      <c r="D4" t="s">
        <v>16</v>
      </c>
      <c r="E4" s="22">
        <v>43962</v>
      </c>
      <c r="F4" t="s">
        <v>12</v>
      </c>
      <c r="G4" s="5">
        <v>34980</v>
      </c>
      <c r="H4" t="s">
        <v>205</v>
      </c>
      <c r="I4" s="8">
        <f ca="1">(TODAY()-Staff[[#This Row],[Date Joined]])/365</f>
        <v>3.515068493150685</v>
      </c>
      <c r="J4">
        <f ca="1">ROUNDUP(IF(Staff[[#This Row],[Tenure]]&gt;2, 3%, 2%)*Staff[[#This Row],[Salary]],0)</f>
        <v>1050</v>
      </c>
      <c r="K4">
        <f>_xlfn.XLOOKUP(Staff[[#This Row],[Rating]], 'Salary vs Rating'!$H$6:$H$10, 'Salary vs Rating'!$I$6:$I$10)</f>
        <v>3</v>
      </c>
      <c r="M4" t="s">
        <v>208</v>
      </c>
      <c r="N4">
        <f>COUNTA(Staff[Name])</f>
        <v>183</v>
      </c>
    </row>
    <row r="5" spans="1:14" x14ac:dyDescent="0.2">
      <c r="A5" t="s">
        <v>44</v>
      </c>
      <c r="B5" t="s">
        <v>8</v>
      </c>
      <c r="C5">
        <v>29</v>
      </c>
      <c r="D5" t="s">
        <v>16</v>
      </c>
      <c r="E5" s="22">
        <v>44023</v>
      </c>
      <c r="F5" t="s">
        <v>12</v>
      </c>
      <c r="G5" s="5">
        <v>34980</v>
      </c>
      <c r="H5" t="s">
        <v>207</v>
      </c>
      <c r="I5" s="8">
        <f ca="1">(TODAY()-Staff[[#This Row],[Date Joined]])/365</f>
        <v>3.3479452054794518</v>
      </c>
      <c r="J5">
        <f ca="1">ROUNDUP(IF(Staff[[#This Row],[Tenure]]&gt;2, 3%, 2%)*Staff[[#This Row],[Salary]],0)</f>
        <v>1050</v>
      </c>
      <c r="K5">
        <f>_xlfn.XLOOKUP(Staff[[#This Row],[Rating]], 'Salary vs Rating'!$H$6:$H$10, 'Salary vs Rating'!$I$6:$I$10)</f>
        <v>3</v>
      </c>
      <c r="M5" t="s">
        <v>209</v>
      </c>
      <c r="N5">
        <f>AVERAGE(Staff[Age])</f>
        <v>30.42622950819672</v>
      </c>
    </row>
    <row r="6" spans="1:14" x14ac:dyDescent="0.2">
      <c r="A6" t="s">
        <v>192</v>
      </c>
      <c r="B6" t="s">
        <v>15</v>
      </c>
      <c r="C6">
        <v>43</v>
      </c>
      <c r="D6" t="s">
        <v>16</v>
      </c>
      <c r="E6" s="22">
        <v>44558</v>
      </c>
      <c r="F6" t="s">
        <v>19</v>
      </c>
      <c r="G6" s="5">
        <v>36040</v>
      </c>
      <c r="H6" t="s">
        <v>205</v>
      </c>
      <c r="I6" s="8">
        <f ca="1">(TODAY()-Staff[[#This Row],[Date Joined]])/365</f>
        <v>1.8821917808219177</v>
      </c>
      <c r="J6">
        <f ca="1">ROUNDUP(IF(Staff[[#This Row],[Tenure]]&gt;2, 3%, 2%)*Staff[[#This Row],[Salary]],0)</f>
        <v>721</v>
      </c>
      <c r="K6">
        <f>_xlfn.XLOOKUP(Staff[[#This Row],[Rating]], 'Salary vs Rating'!$H$6:$H$10, 'Salary vs Rating'!$I$6:$I$10)</f>
        <v>3</v>
      </c>
      <c r="M6" t="s">
        <v>210</v>
      </c>
      <c r="N6" s="7">
        <f>AVERAGE(Staff[Salary])</f>
        <v>77173.715846994543</v>
      </c>
    </row>
    <row r="7" spans="1:14" x14ac:dyDescent="0.2">
      <c r="A7" t="s">
        <v>99</v>
      </c>
      <c r="B7" t="s">
        <v>15</v>
      </c>
      <c r="C7">
        <v>43</v>
      </c>
      <c r="D7" t="s">
        <v>16</v>
      </c>
      <c r="E7" s="22">
        <v>44620</v>
      </c>
      <c r="F7" t="s">
        <v>19</v>
      </c>
      <c r="G7" s="5">
        <v>36040</v>
      </c>
      <c r="H7" t="s">
        <v>207</v>
      </c>
      <c r="I7" s="8">
        <f ca="1">(TODAY()-Staff[[#This Row],[Date Joined]])/365</f>
        <v>1.7123287671232876</v>
      </c>
      <c r="J7">
        <f ca="1">ROUNDUP(IF(Staff[[#This Row],[Tenure]]&gt;2, 3%, 2%)*Staff[[#This Row],[Salary]],0)</f>
        <v>721</v>
      </c>
      <c r="K7">
        <f>_xlfn.XLOOKUP(Staff[[#This Row],[Rating]], 'Salary vs Rating'!$H$6:$H$10, 'Salary vs Rating'!$I$6:$I$10)</f>
        <v>3</v>
      </c>
      <c r="M7" t="s">
        <v>211</v>
      </c>
      <c r="N7">
        <f ca="1">AVERAGE(Staff[Tenure])</f>
        <v>2.2245677071637102</v>
      </c>
    </row>
    <row r="8" spans="1:14" x14ac:dyDescent="0.2">
      <c r="A8" t="s">
        <v>140</v>
      </c>
      <c r="B8" t="s">
        <v>15</v>
      </c>
      <c r="C8">
        <v>21</v>
      </c>
      <c r="D8" t="s">
        <v>16</v>
      </c>
      <c r="E8" s="22">
        <v>44042</v>
      </c>
      <c r="F8" t="s">
        <v>9</v>
      </c>
      <c r="G8" s="5">
        <v>37920</v>
      </c>
      <c r="H8" t="s">
        <v>205</v>
      </c>
      <c r="I8" s="8">
        <f ca="1">(TODAY()-Staff[[#This Row],[Date Joined]])/365</f>
        <v>3.2958904109589042</v>
      </c>
      <c r="J8">
        <f ca="1">ROUNDUP(IF(Staff[[#This Row],[Tenure]]&gt;2, 3%, 2%)*Staff[[#This Row],[Salary]],0)</f>
        <v>1138</v>
      </c>
      <c r="K8">
        <f>_xlfn.XLOOKUP(Staff[[#This Row],[Rating]], 'Salary vs Rating'!$H$6:$H$10, 'Salary vs Rating'!$I$6:$I$10)</f>
        <v>3</v>
      </c>
      <c r="M8" t="s">
        <v>212</v>
      </c>
      <c r="N8">
        <f>COUNTIFS(Staff[Gender], "=Female")</f>
        <v>86</v>
      </c>
    </row>
    <row r="9" spans="1:14" x14ac:dyDescent="0.2">
      <c r="A9" t="s">
        <v>47</v>
      </c>
      <c r="B9" t="s">
        <v>15</v>
      </c>
      <c r="C9">
        <v>21</v>
      </c>
      <c r="D9" t="s">
        <v>16</v>
      </c>
      <c r="E9" s="22">
        <v>44104</v>
      </c>
      <c r="F9" t="s">
        <v>9</v>
      </c>
      <c r="G9" s="5">
        <v>37920</v>
      </c>
      <c r="H9" t="s">
        <v>207</v>
      </c>
      <c r="I9" s="8">
        <f ca="1">(TODAY()-Staff[[#This Row],[Date Joined]])/365</f>
        <v>3.1260273972602741</v>
      </c>
      <c r="J9">
        <f ca="1">ROUNDUP(IF(Staff[[#This Row],[Tenure]]&gt;2, 3%, 2%)*Staff[[#This Row],[Salary]],0)</f>
        <v>1138</v>
      </c>
      <c r="K9">
        <f>_xlfn.XLOOKUP(Staff[[#This Row],[Rating]], 'Salary vs Rating'!$H$6:$H$10, 'Salary vs Rating'!$I$6:$I$10)</f>
        <v>3</v>
      </c>
      <c r="M9" t="s">
        <v>213</v>
      </c>
      <c r="N9" s="9">
        <f>N8/N4</f>
        <v>0.46994535519125685</v>
      </c>
    </row>
    <row r="10" spans="1:14" x14ac:dyDescent="0.2">
      <c r="A10" t="s">
        <v>149</v>
      </c>
      <c r="B10" t="s">
        <v>15</v>
      </c>
      <c r="C10">
        <v>35</v>
      </c>
      <c r="D10" t="s">
        <v>16</v>
      </c>
      <c r="E10" s="22">
        <v>44666</v>
      </c>
      <c r="F10" t="s">
        <v>9</v>
      </c>
      <c r="G10" s="5">
        <v>40400</v>
      </c>
      <c r="H10" t="s">
        <v>205</v>
      </c>
      <c r="I10" s="8">
        <f ca="1">(TODAY()-Staff[[#This Row],[Date Joined]])/365</f>
        <v>1.5863013698630137</v>
      </c>
      <c r="J10">
        <f ca="1">ROUNDUP(IF(Staff[[#This Row],[Tenure]]&gt;2, 3%, 2%)*Staff[[#This Row],[Salary]],0)</f>
        <v>808</v>
      </c>
      <c r="K10">
        <f>_xlfn.XLOOKUP(Staff[[#This Row],[Rating]], 'Salary vs Rating'!$H$6:$H$10, 'Salary vs Rating'!$I$6:$I$10)</f>
        <v>3</v>
      </c>
      <c r="M10" t="s">
        <v>215</v>
      </c>
      <c r="N10">
        <f>COUNTIFS(Staff[Salary], "&gt;90000")</f>
        <v>63</v>
      </c>
    </row>
    <row r="11" spans="1:14" x14ac:dyDescent="0.2">
      <c r="A11" t="s">
        <v>57</v>
      </c>
      <c r="B11" t="s">
        <v>15</v>
      </c>
      <c r="C11">
        <v>35</v>
      </c>
      <c r="D11" t="s">
        <v>16</v>
      </c>
      <c r="E11" s="22">
        <v>44727</v>
      </c>
      <c r="F11" t="s">
        <v>9</v>
      </c>
      <c r="G11" s="5">
        <v>40400</v>
      </c>
      <c r="H11" t="s">
        <v>207</v>
      </c>
      <c r="I11" s="8">
        <f ca="1">(TODAY()-Staff[[#This Row],[Date Joined]])/365</f>
        <v>1.4191780821917808</v>
      </c>
      <c r="J11">
        <f ca="1">ROUNDUP(IF(Staff[[#This Row],[Tenure]]&gt;2, 3%, 2%)*Staff[[#This Row],[Salary]],0)</f>
        <v>808</v>
      </c>
      <c r="K11">
        <f>_xlfn.XLOOKUP(Staff[[#This Row],[Rating]], 'Salary vs Rating'!$H$6:$H$10, 'Salary vs Rating'!$I$6:$I$10)</f>
        <v>3</v>
      </c>
      <c r="M11" t="s">
        <v>216</v>
      </c>
      <c r="N11" s="9">
        <f>N10/N4</f>
        <v>0.34426229508196721</v>
      </c>
    </row>
    <row r="12" spans="1:14" x14ac:dyDescent="0.2">
      <c r="A12" t="s">
        <v>158</v>
      </c>
      <c r="B12" t="s">
        <v>8</v>
      </c>
      <c r="C12">
        <v>32</v>
      </c>
      <c r="D12" t="s">
        <v>16</v>
      </c>
      <c r="E12" s="22">
        <v>44549</v>
      </c>
      <c r="F12" t="s">
        <v>9</v>
      </c>
      <c r="G12" s="5">
        <v>41570</v>
      </c>
      <c r="H12" t="s">
        <v>205</v>
      </c>
      <c r="I12" s="8">
        <f ca="1">(TODAY()-Staff[[#This Row],[Date Joined]])/365</f>
        <v>1.9068493150684931</v>
      </c>
      <c r="J12">
        <f ca="1">ROUNDUP(IF(Staff[[#This Row],[Tenure]]&gt;2, 3%, 2%)*Staff[[#This Row],[Salary]],0)</f>
        <v>832</v>
      </c>
      <c r="K12">
        <f>_xlfn.XLOOKUP(Staff[[#This Row],[Rating]], 'Salary vs Rating'!$H$6:$H$10, 'Salary vs Rating'!$I$6:$I$10)</f>
        <v>3</v>
      </c>
    </row>
    <row r="13" spans="1:14" x14ac:dyDescent="0.2">
      <c r="A13" t="s">
        <v>66</v>
      </c>
      <c r="B13" t="s">
        <v>8</v>
      </c>
      <c r="C13">
        <v>32</v>
      </c>
      <c r="D13" t="s">
        <v>16</v>
      </c>
      <c r="E13" s="22">
        <v>44611</v>
      </c>
      <c r="F13" t="s">
        <v>9</v>
      </c>
      <c r="G13" s="5">
        <v>41570</v>
      </c>
      <c r="H13" t="s">
        <v>207</v>
      </c>
      <c r="I13" s="8">
        <f ca="1">(TODAY()-Staff[[#This Row],[Date Joined]])/365</f>
        <v>1.736986301369863</v>
      </c>
      <c r="J13">
        <f ca="1">ROUNDUP(IF(Staff[[#This Row],[Tenure]]&gt;2, 3%, 2%)*Staff[[#This Row],[Salary]],0)</f>
        <v>832</v>
      </c>
      <c r="K13">
        <f>_xlfn.XLOOKUP(Staff[[#This Row],[Rating]], 'Salary vs Rating'!$H$6:$H$10, 'Salary vs Rating'!$I$6:$I$10)</f>
        <v>3</v>
      </c>
      <c r="M13" t="s">
        <v>232</v>
      </c>
    </row>
    <row r="14" spans="1:14" x14ac:dyDescent="0.2">
      <c r="A14" t="s">
        <v>124</v>
      </c>
      <c r="B14" t="s">
        <v>8</v>
      </c>
      <c r="C14">
        <v>31</v>
      </c>
      <c r="D14" t="s">
        <v>16</v>
      </c>
      <c r="E14" s="22">
        <v>44084</v>
      </c>
      <c r="F14" t="s">
        <v>12</v>
      </c>
      <c r="G14" s="5">
        <v>41980</v>
      </c>
      <c r="H14" t="s">
        <v>205</v>
      </c>
      <c r="I14" s="8">
        <f ca="1">(TODAY()-Staff[[#This Row],[Date Joined]])/365</f>
        <v>3.1808219178082191</v>
      </c>
      <c r="J14">
        <f ca="1">ROUNDUP(IF(Staff[[#This Row],[Tenure]]&gt;2, 3%, 2%)*Staff[[#This Row],[Salary]],0)</f>
        <v>1260</v>
      </c>
      <c r="K14">
        <f>_xlfn.XLOOKUP(Staff[[#This Row],[Rating]], 'Salary vs Rating'!$H$6:$H$10, 'Salary vs Rating'!$I$6:$I$10)</f>
        <v>3</v>
      </c>
    </row>
    <row r="15" spans="1:14" x14ac:dyDescent="0.2">
      <c r="A15" t="s">
        <v>30</v>
      </c>
      <c r="B15" t="s">
        <v>8</v>
      </c>
      <c r="C15">
        <v>31</v>
      </c>
      <c r="D15" t="s">
        <v>16</v>
      </c>
      <c r="E15" s="22">
        <v>44145</v>
      </c>
      <c r="F15" t="s">
        <v>12</v>
      </c>
      <c r="G15" s="5">
        <v>41980</v>
      </c>
      <c r="H15" t="s">
        <v>207</v>
      </c>
      <c r="I15" s="8">
        <f ca="1">(TODAY()-Staff[[#This Row],[Date Joined]])/365</f>
        <v>3.0136986301369864</v>
      </c>
      <c r="J15">
        <f ca="1">ROUNDUP(IF(Staff[[#This Row],[Tenure]]&gt;2, 3%, 2%)*Staff[[#This Row],[Salary]],0)</f>
        <v>1260</v>
      </c>
      <c r="K15">
        <f>_xlfn.XLOOKUP(Staff[[#This Row],[Rating]], 'Salary vs Rating'!$H$6:$H$10, 'Salary vs Rating'!$I$6:$I$10)</f>
        <v>3</v>
      </c>
      <c r="M15" s="13" t="s">
        <v>217</v>
      </c>
      <c r="N15" s="13" t="s">
        <v>90</v>
      </c>
    </row>
    <row r="16" spans="1:14" x14ac:dyDescent="0.2">
      <c r="A16" t="s">
        <v>172</v>
      </c>
      <c r="B16" t="s">
        <v>15</v>
      </c>
      <c r="C16">
        <v>28</v>
      </c>
      <c r="D16" t="s">
        <v>42</v>
      </c>
      <c r="E16" s="22">
        <v>44758</v>
      </c>
      <c r="F16" t="s">
        <v>19</v>
      </c>
      <c r="G16" s="5">
        <v>43510</v>
      </c>
      <c r="H16" t="s">
        <v>205</v>
      </c>
      <c r="I16" s="8">
        <f ca="1">(TODAY()-Staff[[#This Row],[Date Joined]])/365</f>
        <v>1.3342465753424657</v>
      </c>
      <c r="J16">
        <f ca="1">ROUNDUP(IF(Staff[[#This Row],[Tenure]]&gt;2, 3%, 2%)*Staff[[#This Row],[Salary]],0)</f>
        <v>871</v>
      </c>
      <c r="K16">
        <f>_xlfn.XLOOKUP(Staff[[#This Row],[Rating]], 'Salary vs Rating'!$H$6:$H$10, 'Salary vs Rating'!$I$6:$I$10)</f>
        <v>1</v>
      </c>
    </row>
    <row r="17" spans="1:14" x14ac:dyDescent="0.2">
      <c r="A17" t="s">
        <v>80</v>
      </c>
      <c r="B17" t="s">
        <v>15</v>
      </c>
      <c r="C17">
        <v>28</v>
      </c>
      <c r="D17" t="s">
        <v>42</v>
      </c>
      <c r="E17" s="22">
        <v>44820</v>
      </c>
      <c r="F17" t="s">
        <v>19</v>
      </c>
      <c r="G17" s="5">
        <v>43510</v>
      </c>
      <c r="H17" t="s">
        <v>207</v>
      </c>
      <c r="I17" s="8">
        <f ca="1">(TODAY()-Staff[[#This Row],[Date Joined]])/365</f>
        <v>1.1643835616438356</v>
      </c>
      <c r="J17">
        <f ca="1">ROUNDUP(IF(Staff[[#This Row],[Tenure]]&gt;2, 3%, 2%)*Staff[[#This Row],[Salary]],0)</f>
        <v>871</v>
      </c>
      <c r="K17">
        <f>_xlfn.XLOOKUP(Staff[[#This Row],[Rating]], 'Salary vs Rating'!$H$6:$H$10, 'Salary vs Rating'!$I$6:$I$10)</f>
        <v>1</v>
      </c>
    </row>
    <row r="18" spans="1:14" x14ac:dyDescent="0.2">
      <c r="A18" t="s">
        <v>176</v>
      </c>
      <c r="B18" t="s">
        <v>8</v>
      </c>
      <c r="C18">
        <v>32</v>
      </c>
      <c r="D18" t="s">
        <v>13</v>
      </c>
      <c r="E18" s="22">
        <v>44293</v>
      </c>
      <c r="F18" t="s">
        <v>12</v>
      </c>
      <c r="G18" s="5">
        <v>43840</v>
      </c>
      <c r="H18" t="s">
        <v>205</v>
      </c>
      <c r="I18" s="8">
        <f ca="1">(TODAY()-Staff[[#This Row],[Date Joined]])/365</f>
        <v>2.6082191780821917</v>
      </c>
      <c r="J18">
        <f ca="1">ROUNDUP(IF(Staff[[#This Row],[Tenure]]&gt;2, 3%, 2%)*Staff[[#This Row],[Salary]],0)</f>
        <v>1316</v>
      </c>
      <c r="K18">
        <f>_xlfn.XLOOKUP(Staff[[#This Row],[Rating]], 'Salary vs Rating'!$H$6:$H$10, 'Salary vs Rating'!$I$6:$I$10)</f>
        <v>4</v>
      </c>
      <c r="M18" s="10" t="s">
        <v>0</v>
      </c>
      <c r="N18" s="10" t="str" cm="1">
        <f t="array" aca="1" ref="N18:N26" ca="1">TRANSPOSE(_xlfn.XLOOKUP(N15,Staff[Name],Staff[[Name]:[Tenure]]))</f>
        <v>Shayne Stegel</v>
      </c>
    </row>
    <row r="19" spans="1:14" x14ac:dyDescent="0.2">
      <c r="A19" t="s">
        <v>84</v>
      </c>
      <c r="B19" t="s">
        <v>8</v>
      </c>
      <c r="C19">
        <v>32</v>
      </c>
      <c r="D19" t="s">
        <v>13</v>
      </c>
      <c r="E19" s="22">
        <v>44354</v>
      </c>
      <c r="F19" t="s">
        <v>12</v>
      </c>
      <c r="G19" s="5">
        <v>43840</v>
      </c>
      <c r="H19" t="s">
        <v>207</v>
      </c>
      <c r="I19" s="8">
        <f ca="1">(TODAY()-Staff[[#This Row],[Date Joined]])/365</f>
        <v>2.441095890410959</v>
      </c>
      <c r="J19">
        <f ca="1">ROUNDUP(IF(Staff[[#This Row],[Tenure]]&gt;2, 3%, 2%)*Staff[[#This Row],[Salary]],0)</f>
        <v>1316</v>
      </c>
      <c r="K19">
        <f>_xlfn.XLOOKUP(Staff[[#This Row],[Rating]], 'Salary vs Rating'!$H$6:$H$10, 'Salary vs Rating'!$I$6:$I$10)</f>
        <v>4</v>
      </c>
      <c r="M19" s="10" t="s">
        <v>1</v>
      </c>
      <c r="N19" s="10" t="str">
        <f ca="1"/>
        <v>Male</v>
      </c>
    </row>
    <row r="20" spans="1:14" x14ac:dyDescent="0.2">
      <c r="A20" t="s">
        <v>201</v>
      </c>
      <c r="B20" t="s">
        <v>8</v>
      </c>
      <c r="C20">
        <v>32</v>
      </c>
      <c r="D20" t="s">
        <v>16</v>
      </c>
      <c r="E20" s="22">
        <v>44339</v>
      </c>
      <c r="F20" t="s">
        <v>56</v>
      </c>
      <c r="G20" s="5">
        <v>45510</v>
      </c>
      <c r="H20" t="s">
        <v>205</v>
      </c>
      <c r="I20" s="8">
        <f ca="1">(TODAY()-Staff[[#This Row],[Date Joined]])/365</f>
        <v>2.4821917808219176</v>
      </c>
      <c r="J20">
        <f ca="1">ROUNDUP(IF(Staff[[#This Row],[Tenure]]&gt;2, 3%, 2%)*Staff[[#This Row],[Salary]],0)</f>
        <v>1366</v>
      </c>
      <c r="K20">
        <f>_xlfn.XLOOKUP(Staff[[#This Row],[Rating]], 'Salary vs Rating'!$H$6:$H$10, 'Salary vs Rating'!$I$6:$I$10)</f>
        <v>3</v>
      </c>
      <c r="M20" s="10" t="s">
        <v>3</v>
      </c>
      <c r="N20" s="10">
        <f ca="1"/>
        <v>42</v>
      </c>
    </row>
    <row r="21" spans="1:14" x14ac:dyDescent="0.2">
      <c r="A21" t="s">
        <v>108</v>
      </c>
      <c r="B21" t="s">
        <v>8</v>
      </c>
      <c r="C21">
        <v>32</v>
      </c>
      <c r="D21" t="s">
        <v>16</v>
      </c>
      <c r="E21" s="22">
        <v>44400</v>
      </c>
      <c r="F21" t="s">
        <v>56</v>
      </c>
      <c r="G21" s="5">
        <v>45510</v>
      </c>
      <c r="H21" t="s">
        <v>207</v>
      </c>
      <c r="I21" s="8">
        <f ca="1">(TODAY()-Staff[[#This Row],[Date Joined]])/365</f>
        <v>2.3150684931506849</v>
      </c>
      <c r="J21">
        <f ca="1">ROUNDUP(IF(Staff[[#This Row],[Tenure]]&gt;2, 3%, 2%)*Staff[[#This Row],[Salary]],0)</f>
        <v>1366</v>
      </c>
      <c r="K21">
        <f>_xlfn.XLOOKUP(Staff[[#This Row],[Rating]], 'Salary vs Rating'!$H$6:$H$10, 'Salary vs Rating'!$I$6:$I$10)</f>
        <v>3</v>
      </c>
      <c r="M21" s="10" t="s">
        <v>6</v>
      </c>
      <c r="N21" s="11" t="str">
        <f ca="1"/>
        <v>Poor</v>
      </c>
    </row>
    <row r="22" spans="1:14" x14ac:dyDescent="0.2">
      <c r="A22" t="s">
        <v>151</v>
      </c>
      <c r="B22" t="s">
        <v>15</v>
      </c>
      <c r="C22">
        <v>26</v>
      </c>
      <c r="D22" t="s">
        <v>16</v>
      </c>
      <c r="E22" s="22">
        <v>44164</v>
      </c>
      <c r="F22" t="s">
        <v>9</v>
      </c>
      <c r="G22" s="5">
        <v>47360</v>
      </c>
      <c r="H22" t="s">
        <v>205</v>
      </c>
      <c r="I22" s="8">
        <f ca="1">(TODAY()-Staff[[#This Row],[Date Joined]])/365</f>
        <v>2.9616438356164383</v>
      </c>
      <c r="J22">
        <f ca="1">ROUNDUP(IF(Staff[[#This Row],[Tenure]]&gt;2, 3%, 2%)*Staff[[#This Row],[Salary]],0)</f>
        <v>1421</v>
      </c>
      <c r="K22">
        <f>_xlfn.XLOOKUP(Staff[[#This Row],[Rating]], 'Salary vs Rating'!$H$6:$H$10, 'Salary vs Rating'!$I$6:$I$10)</f>
        <v>3</v>
      </c>
      <c r="M22" s="10" t="s">
        <v>218</v>
      </c>
      <c r="N22" s="11">
        <f ca="1"/>
        <v>44731</v>
      </c>
    </row>
    <row r="23" spans="1:14" x14ac:dyDescent="0.2">
      <c r="A23" t="s">
        <v>59</v>
      </c>
      <c r="B23" t="s">
        <v>15</v>
      </c>
      <c r="C23">
        <v>26</v>
      </c>
      <c r="D23" t="s">
        <v>16</v>
      </c>
      <c r="E23" s="22">
        <v>44225</v>
      </c>
      <c r="F23" t="s">
        <v>9</v>
      </c>
      <c r="G23" s="5">
        <v>47360</v>
      </c>
      <c r="H23" t="s">
        <v>207</v>
      </c>
      <c r="I23" s="8">
        <f ca="1">(TODAY()-Staff[[#This Row],[Date Joined]])/365</f>
        <v>2.7945205479452055</v>
      </c>
      <c r="J23">
        <f ca="1">ROUNDUP(IF(Staff[[#This Row],[Tenure]]&gt;2, 3%, 2%)*Staff[[#This Row],[Salary]],0)</f>
        <v>1421</v>
      </c>
      <c r="K23">
        <f>_xlfn.XLOOKUP(Staff[[#This Row],[Rating]], 'Salary vs Rating'!$H$6:$H$10, 'Salary vs Rating'!$I$6:$I$10)</f>
        <v>3</v>
      </c>
      <c r="M23" s="10" t="s">
        <v>2</v>
      </c>
      <c r="N23" s="14" t="str">
        <f ca="1"/>
        <v>Finance</v>
      </c>
    </row>
    <row r="24" spans="1:14" x14ac:dyDescent="0.2">
      <c r="A24" t="s">
        <v>123</v>
      </c>
      <c r="B24" t="s">
        <v>15</v>
      </c>
      <c r="C24">
        <v>28</v>
      </c>
      <c r="D24" t="s">
        <v>13</v>
      </c>
      <c r="E24" s="22">
        <v>43980</v>
      </c>
      <c r="F24" t="s">
        <v>21</v>
      </c>
      <c r="G24" s="5">
        <v>48170</v>
      </c>
      <c r="H24" t="s">
        <v>205</v>
      </c>
      <c r="I24" s="8">
        <f ca="1">(TODAY()-Staff[[#This Row],[Date Joined]])/365</f>
        <v>3.4657534246575343</v>
      </c>
      <c r="J24">
        <f ca="1">ROUNDUP(IF(Staff[[#This Row],[Tenure]]&gt;2, 3%, 2%)*Staff[[#This Row],[Salary]],0)</f>
        <v>1446</v>
      </c>
      <c r="K24">
        <f>_xlfn.XLOOKUP(Staff[[#This Row],[Rating]], 'Salary vs Rating'!$H$6:$H$10, 'Salary vs Rating'!$I$6:$I$10)</f>
        <v>4</v>
      </c>
      <c r="M24" s="10" t="s">
        <v>5</v>
      </c>
      <c r="N24" s="14">
        <f ca="1"/>
        <v>70270</v>
      </c>
    </row>
    <row r="25" spans="1:14" x14ac:dyDescent="0.2">
      <c r="A25" t="s">
        <v>29</v>
      </c>
      <c r="B25" t="s">
        <v>15</v>
      </c>
      <c r="C25">
        <v>28</v>
      </c>
      <c r="D25" t="s">
        <v>13</v>
      </c>
      <c r="E25" s="22">
        <v>44041</v>
      </c>
      <c r="F25" t="s">
        <v>21</v>
      </c>
      <c r="G25" s="5">
        <v>48170</v>
      </c>
      <c r="H25" t="s">
        <v>207</v>
      </c>
      <c r="I25" s="8">
        <f ca="1">(TODAY()-Staff[[#This Row],[Date Joined]])/365</f>
        <v>3.2986301369863016</v>
      </c>
      <c r="J25">
        <f ca="1">ROUNDUP(IF(Staff[[#This Row],[Tenure]]&gt;2, 3%, 2%)*Staff[[#This Row],[Salary]],0)</f>
        <v>1446</v>
      </c>
      <c r="K25">
        <f>_xlfn.XLOOKUP(Staff[[#This Row],[Rating]], 'Salary vs Rating'!$H$6:$H$10, 'Salary vs Rating'!$I$6:$I$10)</f>
        <v>4</v>
      </c>
      <c r="M25" s="10" t="s">
        <v>204</v>
      </c>
      <c r="N25" s="12" t="str">
        <f ca="1"/>
        <v>NZ</v>
      </c>
    </row>
    <row r="26" spans="1:14" x14ac:dyDescent="0.2">
      <c r="A26" t="s">
        <v>144</v>
      </c>
      <c r="B26" t="s">
        <v>15</v>
      </c>
      <c r="C26">
        <v>33</v>
      </c>
      <c r="D26" t="s">
        <v>13</v>
      </c>
      <c r="E26" s="22">
        <v>44640</v>
      </c>
      <c r="F26" t="s">
        <v>9</v>
      </c>
      <c r="G26" s="5">
        <v>48530</v>
      </c>
      <c r="H26" t="s">
        <v>205</v>
      </c>
      <c r="I26" s="8">
        <f ca="1">(TODAY()-Staff[[#This Row],[Date Joined]])/365</f>
        <v>1.6575342465753424</v>
      </c>
      <c r="J26">
        <f ca="1">ROUNDUP(IF(Staff[[#This Row],[Tenure]]&gt;2, 3%, 2%)*Staff[[#This Row],[Salary]],0)</f>
        <v>971</v>
      </c>
      <c r="K26">
        <f>_xlfn.XLOOKUP(Staff[[#This Row],[Rating]], 'Salary vs Rating'!$H$6:$H$10, 'Salary vs Rating'!$I$6:$I$10)</f>
        <v>4</v>
      </c>
      <c r="M26" s="10" t="s">
        <v>214</v>
      </c>
      <c r="N26" s="12">
        <f ca="1"/>
        <v>1.4082191780821918</v>
      </c>
    </row>
    <row r="27" spans="1:14" x14ac:dyDescent="0.2">
      <c r="A27" t="s">
        <v>51</v>
      </c>
      <c r="B27" t="s">
        <v>15</v>
      </c>
      <c r="C27">
        <v>33</v>
      </c>
      <c r="D27" t="s">
        <v>13</v>
      </c>
      <c r="E27" s="22">
        <v>44701</v>
      </c>
      <c r="F27" t="s">
        <v>9</v>
      </c>
      <c r="G27" s="5">
        <v>48530</v>
      </c>
      <c r="H27" t="s">
        <v>207</v>
      </c>
      <c r="I27" s="8">
        <f ca="1">(TODAY()-Staff[[#This Row],[Date Joined]])/365</f>
        <v>1.4904109589041097</v>
      </c>
      <c r="J27">
        <f ca="1">ROUNDUP(IF(Staff[[#This Row],[Tenure]]&gt;2, 3%, 2%)*Staff[[#This Row],[Salary]],0)</f>
        <v>971</v>
      </c>
      <c r="K27">
        <f>_xlfn.XLOOKUP(Staff[[#This Row],[Rating]], 'Salary vs Rating'!$H$6:$H$10, 'Salary vs Rating'!$I$6:$I$10)</f>
        <v>4</v>
      </c>
    </row>
    <row r="28" spans="1:14" x14ac:dyDescent="0.2">
      <c r="A28" t="s">
        <v>113</v>
      </c>
      <c r="B28" t="s">
        <v>15</v>
      </c>
      <c r="C28">
        <v>31</v>
      </c>
      <c r="D28" t="s">
        <v>16</v>
      </c>
      <c r="E28" s="22">
        <v>44450</v>
      </c>
      <c r="F28" t="s">
        <v>12</v>
      </c>
      <c r="G28" s="5">
        <v>48950</v>
      </c>
      <c r="H28" t="s">
        <v>205</v>
      </c>
      <c r="I28" s="8">
        <f ca="1">(TODAY()-Staff[[#This Row],[Date Joined]])/365</f>
        <v>2.1780821917808217</v>
      </c>
      <c r="J28">
        <f ca="1">ROUNDUP(IF(Staff[[#This Row],[Tenure]]&gt;2, 3%, 2%)*Staff[[#This Row],[Salary]],0)</f>
        <v>1469</v>
      </c>
      <c r="K28">
        <f>_xlfn.XLOOKUP(Staff[[#This Row],[Rating]], 'Salary vs Rating'!$H$6:$H$10, 'Salary vs Rating'!$I$6:$I$10)</f>
        <v>3</v>
      </c>
      <c r="M28" t="str">
        <f>LOOKUP(N15, Staff[Name])</f>
        <v>Kaishori Harathi Kateel</v>
      </c>
    </row>
    <row r="29" spans="1:14" x14ac:dyDescent="0.2">
      <c r="A29" t="s">
        <v>14</v>
      </c>
      <c r="B29" t="s">
        <v>15</v>
      </c>
      <c r="C29">
        <v>31</v>
      </c>
      <c r="D29" t="s">
        <v>16</v>
      </c>
      <c r="E29" s="22">
        <v>44511</v>
      </c>
      <c r="F29" t="s">
        <v>12</v>
      </c>
      <c r="G29" s="5">
        <v>48950</v>
      </c>
      <c r="H29" t="s">
        <v>207</v>
      </c>
      <c r="I29" s="8">
        <f ca="1">(TODAY()-Staff[[#This Row],[Date Joined]])/365</f>
        <v>2.010958904109589</v>
      </c>
      <c r="J29">
        <f ca="1">ROUNDUP(IF(Staff[[#This Row],[Tenure]]&gt;2, 3%, 2%)*Staff[[#This Row],[Salary]],0)</f>
        <v>1469</v>
      </c>
      <c r="K29">
        <f>_xlfn.XLOOKUP(Staff[[#This Row],[Rating]], 'Salary vs Rating'!$H$6:$H$10, 'Salary vs Rating'!$I$6:$I$10)</f>
        <v>3</v>
      </c>
    </row>
    <row r="30" spans="1:14" x14ac:dyDescent="0.2">
      <c r="A30" t="s">
        <v>146</v>
      </c>
      <c r="B30" t="s">
        <v>15</v>
      </c>
      <c r="C30">
        <v>27</v>
      </c>
      <c r="D30" t="s">
        <v>16</v>
      </c>
      <c r="E30" s="22">
        <v>44506</v>
      </c>
      <c r="F30" t="s">
        <v>21</v>
      </c>
      <c r="G30" s="5">
        <v>48980</v>
      </c>
      <c r="H30" t="s">
        <v>205</v>
      </c>
      <c r="I30" s="8">
        <f ca="1">(TODAY()-Staff[[#This Row],[Date Joined]])/365</f>
        <v>2.0246575342465754</v>
      </c>
      <c r="J30">
        <f ca="1">ROUNDUP(IF(Staff[[#This Row],[Tenure]]&gt;2, 3%, 2%)*Staff[[#This Row],[Salary]],0)</f>
        <v>1470</v>
      </c>
      <c r="K30">
        <f>_xlfn.XLOOKUP(Staff[[#This Row],[Rating]], 'Salary vs Rating'!$H$6:$H$10, 'Salary vs Rating'!$I$6:$I$10)</f>
        <v>3</v>
      </c>
    </row>
    <row r="31" spans="1:14" x14ac:dyDescent="0.2">
      <c r="A31" t="s">
        <v>53</v>
      </c>
      <c r="B31" t="s">
        <v>15</v>
      </c>
      <c r="C31">
        <v>27</v>
      </c>
      <c r="D31" t="s">
        <v>16</v>
      </c>
      <c r="E31" s="22">
        <v>44567</v>
      </c>
      <c r="F31" t="s">
        <v>21</v>
      </c>
      <c r="G31" s="5">
        <v>48980</v>
      </c>
      <c r="H31" t="s">
        <v>207</v>
      </c>
      <c r="I31" s="8">
        <f ca="1">(TODAY()-Staff[[#This Row],[Date Joined]])/365</f>
        <v>1.8575342465753424</v>
      </c>
      <c r="J31">
        <f ca="1">ROUNDUP(IF(Staff[[#This Row],[Tenure]]&gt;2, 3%, 2%)*Staff[[#This Row],[Salary]],0)</f>
        <v>980</v>
      </c>
      <c r="K31">
        <f>_xlfn.XLOOKUP(Staff[[#This Row],[Rating]], 'Salary vs Rating'!$H$6:$H$10, 'Salary vs Rating'!$I$6:$I$10)</f>
        <v>3</v>
      </c>
    </row>
    <row r="32" spans="1:14" x14ac:dyDescent="0.2">
      <c r="A32" t="s">
        <v>165</v>
      </c>
      <c r="B32" t="s">
        <v>8</v>
      </c>
      <c r="C32">
        <v>34</v>
      </c>
      <c r="D32" t="s">
        <v>24</v>
      </c>
      <c r="E32" s="22">
        <v>44660</v>
      </c>
      <c r="F32" t="s">
        <v>19</v>
      </c>
      <c r="G32" s="5">
        <v>49630</v>
      </c>
      <c r="H32" t="s">
        <v>205</v>
      </c>
      <c r="I32" s="8">
        <f ca="1">(TODAY()-Staff[[#This Row],[Date Joined]])/365</f>
        <v>1.6027397260273972</v>
      </c>
      <c r="J32">
        <f ca="1">ROUNDUP(IF(Staff[[#This Row],[Tenure]]&gt;2, 3%, 2%)*Staff[[#This Row],[Salary]],0)</f>
        <v>993</v>
      </c>
      <c r="K32">
        <f>_xlfn.XLOOKUP(Staff[[#This Row],[Rating]], 'Salary vs Rating'!$H$6:$H$10, 'Salary vs Rating'!$I$6:$I$10)</f>
        <v>2</v>
      </c>
    </row>
    <row r="33" spans="1:11" x14ac:dyDescent="0.2">
      <c r="A33" t="s">
        <v>73</v>
      </c>
      <c r="B33" t="s">
        <v>8</v>
      </c>
      <c r="C33">
        <v>34</v>
      </c>
      <c r="D33" t="s">
        <v>24</v>
      </c>
      <c r="E33" s="22">
        <v>44721</v>
      </c>
      <c r="F33" t="s">
        <v>19</v>
      </c>
      <c r="G33" s="5">
        <v>49630</v>
      </c>
      <c r="H33" t="s">
        <v>207</v>
      </c>
      <c r="I33" s="8">
        <f ca="1">(TODAY()-Staff[[#This Row],[Date Joined]])/365</f>
        <v>1.4356164383561645</v>
      </c>
      <c r="J33">
        <f ca="1">ROUNDUP(IF(Staff[[#This Row],[Tenure]]&gt;2, 3%, 2%)*Staff[[#This Row],[Salary]],0)</f>
        <v>993</v>
      </c>
      <c r="K33">
        <f>_xlfn.XLOOKUP(Staff[[#This Row],[Rating]], 'Salary vs Rating'!$H$6:$H$10, 'Salary vs Rating'!$I$6:$I$10)</f>
        <v>2</v>
      </c>
    </row>
    <row r="34" spans="1:11" x14ac:dyDescent="0.2">
      <c r="A34" t="s">
        <v>155</v>
      </c>
      <c r="B34" t="s">
        <v>15</v>
      </c>
      <c r="C34">
        <v>24</v>
      </c>
      <c r="D34" t="s">
        <v>24</v>
      </c>
      <c r="E34" s="22">
        <v>44375</v>
      </c>
      <c r="F34" t="s">
        <v>21</v>
      </c>
      <c r="G34" s="5">
        <v>52610</v>
      </c>
      <c r="H34" t="s">
        <v>205</v>
      </c>
      <c r="I34" s="8">
        <f ca="1">(TODAY()-Staff[[#This Row],[Date Joined]])/365</f>
        <v>2.3835616438356166</v>
      </c>
      <c r="J34">
        <f ca="1">ROUNDUP(IF(Staff[[#This Row],[Tenure]]&gt;2, 3%, 2%)*Staff[[#This Row],[Salary]],0)</f>
        <v>1579</v>
      </c>
      <c r="K34">
        <f>_xlfn.XLOOKUP(Staff[[#This Row],[Rating]], 'Salary vs Rating'!$H$6:$H$10, 'Salary vs Rating'!$I$6:$I$10)</f>
        <v>2</v>
      </c>
    </row>
    <row r="35" spans="1:11" x14ac:dyDescent="0.2">
      <c r="A35" t="s">
        <v>63</v>
      </c>
      <c r="B35" t="s">
        <v>15</v>
      </c>
      <c r="C35">
        <v>24</v>
      </c>
      <c r="D35" t="s">
        <v>24</v>
      </c>
      <c r="E35" s="22">
        <v>44436</v>
      </c>
      <c r="F35" t="s">
        <v>21</v>
      </c>
      <c r="G35" s="5">
        <v>52610</v>
      </c>
      <c r="H35" t="s">
        <v>207</v>
      </c>
      <c r="I35" s="8">
        <f ca="1">(TODAY()-Staff[[#This Row],[Date Joined]])/365</f>
        <v>2.2164383561643834</v>
      </c>
      <c r="J35">
        <f ca="1">ROUNDUP(IF(Staff[[#This Row],[Tenure]]&gt;2, 3%, 2%)*Staff[[#This Row],[Salary]],0)</f>
        <v>1579</v>
      </c>
      <c r="K35">
        <f>_xlfn.XLOOKUP(Staff[[#This Row],[Rating]], 'Salary vs Rating'!$H$6:$H$10, 'Salary vs Rating'!$I$6:$I$10)</f>
        <v>2</v>
      </c>
    </row>
    <row r="36" spans="1:11" x14ac:dyDescent="0.2">
      <c r="A36" t="s">
        <v>167</v>
      </c>
      <c r="B36" t="s">
        <v>8</v>
      </c>
      <c r="C36">
        <v>28</v>
      </c>
      <c r="D36" t="s">
        <v>16</v>
      </c>
      <c r="E36" s="22">
        <v>44296</v>
      </c>
      <c r="F36" t="s">
        <v>19</v>
      </c>
      <c r="G36" s="5">
        <v>53240</v>
      </c>
      <c r="H36" t="s">
        <v>205</v>
      </c>
      <c r="I36" s="8">
        <f ca="1">(TODAY()-Staff[[#This Row],[Date Joined]])/365</f>
        <v>2.6</v>
      </c>
      <c r="J36">
        <f ca="1">ROUNDUP(IF(Staff[[#This Row],[Tenure]]&gt;2, 3%, 2%)*Staff[[#This Row],[Salary]],0)</f>
        <v>1598</v>
      </c>
      <c r="K36">
        <f>_xlfn.XLOOKUP(Staff[[#This Row],[Rating]], 'Salary vs Rating'!$H$6:$H$10, 'Salary vs Rating'!$I$6:$I$10)</f>
        <v>3</v>
      </c>
    </row>
    <row r="37" spans="1:11" x14ac:dyDescent="0.2">
      <c r="A37" t="s">
        <v>75</v>
      </c>
      <c r="B37" t="s">
        <v>8</v>
      </c>
      <c r="C37">
        <v>28</v>
      </c>
      <c r="D37" t="s">
        <v>16</v>
      </c>
      <c r="E37" s="22">
        <v>44357</v>
      </c>
      <c r="F37" t="s">
        <v>19</v>
      </c>
      <c r="G37" s="5">
        <v>53240</v>
      </c>
      <c r="H37" t="s">
        <v>207</v>
      </c>
      <c r="I37" s="8">
        <f ca="1">(TODAY()-Staff[[#This Row],[Date Joined]])/365</f>
        <v>2.4328767123287673</v>
      </c>
      <c r="J37">
        <f ca="1">ROUNDUP(IF(Staff[[#This Row],[Tenure]]&gt;2, 3%, 2%)*Staff[[#This Row],[Salary]],0)</f>
        <v>1598</v>
      </c>
      <c r="K37">
        <f>_xlfn.XLOOKUP(Staff[[#This Row],[Rating]], 'Salary vs Rating'!$H$6:$H$10, 'Salary vs Rating'!$I$6:$I$10)</f>
        <v>3</v>
      </c>
    </row>
    <row r="38" spans="1:11" x14ac:dyDescent="0.2">
      <c r="A38" t="s">
        <v>157</v>
      </c>
      <c r="B38" t="s">
        <v>15</v>
      </c>
      <c r="C38">
        <v>32</v>
      </c>
      <c r="D38" t="s">
        <v>16</v>
      </c>
      <c r="E38" s="22">
        <v>44403</v>
      </c>
      <c r="F38" t="s">
        <v>19</v>
      </c>
      <c r="G38" s="5">
        <v>53540</v>
      </c>
      <c r="H38" t="s">
        <v>205</v>
      </c>
      <c r="I38" s="8">
        <f ca="1">(TODAY()-Staff[[#This Row],[Date Joined]])/365</f>
        <v>2.3068493150684932</v>
      </c>
      <c r="J38">
        <f ca="1">ROUNDUP(IF(Staff[[#This Row],[Tenure]]&gt;2, 3%, 2%)*Staff[[#This Row],[Salary]],0)</f>
        <v>1607</v>
      </c>
      <c r="K38">
        <f>_xlfn.XLOOKUP(Staff[[#This Row],[Rating]], 'Salary vs Rating'!$H$6:$H$10, 'Salary vs Rating'!$I$6:$I$10)</f>
        <v>3</v>
      </c>
    </row>
    <row r="39" spans="1:11" x14ac:dyDescent="0.2">
      <c r="A39" t="s">
        <v>139</v>
      </c>
      <c r="B39" t="s">
        <v>15</v>
      </c>
      <c r="C39">
        <v>26</v>
      </c>
      <c r="D39" t="s">
        <v>16</v>
      </c>
      <c r="E39" s="22">
        <v>44350</v>
      </c>
      <c r="F39" t="s">
        <v>9</v>
      </c>
      <c r="G39" s="5">
        <v>53540</v>
      </c>
      <c r="H39" t="s">
        <v>205</v>
      </c>
      <c r="I39" s="8">
        <f ca="1">(TODAY()-Staff[[#This Row],[Date Joined]])/365</f>
        <v>2.452054794520548</v>
      </c>
      <c r="J39">
        <f ca="1">ROUNDUP(IF(Staff[[#This Row],[Tenure]]&gt;2, 3%, 2%)*Staff[[#This Row],[Salary]],0)</f>
        <v>1607</v>
      </c>
      <c r="K39">
        <f>_xlfn.XLOOKUP(Staff[[#This Row],[Rating]], 'Salary vs Rating'!$H$6:$H$10, 'Salary vs Rating'!$I$6:$I$10)</f>
        <v>3</v>
      </c>
    </row>
    <row r="40" spans="1:11" x14ac:dyDescent="0.2">
      <c r="A40" t="s">
        <v>65</v>
      </c>
      <c r="B40" t="s">
        <v>15</v>
      </c>
      <c r="C40">
        <v>32</v>
      </c>
      <c r="D40" t="s">
        <v>16</v>
      </c>
      <c r="E40" s="22">
        <v>44465</v>
      </c>
      <c r="F40" t="s">
        <v>19</v>
      </c>
      <c r="G40" s="5">
        <v>53540</v>
      </c>
      <c r="H40" t="s">
        <v>207</v>
      </c>
      <c r="I40" s="8">
        <f ca="1">(TODAY()-Staff[[#This Row],[Date Joined]])/365</f>
        <v>2.1369863013698631</v>
      </c>
      <c r="J40">
        <f ca="1">ROUNDUP(IF(Staff[[#This Row],[Tenure]]&gt;2, 3%, 2%)*Staff[[#This Row],[Salary]],0)</f>
        <v>1607</v>
      </c>
      <c r="K40">
        <f>_xlfn.XLOOKUP(Staff[[#This Row],[Rating]], 'Salary vs Rating'!$H$6:$H$10, 'Salary vs Rating'!$I$6:$I$10)</f>
        <v>3</v>
      </c>
    </row>
    <row r="41" spans="1:11" x14ac:dyDescent="0.2">
      <c r="A41" t="s">
        <v>46</v>
      </c>
      <c r="B41" t="s">
        <v>15</v>
      </c>
      <c r="C41">
        <v>26</v>
      </c>
      <c r="D41" t="s">
        <v>16</v>
      </c>
      <c r="E41" s="22">
        <v>44411</v>
      </c>
      <c r="F41" t="s">
        <v>9</v>
      </c>
      <c r="G41" s="5">
        <v>53540</v>
      </c>
      <c r="H41" t="s">
        <v>207</v>
      </c>
      <c r="I41" s="8">
        <f ca="1">(TODAY()-Staff[[#This Row],[Date Joined]])/365</f>
        <v>2.2849315068493152</v>
      </c>
      <c r="J41">
        <f ca="1">ROUNDUP(IF(Staff[[#This Row],[Tenure]]&gt;2, 3%, 2%)*Staff[[#This Row],[Salary]],0)</f>
        <v>1607</v>
      </c>
      <c r="K41">
        <f>_xlfn.XLOOKUP(Staff[[#This Row],[Rating]], 'Salary vs Rating'!$H$6:$H$10, 'Salary vs Rating'!$I$6:$I$10)</f>
        <v>3</v>
      </c>
    </row>
    <row r="42" spans="1:11" x14ac:dyDescent="0.2">
      <c r="A42" t="s">
        <v>174</v>
      </c>
      <c r="B42" t="s">
        <v>15</v>
      </c>
      <c r="C42">
        <v>33</v>
      </c>
      <c r="D42" t="s">
        <v>16</v>
      </c>
      <c r="E42" s="22">
        <v>44448</v>
      </c>
      <c r="F42" t="s">
        <v>12</v>
      </c>
      <c r="G42" s="5">
        <v>53870</v>
      </c>
      <c r="H42" t="s">
        <v>205</v>
      </c>
      <c r="I42" s="8">
        <f ca="1">(TODAY()-Staff[[#This Row],[Date Joined]])/365</f>
        <v>2.1835616438356165</v>
      </c>
      <c r="J42">
        <f ca="1">ROUNDUP(IF(Staff[[#This Row],[Tenure]]&gt;2, 3%, 2%)*Staff[[#This Row],[Salary]],0)</f>
        <v>1617</v>
      </c>
      <c r="K42">
        <f>_xlfn.XLOOKUP(Staff[[#This Row],[Rating]], 'Salary vs Rating'!$H$6:$H$10, 'Salary vs Rating'!$I$6:$I$10)</f>
        <v>3</v>
      </c>
    </row>
    <row r="43" spans="1:11" x14ac:dyDescent="0.2">
      <c r="A43" t="s">
        <v>82</v>
      </c>
      <c r="B43" t="s">
        <v>15</v>
      </c>
      <c r="C43">
        <v>33</v>
      </c>
      <c r="D43" t="s">
        <v>16</v>
      </c>
      <c r="E43" s="22">
        <v>44509</v>
      </c>
      <c r="F43" t="s">
        <v>12</v>
      </c>
      <c r="G43" s="5">
        <v>53870</v>
      </c>
      <c r="H43" t="s">
        <v>207</v>
      </c>
      <c r="I43" s="8">
        <f ca="1">(TODAY()-Staff[[#This Row],[Date Joined]])/365</f>
        <v>2.0164383561643837</v>
      </c>
      <c r="J43">
        <f ca="1">ROUNDUP(IF(Staff[[#This Row],[Tenure]]&gt;2, 3%, 2%)*Staff[[#This Row],[Salary]],0)</f>
        <v>1617</v>
      </c>
      <c r="K43">
        <f>_xlfn.XLOOKUP(Staff[[#This Row],[Rating]], 'Salary vs Rating'!$H$6:$H$10, 'Salary vs Rating'!$I$6:$I$10)</f>
        <v>3</v>
      </c>
    </row>
    <row r="44" spans="1:11" x14ac:dyDescent="0.2">
      <c r="A44" t="s">
        <v>182</v>
      </c>
      <c r="B44" t="s">
        <v>15</v>
      </c>
      <c r="C44">
        <v>27</v>
      </c>
      <c r="D44" t="s">
        <v>16</v>
      </c>
      <c r="E44" s="22">
        <v>44073</v>
      </c>
      <c r="F44" t="s">
        <v>19</v>
      </c>
      <c r="G44" s="5">
        <v>54970</v>
      </c>
      <c r="H44" t="s">
        <v>205</v>
      </c>
      <c r="I44" s="8">
        <f ca="1">(TODAY()-Staff[[#This Row],[Date Joined]])/365</f>
        <v>3.2109589041095892</v>
      </c>
      <c r="J44">
        <f ca="1">ROUNDUP(IF(Staff[[#This Row],[Tenure]]&gt;2, 3%, 2%)*Staff[[#This Row],[Salary]],0)</f>
        <v>1650</v>
      </c>
      <c r="K44">
        <f>_xlfn.XLOOKUP(Staff[[#This Row],[Rating]], 'Salary vs Rating'!$H$6:$H$10, 'Salary vs Rating'!$I$6:$I$10)</f>
        <v>3</v>
      </c>
    </row>
    <row r="45" spans="1:11" x14ac:dyDescent="0.2">
      <c r="A45" t="s">
        <v>89</v>
      </c>
      <c r="B45" t="s">
        <v>15</v>
      </c>
      <c r="C45">
        <v>27</v>
      </c>
      <c r="D45" t="s">
        <v>16</v>
      </c>
      <c r="E45" s="22">
        <v>44134</v>
      </c>
      <c r="F45" t="s">
        <v>19</v>
      </c>
      <c r="G45" s="5">
        <v>54970</v>
      </c>
      <c r="H45" t="s">
        <v>207</v>
      </c>
      <c r="I45" s="8">
        <f ca="1">(TODAY()-Staff[[#This Row],[Date Joined]])/365</f>
        <v>3.043835616438356</v>
      </c>
      <c r="J45">
        <f ca="1">ROUNDUP(IF(Staff[[#This Row],[Tenure]]&gt;2, 3%, 2%)*Staff[[#This Row],[Salary]],0)</f>
        <v>1650</v>
      </c>
      <c r="K45">
        <f>_xlfn.XLOOKUP(Staff[[#This Row],[Rating]], 'Salary vs Rating'!$H$6:$H$10, 'Salary vs Rating'!$I$6:$I$10)</f>
        <v>3</v>
      </c>
    </row>
    <row r="46" spans="1:11" x14ac:dyDescent="0.2">
      <c r="A46" t="s">
        <v>202</v>
      </c>
      <c r="B46" t="s">
        <v>8</v>
      </c>
      <c r="C46">
        <v>38</v>
      </c>
      <c r="D46" t="s">
        <v>13</v>
      </c>
      <c r="E46" s="22">
        <v>44268</v>
      </c>
      <c r="F46" t="s">
        <v>19</v>
      </c>
      <c r="G46" s="5">
        <v>56870</v>
      </c>
      <c r="H46" t="s">
        <v>205</v>
      </c>
      <c r="I46" s="8">
        <f ca="1">(TODAY()-Staff[[#This Row],[Date Joined]])/365</f>
        <v>2.6767123287671235</v>
      </c>
      <c r="J46">
        <f ca="1">ROUNDUP(IF(Staff[[#This Row],[Tenure]]&gt;2, 3%, 2%)*Staff[[#This Row],[Salary]],0)</f>
        <v>1707</v>
      </c>
      <c r="K46">
        <f>_xlfn.XLOOKUP(Staff[[#This Row],[Rating]], 'Salary vs Rating'!$H$6:$H$10, 'Salary vs Rating'!$I$6:$I$10)</f>
        <v>4</v>
      </c>
    </row>
    <row r="47" spans="1:11" x14ac:dyDescent="0.2">
      <c r="A47" t="s">
        <v>109</v>
      </c>
      <c r="B47" t="s">
        <v>8</v>
      </c>
      <c r="C47">
        <v>38</v>
      </c>
      <c r="D47" t="s">
        <v>13</v>
      </c>
      <c r="E47" s="22">
        <v>44329</v>
      </c>
      <c r="F47" t="s">
        <v>19</v>
      </c>
      <c r="G47" s="5">
        <v>56870</v>
      </c>
      <c r="H47" t="s">
        <v>207</v>
      </c>
      <c r="I47" s="8">
        <f ca="1">(TODAY()-Staff[[#This Row],[Date Joined]])/365</f>
        <v>2.5095890410958903</v>
      </c>
      <c r="J47">
        <f ca="1">ROUNDUP(IF(Staff[[#This Row],[Tenure]]&gt;2, 3%, 2%)*Staff[[#This Row],[Salary]],0)</f>
        <v>1707</v>
      </c>
      <c r="K47">
        <f>_xlfn.XLOOKUP(Staff[[#This Row],[Rating]], 'Salary vs Rating'!$H$6:$H$10, 'Salary vs Rating'!$I$6:$I$10)</f>
        <v>4</v>
      </c>
    </row>
    <row r="48" spans="1:11" x14ac:dyDescent="0.2">
      <c r="A48" t="s">
        <v>125</v>
      </c>
      <c r="B48" t="s">
        <v>15</v>
      </c>
      <c r="C48">
        <v>21</v>
      </c>
      <c r="D48" t="s">
        <v>16</v>
      </c>
      <c r="E48" s="22">
        <v>44701</v>
      </c>
      <c r="F48" t="s">
        <v>9</v>
      </c>
      <c r="G48" s="5">
        <v>57090</v>
      </c>
      <c r="H48" t="s">
        <v>205</v>
      </c>
      <c r="I48" s="8">
        <f ca="1">(TODAY()-Staff[[#This Row],[Date Joined]])/365</f>
        <v>1.4904109589041097</v>
      </c>
      <c r="J48">
        <f ca="1">ROUNDUP(IF(Staff[[#This Row],[Tenure]]&gt;2, 3%, 2%)*Staff[[#This Row],[Salary]],0)</f>
        <v>1142</v>
      </c>
      <c r="K48">
        <f>_xlfn.XLOOKUP(Staff[[#This Row],[Rating]], 'Salary vs Rating'!$H$6:$H$10, 'Salary vs Rating'!$I$6:$I$10)</f>
        <v>3</v>
      </c>
    </row>
    <row r="49" spans="1:11" x14ac:dyDescent="0.2">
      <c r="A49" t="s">
        <v>31</v>
      </c>
      <c r="B49" t="s">
        <v>15</v>
      </c>
      <c r="C49">
        <v>21</v>
      </c>
      <c r="D49" t="s">
        <v>16</v>
      </c>
      <c r="E49" s="22">
        <v>44762</v>
      </c>
      <c r="F49" t="s">
        <v>9</v>
      </c>
      <c r="G49" s="5">
        <v>57090</v>
      </c>
      <c r="H49" t="s">
        <v>207</v>
      </c>
      <c r="I49" s="8">
        <f ca="1">(TODAY()-Staff[[#This Row],[Date Joined]])/365</f>
        <v>1.3232876712328767</v>
      </c>
      <c r="J49">
        <f ca="1">ROUNDUP(IF(Staff[[#This Row],[Tenure]]&gt;2, 3%, 2%)*Staff[[#This Row],[Salary]],0)</f>
        <v>1142</v>
      </c>
      <c r="K49">
        <f>_xlfn.XLOOKUP(Staff[[#This Row],[Rating]], 'Salary vs Rating'!$H$6:$H$10, 'Salary vs Rating'!$I$6:$I$10)</f>
        <v>3</v>
      </c>
    </row>
    <row r="50" spans="1:11" x14ac:dyDescent="0.2">
      <c r="A50" t="s">
        <v>120</v>
      </c>
      <c r="B50" t="s">
        <v>8</v>
      </c>
      <c r="C50">
        <v>31</v>
      </c>
      <c r="D50" t="s">
        <v>16</v>
      </c>
      <c r="E50" s="22">
        <v>44604</v>
      </c>
      <c r="F50" t="s">
        <v>12</v>
      </c>
      <c r="G50" s="5">
        <v>58100</v>
      </c>
      <c r="H50" t="s">
        <v>205</v>
      </c>
      <c r="I50" s="8">
        <f ca="1">(TODAY()-Staff[[#This Row],[Date Joined]])/365</f>
        <v>1.7561643835616438</v>
      </c>
      <c r="J50">
        <f ca="1">ROUNDUP(IF(Staff[[#This Row],[Tenure]]&gt;2, 3%, 2%)*Staff[[#This Row],[Salary]],0)</f>
        <v>1162</v>
      </c>
      <c r="K50">
        <f>_xlfn.XLOOKUP(Staff[[#This Row],[Rating]], 'Salary vs Rating'!$H$6:$H$10, 'Salary vs Rating'!$I$6:$I$10)</f>
        <v>3</v>
      </c>
    </row>
    <row r="51" spans="1:11" x14ac:dyDescent="0.2">
      <c r="A51" t="s">
        <v>26</v>
      </c>
      <c r="B51" t="s">
        <v>8</v>
      </c>
      <c r="C51">
        <v>31</v>
      </c>
      <c r="D51" t="s">
        <v>16</v>
      </c>
      <c r="E51" s="22">
        <v>44663</v>
      </c>
      <c r="F51" t="s">
        <v>12</v>
      </c>
      <c r="G51" s="5">
        <v>58100</v>
      </c>
      <c r="H51" t="s">
        <v>207</v>
      </c>
      <c r="I51" s="8">
        <f ca="1">(TODAY()-Staff[[#This Row],[Date Joined]])/365</f>
        <v>1.5945205479452054</v>
      </c>
      <c r="J51">
        <f ca="1">ROUNDUP(IF(Staff[[#This Row],[Tenure]]&gt;2, 3%, 2%)*Staff[[#This Row],[Salary]],0)</f>
        <v>1162</v>
      </c>
      <c r="K51">
        <f>_xlfn.XLOOKUP(Staff[[#This Row],[Rating]], 'Salary vs Rating'!$H$6:$H$10, 'Salary vs Rating'!$I$6:$I$10)</f>
        <v>3</v>
      </c>
    </row>
    <row r="52" spans="1:11" x14ac:dyDescent="0.2">
      <c r="A52" t="s">
        <v>130</v>
      </c>
      <c r="B52" t="s">
        <v>8</v>
      </c>
      <c r="C52">
        <v>34</v>
      </c>
      <c r="D52" t="s">
        <v>16</v>
      </c>
      <c r="E52" s="22">
        <v>44594</v>
      </c>
      <c r="F52" t="s">
        <v>21</v>
      </c>
      <c r="G52" s="5">
        <v>58940</v>
      </c>
      <c r="H52" t="s">
        <v>205</v>
      </c>
      <c r="I52" s="8">
        <f ca="1">(TODAY()-Staff[[#This Row],[Date Joined]])/365</f>
        <v>1.7835616438356163</v>
      </c>
      <c r="J52">
        <f ca="1">ROUNDUP(IF(Staff[[#This Row],[Tenure]]&gt;2, 3%, 2%)*Staff[[#This Row],[Salary]],0)</f>
        <v>1179</v>
      </c>
      <c r="K52">
        <f>_xlfn.XLOOKUP(Staff[[#This Row],[Rating]], 'Salary vs Rating'!$H$6:$H$10, 'Salary vs Rating'!$I$6:$I$10)</f>
        <v>3</v>
      </c>
    </row>
    <row r="53" spans="1:11" x14ac:dyDescent="0.2">
      <c r="A53" t="s">
        <v>36</v>
      </c>
      <c r="B53" t="s">
        <v>8</v>
      </c>
      <c r="C53">
        <v>34</v>
      </c>
      <c r="D53" t="s">
        <v>16</v>
      </c>
      <c r="E53" s="22">
        <v>44653</v>
      </c>
      <c r="F53" t="s">
        <v>21</v>
      </c>
      <c r="G53" s="5">
        <v>58940</v>
      </c>
      <c r="H53" t="s">
        <v>207</v>
      </c>
      <c r="I53" s="8">
        <f ca="1">(TODAY()-Staff[[#This Row],[Date Joined]])/365</f>
        <v>1.6219178082191781</v>
      </c>
      <c r="J53">
        <f ca="1">ROUNDUP(IF(Staff[[#This Row],[Tenure]]&gt;2, 3%, 2%)*Staff[[#This Row],[Salary]],0)</f>
        <v>1179</v>
      </c>
      <c r="K53">
        <f>_xlfn.XLOOKUP(Staff[[#This Row],[Rating]], 'Salary vs Rating'!$H$6:$H$10, 'Salary vs Rating'!$I$6:$I$10)</f>
        <v>3</v>
      </c>
    </row>
    <row r="54" spans="1:11" x14ac:dyDescent="0.2">
      <c r="A54" t="s">
        <v>193</v>
      </c>
      <c r="B54" t="s">
        <v>15</v>
      </c>
      <c r="C54">
        <v>19</v>
      </c>
      <c r="D54" t="s">
        <v>16</v>
      </c>
      <c r="E54" s="22">
        <v>44218</v>
      </c>
      <c r="F54" t="s">
        <v>9</v>
      </c>
      <c r="G54" s="5">
        <v>58960</v>
      </c>
      <c r="H54" t="s">
        <v>205</v>
      </c>
      <c r="I54" s="8">
        <f ca="1">(TODAY()-Staff[[#This Row],[Date Joined]])/365</f>
        <v>2.8136986301369862</v>
      </c>
      <c r="J54">
        <f ca="1">ROUNDUP(IF(Staff[[#This Row],[Tenure]]&gt;2, 3%, 2%)*Staff[[#This Row],[Salary]],0)</f>
        <v>1769</v>
      </c>
      <c r="K54">
        <f>_xlfn.XLOOKUP(Staff[[#This Row],[Rating]], 'Salary vs Rating'!$H$6:$H$10, 'Salary vs Rating'!$I$6:$I$10)</f>
        <v>3</v>
      </c>
    </row>
    <row r="55" spans="1:11" x14ac:dyDescent="0.2">
      <c r="A55" t="s">
        <v>100</v>
      </c>
      <c r="B55" t="s">
        <v>15</v>
      </c>
      <c r="C55">
        <v>19</v>
      </c>
      <c r="D55" t="s">
        <v>16</v>
      </c>
      <c r="E55" s="22">
        <v>44277</v>
      </c>
      <c r="F55" t="s">
        <v>9</v>
      </c>
      <c r="G55" s="5">
        <v>58960</v>
      </c>
      <c r="H55" t="s">
        <v>207</v>
      </c>
      <c r="I55" s="8">
        <f ca="1">(TODAY()-Staff[[#This Row],[Date Joined]])/365</f>
        <v>2.6520547945205482</v>
      </c>
      <c r="J55">
        <f ca="1">ROUNDUP(IF(Staff[[#This Row],[Tenure]]&gt;2, 3%, 2%)*Staff[[#This Row],[Salary]],0)</f>
        <v>1769</v>
      </c>
      <c r="K55">
        <f>_xlfn.XLOOKUP(Staff[[#This Row],[Rating]], 'Salary vs Rating'!$H$6:$H$10, 'Salary vs Rating'!$I$6:$I$10)</f>
        <v>3</v>
      </c>
    </row>
    <row r="56" spans="1:11" x14ac:dyDescent="0.2">
      <c r="A56" t="s">
        <v>171</v>
      </c>
      <c r="B56" t="s">
        <v>15</v>
      </c>
      <c r="C56">
        <v>33</v>
      </c>
      <c r="D56" t="s">
        <v>16</v>
      </c>
      <c r="E56" s="22">
        <v>44181</v>
      </c>
      <c r="F56" t="s">
        <v>21</v>
      </c>
      <c r="G56" s="5">
        <v>59430</v>
      </c>
      <c r="H56" t="s">
        <v>205</v>
      </c>
      <c r="I56" s="8">
        <f ca="1">(TODAY()-Staff[[#This Row],[Date Joined]])/365</f>
        <v>2.9150684931506849</v>
      </c>
      <c r="J56">
        <f ca="1">ROUNDUP(IF(Staff[[#This Row],[Tenure]]&gt;2, 3%, 2%)*Staff[[#This Row],[Salary]],0)</f>
        <v>1783</v>
      </c>
      <c r="K56">
        <f>_xlfn.XLOOKUP(Staff[[#This Row],[Rating]], 'Salary vs Rating'!$H$6:$H$10, 'Salary vs Rating'!$I$6:$I$10)</f>
        <v>3</v>
      </c>
    </row>
    <row r="57" spans="1:11" x14ac:dyDescent="0.2">
      <c r="A57" t="s">
        <v>79</v>
      </c>
      <c r="B57" t="s">
        <v>15</v>
      </c>
      <c r="C57">
        <v>33</v>
      </c>
      <c r="D57" t="s">
        <v>16</v>
      </c>
      <c r="E57" s="22">
        <v>44243</v>
      </c>
      <c r="F57" t="s">
        <v>21</v>
      </c>
      <c r="G57" s="5">
        <v>59430</v>
      </c>
      <c r="H57" t="s">
        <v>207</v>
      </c>
      <c r="I57" s="8">
        <f ca="1">(TODAY()-Staff[[#This Row],[Date Joined]])/365</f>
        <v>2.7452054794520548</v>
      </c>
      <c r="J57">
        <f ca="1">ROUNDUP(IF(Staff[[#This Row],[Tenure]]&gt;2, 3%, 2%)*Staff[[#This Row],[Salary]],0)</f>
        <v>1783</v>
      </c>
      <c r="K57">
        <f>_xlfn.XLOOKUP(Staff[[#This Row],[Rating]], 'Salary vs Rating'!$H$6:$H$10, 'Salary vs Rating'!$I$6:$I$10)</f>
        <v>3</v>
      </c>
    </row>
    <row r="58" spans="1:11" x14ac:dyDescent="0.2">
      <c r="A58" t="s">
        <v>132</v>
      </c>
      <c r="B58" t="s">
        <v>8</v>
      </c>
      <c r="C58">
        <v>34</v>
      </c>
      <c r="D58" t="s">
        <v>16</v>
      </c>
      <c r="E58" s="22">
        <v>44550</v>
      </c>
      <c r="F58" t="s">
        <v>21</v>
      </c>
      <c r="G58" s="5">
        <v>60130</v>
      </c>
      <c r="H58" t="s">
        <v>205</v>
      </c>
      <c r="I58" s="8">
        <f ca="1">(TODAY()-Staff[[#This Row],[Date Joined]])/365</f>
        <v>1.904109589041096</v>
      </c>
      <c r="J58">
        <f ca="1">ROUNDUP(IF(Staff[[#This Row],[Tenure]]&gt;2, 3%, 2%)*Staff[[#This Row],[Salary]],0)</f>
        <v>1203</v>
      </c>
      <c r="K58">
        <f>_xlfn.XLOOKUP(Staff[[#This Row],[Rating]], 'Salary vs Rating'!$H$6:$H$10, 'Salary vs Rating'!$I$6:$I$10)</f>
        <v>3</v>
      </c>
    </row>
    <row r="59" spans="1:11" x14ac:dyDescent="0.2">
      <c r="A59" t="s">
        <v>38</v>
      </c>
      <c r="B59" t="s">
        <v>8</v>
      </c>
      <c r="C59">
        <v>34</v>
      </c>
      <c r="D59" t="s">
        <v>16</v>
      </c>
      <c r="E59" s="22">
        <v>44612</v>
      </c>
      <c r="F59" t="s">
        <v>21</v>
      </c>
      <c r="G59" s="5">
        <v>60130</v>
      </c>
      <c r="H59" t="s">
        <v>207</v>
      </c>
      <c r="I59" s="8">
        <f ca="1">(TODAY()-Staff[[#This Row],[Date Joined]])/365</f>
        <v>1.7342465753424658</v>
      </c>
      <c r="J59">
        <f ca="1">ROUNDUP(IF(Staff[[#This Row],[Tenure]]&gt;2, 3%, 2%)*Staff[[#This Row],[Salary]],0)</f>
        <v>1203</v>
      </c>
      <c r="K59">
        <f>_xlfn.XLOOKUP(Staff[[#This Row],[Rating]], 'Salary vs Rating'!$H$6:$H$10, 'Salary vs Rating'!$I$6:$I$10)</f>
        <v>3</v>
      </c>
    </row>
    <row r="60" spans="1:11" x14ac:dyDescent="0.2">
      <c r="A60" t="s">
        <v>131</v>
      </c>
      <c r="B60" t="s">
        <v>15</v>
      </c>
      <c r="C60">
        <v>30</v>
      </c>
      <c r="D60" t="s">
        <v>16</v>
      </c>
      <c r="E60" s="22">
        <v>44607</v>
      </c>
      <c r="F60" t="s">
        <v>9</v>
      </c>
      <c r="G60" s="5">
        <v>60570</v>
      </c>
      <c r="H60" t="s">
        <v>205</v>
      </c>
      <c r="I60" s="8">
        <f ca="1">(TODAY()-Staff[[#This Row],[Date Joined]])/365</f>
        <v>1.747945205479452</v>
      </c>
      <c r="J60">
        <f ca="1">ROUNDUP(IF(Staff[[#This Row],[Tenure]]&gt;2, 3%, 2%)*Staff[[#This Row],[Salary]],0)</f>
        <v>1212</v>
      </c>
      <c r="K60">
        <f>_xlfn.XLOOKUP(Staff[[#This Row],[Rating]], 'Salary vs Rating'!$H$6:$H$10, 'Salary vs Rating'!$I$6:$I$10)</f>
        <v>3</v>
      </c>
    </row>
    <row r="61" spans="1:11" x14ac:dyDescent="0.2">
      <c r="A61" t="s">
        <v>37</v>
      </c>
      <c r="B61" t="s">
        <v>15</v>
      </c>
      <c r="C61">
        <v>30</v>
      </c>
      <c r="D61" t="s">
        <v>16</v>
      </c>
      <c r="E61" s="22">
        <v>44666</v>
      </c>
      <c r="F61" t="s">
        <v>9</v>
      </c>
      <c r="G61" s="5">
        <v>60570</v>
      </c>
      <c r="H61" t="s">
        <v>207</v>
      </c>
      <c r="I61" s="8">
        <f ca="1">(TODAY()-Staff[[#This Row],[Date Joined]])/365</f>
        <v>1.5863013698630137</v>
      </c>
      <c r="J61">
        <f ca="1">ROUNDUP(IF(Staff[[#This Row],[Tenure]]&gt;2, 3%, 2%)*Staff[[#This Row],[Salary]],0)</f>
        <v>1212</v>
      </c>
      <c r="K61">
        <f>_xlfn.XLOOKUP(Staff[[#This Row],[Rating]], 'Salary vs Rating'!$H$6:$H$10, 'Salary vs Rating'!$I$6:$I$10)</f>
        <v>3</v>
      </c>
    </row>
    <row r="62" spans="1:11" x14ac:dyDescent="0.2">
      <c r="A62" t="s">
        <v>153</v>
      </c>
      <c r="B62" t="s">
        <v>8</v>
      </c>
      <c r="C62">
        <v>24</v>
      </c>
      <c r="D62" t="s">
        <v>16</v>
      </c>
      <c r="E62" s="22">
        <v>44087</v>
      </c>
      <c r="F62" t="s">
        <v>12</v>
      </c>
      <c r="G62" s="5">
        <v>62780</v>
      </c>
      <c r="H62" t="s">
        <v>205</v>
      </c>
      <c r="I62" s="8">
        <f ca="1">(TODAY()-Staff[[#This Row],[Date Joined]])/365</f>
        <v>3.1726027397260275</v>
      </c>
      <c r="J62">
        <f ca="1">ROUNDUP(IF(Staff[[#This Row],[Tenure]]&gt;2, 3%, 2%)*Staff[[#This Row],[Salary]],0)</f>
        <v>1884</v>
      </c>
      <c r="K62">
        <f>_xlfn.XLOOKUP(Staff[[#This Row],[Rating]], 'Salary vs Rating'!$H$6:$H$10, 'Salary vs Rating'!$I$6:$I$10)</f>
        <v>3</v>
      </c>
    </row>
    <row r="63" spans="1:11" x14ac:dyDescent="0.2">
      <c r="A63" t="s">
        <v>61</v>
      </c>
      <c r="B63" t="s">
        <v>8</v>
      </c>
      <c r="C63">
        <v>24</v>
      </c>
      <c r="D63" t="s">
        <v>16</v>
      </c>
      <c r="E63" s="22">
        <v>44148</v>
      </c>
      <c r="F63" t="s">
        <v>12</v>
      </c>
      <c r="G63" s="5">
        <v>62780</v>
      </c>
      <c r="H63" t="s">
        <v>207</v>
      </c>
      <c r="I63" s="8">
        <f ca="1">(TODAY()-Staff[[#This Row],[Date Joined]])/365</f>
        <v>3.0054794520547947</v>
      </c>
      <c r="J63">
        <f ca="1">ROUNDUP(IF(Staff[[#This Row],[Tenure]]&gt;2, 3%, 2%)*Staff[[#This Row],[Salary]],0)</f>
        <v>1884</v>
      </c>
      <c r="K63">
        <f>_xlfn.XLOOKUP(Staff[[#This Row],[Rating]], 'Salary vs Rating'!$H$6:$H$10, 'Salary vs Rating'!$I$6:$I$10)</f>
        <v>3</v>
      </c>
    </row>
    <row r="64" spans="1:11" x14ac:dyDescent="0.2">
      <c r="A64" t="s">
        <v>116</v>
      </c>
      <c r="B64" t="s">
        <v>206</v>
      </c>
      <c r="C64">
        <v>30</v>
      </c>
      <c r="D64" t="s">
        <v>16</v>
      </c>
      <c r="E64" s="22">
        <v>44535</v>
      </c>
      <c r="F64" t="s">
        <v>21</v>
      </c>
      <c r="G64" s="5">
        <v>64000</v>
      </c>
      <c r="H64" t="s">
        <v>205</v>
      </c>
      <c r="I64" s="8">
        <f ca="1">(TODAY()-Staff[[#This Row],[Date Joined]])/365</f>
        <v>1.9452054794520548</v>
      </c>
      <c r="J64">
        <f ca="1">ROUNDUP(IF(Staff[[#This Row],[Tenure]]&gt;2, 3%, 2%)*Staff[[#This Row],[Salary]],0)</f>
        <v>1280</v>
      </c>
      <c r="K64">
        <f>_xlfn.XLOOKUP(Staff[[#This Row],[Rating]], 'Salary vs Rating'!$H$6:$H$10, 'Salary vs Rating'!$I$6:$I$10)</f>
        <v>3</v>
      </c>
    </row>
    <row r="65" spans="1:11" x14ac:dyDescent="0.2">
      <c r="A65" t="s">
        <v>20</v>
      </c>
      <c r="B65" t="s">
        <v>206</v>
      </c>
      <c r="C65">
        <v>30</v>
      </c>
      <c r="D65" t="s">
        <v>16</v>
      </c>
      <c r="E65" s="22">
        <v>44597</v>
      </c>
      <c r="F65" t="s">
        <v>21</v>
      </c>
      <c r="G65" s="5">
        <v>64000</v>
      </c>
      <c r="H65" t="s">
        <v>207</v>
      </c>
      <c r="I65" s="8">
        <f ca="1">(TODAY()-Staff[[#This Row],[Date Joined]])/365</f>
        <v>1.7753424657534247</v>
      </c>
      <c r="J65">
        <f ca="1">ROUNDUP(IF(Staff[[#This Row],[Tenure]]&gt;2, 3%, 2%)*Staff[[#This Row],[Salary]],0)</f>
        <v>1280</v>
      </c>
      <c r="K65">
        <f>_xlfn.XLOOKUP(Staff[[#This Row],[Rating]], 'Salary vs Rating'!$H$6:$H$10, 'Salary vs Rating'!$I$6:$I$10)</f>
        <v>3</v>
      </c>
    </row>
    <row r="66" spans="1:11" x14ac:dyDescent="0.2">
      <c r="A66" t="s">
        <v>186</v>
      </c>
      <c r="B66" t="s">
        <v>8</v>
      </c>
      <c r="C66">
        <v>33</v>
      </c>
      <c r="D66" t="s">
        <v>16</v>
      </c>
      <c r="E66" s="22">
        <v>44006</v>
      </c>
      <c r="F66" t="s">
        <v>21</v>
      </c>
      <c r="G66" s="5">
        <v>65360</v>
      </c>
      <c r="H66" t="s">
        <v>205</v>
      </c>
      <c r="I66" s="8">
        <f ca="1">(TODAY()-Staff[[#This Row],[Date Joined]])/365</f>
        <v>3.3945205479452056</v>
      </c>
      <c r="J66">
        <f ca="1">ROUNDUP(IF(Staff[[#This Row],[Tenure]]&gt;2, 3%, 2%)*Staff[[#This Row],[Salary]],0)</f>
        <v>1961</v>
      </c>
      <c r="K66">
        <f>_xlfn.XLOOKUP(Staff[[#This Row],[Rating]], 'Salary vs Rating'!$H$6:$H$10, 'Salary vs Rating'!$I$6:$I$10)</f>
        <v>3</v>
      </c>
    </row>
    <row r="67" spans="1:11" x14ac:dyDescent="0.2">
      <c r="A67" t="s">
        <v>93</v>
      </c>
      <c r="B67" t="s">
        <v>8</v>
      </c>
      <c r="C67">
        <v>33</v>
      </c>
      <c r="D67" t="s">
        <v>16</v>
      </c>
      <c r="E67" s="22">
        <v>44067</v>
      </c>
      <c r="F67" t="s">
        <v>21</v>
      </c>
      <c r="G67" s="5">
        <v>65360</v>
      </c>
      <c r="H67" t="s">
        <v>207</v>
      </c>
      <c r="I67" s="8">
        <f ca="1">(TODAY()-Staff[[#This Row],[Date Joined]])/365</f>
        <v>3.2273972602739724</v>
      </c>
      <c r="J67">
        <f ca="1">ROUNDUP(IF(Staff[[#This Row],[Tenure]]&gt;2, 3%, 2%)*Staff[[#This Row],[Salary]],0)</f>
        <v>1961</v>
      </c>
      <c r="K67">
        <f>_xlfn.XLOOKUP(Staff[[#This Row],[Rating]], 'Salary vs Rating'!$H$6:$H$10, 'Salary vs Rating'!$I$6:$I$10)</f>
        <v>3</v>
      </c>
    </row>
    <row r="68" spans="1:11" x14ac:dyDescent="0.2">
      <c r="A68" t="s">
        <v>168</v>
      </c>
      <c r="B68" t="s">
        <v>15</v>
      </c>
      <c r="C68">
        <v>25</v>
      </c>
      <c r="D68" t="s">
        <v>16</v>
      </c>
      <c r="E68" s="22">
        <v>44322</v>
      </c>
      <c r="F68" t="s">
        <v>19</v>
      </c>
      <c r="G68" s="5">
        <v>65700</v>
      </c>
      <c r="H68" t="s">
        <v>205</v>
      </c>
      <c r="I68" s="8">
        <f ca="1">(TODAY()-Staff[[#This Row],[Date Joined]])/365</f>
        <v>2.5287671232876714</v>
      </c>
      <c r="J68">
        <f ca="1">ROUNDUP(IF(Staff[[#This Row],[Tenure]]&gt;2, 3%, 2%)*Staff[[#This Row],[Salary]],0)</f>
        <v>1971</v>
      </c>
      <c r="K68">
        <f>_xlfn.XLOOKUP(Staff[[#This Row],[Rating]], 'Salary vs Rating'!$H$6:$H$10, 'Salary vs Rating'!$I$6:$I$10)</f>
        <v>3</v>
      </c>
    </row>
    <row r="69" spans="1:11" x14ac:dyDescent="0.2">
      <c r="A69" t="s">
        <v>76</v>
      </c>
      <c r="B69" t="s">
        <v>15</v>
      </c>
      <c r="C69">
        <v>25</v>
      </c>
      <c r="D69" t="s">
        <v>16</v>
      </c>
      <c r="E69" s="22">
        <v>44383</v>
      </c>
      <c r="F69" t="s">
        <v>19</v>
      </c>
      <c r="G69" s="5">
        <v>65700</v>
      </c>
      <c r="H69" t="s">
        <v>207</v>
      </c>
      <c r="I69" s="8">
        <f ca="1">(TODAY()-Staff[[#This Row],[Date Joined]])/365</f>
        <v>2.3616438356164382</v>
      </c>
      <c r="J69">
        <f ca="1">ROUNDUP(IF(Staff[[#This Row],[Tenure]]&gt;2, 3%, 2%)*Staff[[#This Row],[Salary]],0)</f>
        <v>1971</v>
      </c>
      <c r="K69">
        <f>_xlfn.XLOOKUP(Staff[[#This Row],[Rating]], 'Salary vs Rating'!$H$6:$H$10, 'Salary vs Rating'!$I$6:$I$10)</f>
        <v>3</v>
      </c>
    </row>
    <row r="70" spans="1:11" x14ac:dyDescent="0.2">
      <c r="A70" t="s">
        <v>126</v>
      </c>
      <c r="B70" t="s">
        <v>8</v>
      </c>
      <c r="C70">
        <v>21</v>
      </c>
      <c r="D70" t="s">
        <v>16</v>
      </c>
      <c r="E70" s="22">
        <v>44256</v>
      </c>
      <c r="F70" t="s">
        <v>21</v>
      </c>
      <c r="G70" s="5">
        <v>65920</v>
      </c>
      <c r="H70" t="s">
        <v>205</v>
      </c>
      <c r="I70" s="8">
        <f ca="1">(TODAY()-Staff[[#This Row],[Date Joined]])/365</f>
        <v>2.7095890410958905</v>
      </c>
      <c r="J70">
        <f ca="1">ROUNDUP(IF(Staff[[#This Row],[Tenure]]&gt;2, 3%, 2%)*Staff[[#This Row],[Salary]],0)</f>
        <v>1978</v>
      </c>
      <c r="K70">
        <f>_xlfn.XLOOKUP(Staff[[#This Row],[Rating]], 'Salary vs Rating'!$H$6:$H$10, 'Salary vs Rating'!$I$6:$I$10)</f>
        <v>3</v>
      </c>
    </row>
    <row r="71" spans="1:11" x14ac:dyDescent="0.2">
      <c r="A71" t="s">
        <v>32</v>
      </c>
      <c r="B71" t="s">
        <v>8</v>
      </c>
      <c r="C71">
        <v>21</v>
      </c>
      <c r="D71" t="s">
        <v>16</v>
      </c>
      <c r="E71" s="22">
        <v>44317</v>
      </c>
      <c r="F71" t="s">
        <v>21</v>
      </c>
      <c r="G71" s="5">
        <v>65920</v>
      </c>
      <c r="H71" t="s">
        <v>207</v>
      </c>
      <c r="I71" s="8">
        <f ca="1">(TODAY()-Staff[[#This Row],[Date Joined]])/365</f>
        <v>2.5424657534246577</v>
      </c>
      <c r="J71">
        <f ca="1">ROUNDUP(IF(Staff[[#This Row],[Tenure]]&gt;2, 3%, 2%)*Staff[[#This Row],[Salary]],0)</f>
        <v>1978</v>
      </c>
      <c r="K71">
        <f>_xlfn.XLOOKUP(Staff[[#This Row],[Rating]], 'Salary vs Rating'!$H$6:$H$10, 'Salary vs Rating'!$I$6:$I$10)</f>
        <v>3</v>
      </c>
    </row>
    <row r="72" spans="1:11" x14ac:dyDescent="0.2">
      <c r="A72" t="s">
        <v>121</v>
      </c>
      <c r="B72" t="s">
        <v>8</v>
      </c>
      <c r="C72">
        <v>30</v>
      </c>
      <c r="D72" t="s">
        <v>24</v>
      </c>
      <c r="E72" s="22">
        <v>44328</v>
      </c>
      <c r="F72" t="s">
        <v>21</v>
      </c>
      <c r="G72" s="5">
        <v>67910</v>
      </c>
      <c r="H72" t="s">
        <v>205</v>
      </c>
      <c r="I72" s="8">
        <f ca="1">(TODAY()-Staff[[#This Row],[Date Joined]])/365</f>
        <v>2.5123287671232877</v>
      </c>
      <c r="J72">
        <f ca="1">ROUNDUP(IF(Staff[[#This Row],[Tenure]]&gt;2, 3%, 2%)*Staff[[#This Row],[Salary]],0)</f>
        <v>2038</v>
      </c>
      <c r="K72">
        <f>_xlfn.XLOOKUP(Staff[[#This Row],[Rating]], 'Salary vs Rating'!$H$6:$H$10, 'Salary vs Rating'!$I$6:$I$10)</f>
        <v>2</v>
      </c>
    </row>
    <row r="73" spans="1:11" x14ac:dyDescent="0.2">
      <c r="A73" t="s">
        <v>27</v>
      </c>
      <c r="B73" t="s">
        <v>8</v>
      </c>
      <c r="C73">
        <v>30</v>
      </c>
      <c r="D73" t="s">
        <v>24</v>
      </c>
      <c r="E73" s="22">
        <v>44389</v>
      </c>
      <c r="F73" t="s">
        <v>21</v>
      </c>
      <c r="G73" s="5">
        <v>67910</v>
      </c>
      <c r="H73" t="s">
        <v>207</v>
      </c>
      <c r="I73" s="8">
        <f ca="1">(TODAY()-Staff[[#This Row],[Date Joined]])/365</f>
        <v>2.3452054794520549</v>
      </c>
      <c r="J73">
        <f ca="1">ROUNDUP(IF(Staff[[#This Row],[Tenure]]&gt;2, 3%, 2%)*Staff[[#This Row],[Salary]],0)</f>
        <v>2038</v>
      </c>
      <c r="K73">
        <f>_xlfn.XLOOKUP(Staff[[#This Row],[Rating]], 'Salary vs Rating'!$H$6:$H$10, 'Salary vs Rating'!$I$6:$I$10)</f>
        <v>2</v>
      </c>
    </row>
    <row r="74" spans="1:11" x14ac:dyDescent="0.2">
      <c r="A74" t="s">
        <v>138</v>
      </c>
      <c r="B74" t="s">
        <v>15</v>
      </c>
      <c r="C74">
        <v>30</v>
      </c>
      <c r="D74" t="s">
        <v>16</v>
      </c>
      <c r="E74" s="22">
        <v>44640</v>
      </c>
      <c r="F74" t="s">
        <v>9</v>
      </c>
      <c r="G74" s="5">
        <v>67950</v>
      </c>
      <c r="H74" t="s">
        <v>205</v>
      </c>
      <c r="I74" s="8">
        <f ca="1">(TODAY()-Staff[[#This Row],[Date Joined]])/365</f>
        <v>1.6575342465753424</v>
      </c>
      <c r="J74">
        <f ca="1">ROUNDUP(IF(Staff[[#This Row],[Tenure]]&gt;2, 3%, 2%)*Staff[[#This Row],[Salary]],0)</f>
        <v>1359</v>
      </c>
      <c r="K74">
        <f>_xlfn.XLOOKUP(Staff[[#This Row],[Rating]], 'Salary vs Rating'!$H$6:$H$10, 'Salary vs Rating'!$I$6:$I$10)</f>
        <v>3</v>
      </c>
    </row>
    <row r="75" spans="1:11" x14ac:dyDescent="0.2">
      <c r="A75" t="s">
        <v>45</v>
      </c>
      <c r="B75" t="s">
        <v>15</v>
      </c>
      <c r="C75">
        <v>30</v>
      </c>
      <c r="D75" t="s">
        <v>16</v>
      </c>
      <c r="E75" s="22">
        <v>44701</v>
      </c>
      <c r="F75" t="s">
        <v>9</v>
      </c>
      <c r="G75" s="5">
        <v>67950</v>
      </c>
      <c r="H75" t="s">
        <v>207</v>
      </c>
      <c r="I75" s="8">
        <f ca="1">(TODAY()-Staff[[#This Row],[Date Joined]])/365</f>
        <v>1.4904109589041097</v>
      </c>
      <c r="J75">
        <f ca="1">ROUNDUP(IF(Staff[[#This Row],[Tenure]]&gt;2, 3%, 2%)*Staff[[#This Row],[Salary]],0)</f>
        <v>1359</v>
      </c>
      <c r="K75">
        <f>_xlfn.XLOOKUP(Staff[[#This Row],[Rating]], 'Salary vs Rating'!$H$6:$H$10, 'Salary vs Rating'!$I$6:$I$10)</f>
        <v>3</v>
      </c>
    </row>
    <row r="76" spans="1:11" x14ac:dyDescent="0.2">
      <c r="A76" t="s">
        <v>184</v>
      </c>
      <c r="B76" t="s">
        <v>8</v>
      </c>
      <c r="C76">
        <v>20</v>
      </c>
      <c r="D76" t="s">
        <v>24</v>
      </c>
      <c r="E76" s="22">
        <v>44476</v>
      </c>
      <c r="F76" t="s">
        <v>19</v>
      </c>
      <c r="G76" s="5">
        <v>68900</v>
      </c>
      <c r="H76" t="s">
        <v>205</v>
      </c>
      <c r="I76" s="8">
        <f ca="1">(TODAY()-Staff[[#This Row],[Date Joined]])/365</f>
        <v>2.106849315068493</v>
      </c>
      <c r="J76">
        <f ca="1">ROUNDUP(IF(Staff[[#This Row],[Tenure]]&gt;2, 3%, 2%)*Staff[[#This Row],[Salary]],0)</f>
        <v>2067</v>
      </c>
      <c r="K76">
        <f>_xlfn.XLOOKUP(Staff[[#This Row],[Rating]], 'Salary vs Rating'!$H$6:$H$10, 'Salary vs Rating'!$I$6:$I$10)</f>
        <v>2</v>
      </c>
    </row>
    <row r="77" spans="1:11" x14ac:dyDescent="0.2">
      <c r="A77" t="s">
        <v>91</v>
      </c>
      <c r="B77" t="s">
        <v>8</v>
      </c>
      <c r="C77">
        <v>20</v>
      </c>
      <c r="D77" t="s">
        <v>24</v>
      </c>
      <c r="E77" s="22">
        <v>44537</v>
      </c>
      <c r="F77" t="s">
        <v>19</v>
      </c>
      <c r="G77" s="5">
        <v>68900</v>
      </c>
      <c r="H77" t="s">
        <v>207</v>
      </c>
      <c r="I77" s="8">
        <f ca="1">(TODAY()-Staff[[#This Row],[Date Joined]])/365</f>
        <v>1.9397260273972603</v>
      </c>
      <c r="J77">
        <f ca="1">ROUNDUP(IF(Staff[[#This Row],[Tenure]]&gt;2, 3%, 2%)*Staff[[#This Row],[Salary]],0)</f>
        <v>1378</v>
      </c>
      <c r="K77">
        <f>_xlfn.XLOOKUP(Staff[[#This Row],[Rating]], 'Salary vs Rating'!$H$6:$H$10, 'Salary vs Rating'!$I$6:$I$10)</f>
        <v>2</v>
      </c>
    </row>
    <row r="78" spans="1:11" x14ac:dyDescent="0.2">
      <c r="A78" t="s">
        <v>190</v>
      </c>
      <c r="B78" t="s">
        <v>15</v>
      </c>
      <c r="C78">
        <v>37</v>
      </c>
      <c r="D78" t="s">
        <v>16</v>
      </c>
      <c r="E78" s="22">
        <v>44640</v>
      </c>
      <c r="F78" t="s">
        <v>12</v>
      </c>
      <c r="G78" s="5">
        <v>69070</v>
      </c>
      <c r="H78" t="s">
        <v>205</v>
      </c>
      <c r="I78" s="8">
        <f ca="1">(TODAY()-Staff[[#This Row],[Date Joined]])/365</f>
        <v>1.6575342465753424</v>
      </c>
      <c r="J78">
        <f ca="1">ROUNDUP(IF(Staff[[#This Row],[Tenure]]&gt;2, 3%, 2%)*Staff[[#This Row],[Salary]],0)</f>
        <v>1382</v>
      </c>
      <c r="K78">
        <f>_xlfn.XLOOKUP(Staff[[#This Row],[Rating]], 'Salary vs Rating'!$H$6:$H$10, 'Salary vs Rating'!$I$6:$I$10)</f>
        <v>3</v>
      </c>
    </row>
    <row r="79" spans="1:11" x14ac:dyDescent="0.2">
      <c r="A79" t="s">
        <v>97</v>
      </c>
      <c r="B79" t="s">
        <v>15</v>
      </c>
      <c r="C79">
        <v>37</v>
      </c>
      <c r="D79" t="s">
        <v>16</v>
      </c>
      <c r="E79" s="22">
        <v>44701</v>
      </c>
      <c r="F79" t="s">
        <v>12</v>
      </c>
      <c r="G79" s="5">
        <v>69070</v>
      </c>
      <c r="H79" t="s">
        <v>207</v>
      </c>
      <c r="I79" s="8">
        <f ca="1">(TODAY()-Staff[[#This Row],[Date Joined]])/365</f>
        <v>1.4904109589041097</v>
      </c>
      <c r="J79">
        <f ca="1">ROUNDUP(IF(Staff[[#This Row],[Tenure]]&gt;2, 3%, 2%)*Staff[[#This Row],[Salary]],0)</f>
        <v>1382</v>
      </c>
      <c r="K79">
        <f>_xlfn.XLOOKUP(Staff[[#This Row],[Rating]], 'Salary vs Rating'!$H$6:$H$10, 'Salary vs Rating'!$I$6:$I$10)</f>
        <v>3</v>
      </c>
    </row>
    <row r="80" spans="1:11" x14ac:dyDescent="0.2">
      <c r="A80" t="s">
        <v>119</v>
      </c>
      <c r="B80" t="s">
        <v>15</v>
      </c>
      <c r="C80">
        <v>30</v>
      </c>
      <c r="D80" t="s">
        <v>16</v>
      </c>
      <c r="E80" s="22">
        <v>44214</v>
      </c>
      <c r="F80" t="s">
        <v>12</v>
      </c>
      <c r="G80" s="5">
        <v>69120</v>
      </c>
      <c r="H80" t="s">
        <v>205</v>
      </c>
      <c r="I80" s="8">
        <f ca="1">(TODAY()-Staff[[#This Row],[Date Joined]])/365</f>
        <v>2.8246575342465752</v>
      </c>
      <c r="J80">
        <f ca="1">ROUNDUP(IF(Staff[[#This Row],[Tenure]]&gt;2, 3%, 2%)*Staff[[#This Row],[Salary]],0)</f>
        <v>2074</v>
      </c>
      <c r="K80">
        <f>_xlfn.XLOOKUP(Staff[[#This Row],[Rating]], 'Salary vs Rating'!$H$6:$H$10, 'Salary vs Rating'!$I$6:$I$10)</f>
        <v>3</v>
      </c>
    </row>
    <row r="81" spans="1:11" x14ac:dyDescent="0.2">
      <c r="A81" t="s">
        <v>25</v>
      </c>
      <c r="B81" t="s">
        <v>15</v>
      </c>
      <c r="C81">
        <v>30</v>
      </c>
      <c r="D81" t="s">
        <v>16</v>
      </c>
      <c r="E81" s="22">
        <v>44273</v>
      </c>
      <c r="F81" t="s">
        <v>12</v>
      </c>
      <c r="G81" s="5">
        <v>69120</v>
      </c>
      <c r="H81" t="s">
        <v>207</v>
      </c>
      <c r="I81" s="8">
        <f ca="1">(TODAY()-Staff[[#This Row],[Date Joined]])/365</f>
        <v>2.6630136986301371</v>
      </c>
      <c r="J81">
        <f ca="1">ROUNDUP(IF(Staff[[#This Row],[Tenure]]&gt;2, 3%, 2%)*Staff[[#This Row],[Salary]],0)</f>
        <v>2074</v>
      </c>
      <c r="K81">
        <f>_xlfn.XLOOKUP(Staff[[#This Row],[Rating]], 'Salary vs Rating'!$H$6:$H$10, 'Salary vs Rating'!$I$6:$I$10)</f>
        <v>3</v>
      </c>
    </row>
    <row r="82" spans="1:11" x14ac:dyDescent="0.2">
      <c r="A82" t="s">
        <v>159</v>
      </c>
      <c r="B82" t="s">
        <v>15</v>
      </c>
      <c r="C82">
        <v>30</v>
      </c>
      <c r="D82" t="s">
        <v>16</v>
      </c>
      <c r="E82" s="22">
        <v>44789</v>
      </c>
      <c r="F82" t="s">
        <v>12</v>
      </c>
      <c r="G82" s="5">
        <v>69710</v>
      </c>
      <c r="H82" t="s">
        <v>205</v>
      </c>
      <c r="I82" s="8">
        <f ca="1">(TODAY()-Staff[[#This Row],[Date Joined]])/365</f>
        <v>1.2493150684931507</v>
      </c>
      <c r="J82">
        <f ca="1">ROUNDUP(IF(Staff[[#This Row],[Tenure]]&gt;2, 3%, 2%)*Staff[[#This Row],[Salary]],0)</f>
        <v>1395</v>
      </c>
      <c r="K82">
        <f>_xlfn.XLOOKUP(Staff[[#This Row],[Rating]], 'Salary vs Rating'!$H$6:$H$10, 'Salary vs Rating'!$I$6:$I$10)</f>
        <v>3</v>
      </c>
    </row>
    <row r="83" spans="1:11" x14ac:dyDescent="0.2">
      <c r="A83" t="s">
        <v>67</v>
      </c>
      <c r="B83" t="s">
        <v>15</v>
      </c>
      <c r="C83">
        <v>30</v>
      </c>
      <c r="D83" t="s">
        <v>16</v>
      </c>
      <c r="E83" s="22">
        <v>44850</v>
      </c>
      <c r="F83" t="s">
        <v>12</v>
      </c>
      <c r="G83" s="5">
        <v>69710</v>
      </c>
      <c r="H83" t="s">
        <v>207</v>
      </c>
      <c r="I83" s="8">
        <f ca="1">(TODAY()-Staff[[#This Row],[Date Joined]])/365</f>
        <v>1.0821917808219179</v>
      </c>
      <c r="J83">
        <f ca="1">ROUNDUP(IF(Staff[[#This Row],[Tenure]]&gt;2, 3%, 2%)*Staff[[#This Row],[Salary]],0)</f>
        <v>1395</v>
      </c>
      <c r="K83">
        <f>_xlfn.XLOOKUP(Staff[[#This Row],[Rating]], 'Salary vs Rating'!$H$6:$H$10, 'Salary vs Rating'!$I$6:$I$10)</f>
        <v>3</v>
      </c>
    </row>
    <row r="84" spans="1:11" x14ac:dyDescent="0.2">
      <c r="A84" t="s">
        <v>183</v>
      </c>
      <c r="B84" t="s">
        <v>15</v>
      </c>
      <c r="C84">
        <v>42</v>
      </c>
      <c r="D84" t="s">
        <v>24</v>
      </c>
      <c r="E84" s="22">
        <v>44670</v>
      </c>
      <c r="F84" t="s">
        <v>21</v>
      </c>
      <c r="G84" s="5">
        <v>70270</v>
      </c>
      <c r="H84" t="s">
        <v>205</v>
      </c>
      <c r="I84" s="8">
        <f ca="1">(TODAY()-Staff[[#This Row],[Date Joined]])/365</f>
        <v>1.5753424657534247</v>
      </c>
      <c r="J84">
        <f ca="1">ROUNDUP(IF(Staff[[#This Row],[Tenure]]&gt;2, 3%, 2%)*Staff[[#This Row],[Salary]],0)</f>
        <v>1406</v>
      </c>
      <c r="K84">
        <f>_xlfn.XLOOKUP(Staff[[#This Row],[Rating]], 'Salary vs Rating'!$H$6:$H$10, 'Salary vs Rating'!$I$6:$I$10)</f>
        <v>2</v>
      </c>
    </row>
    <row r="85" spans="1:11" x14ac:dyDescent="0.2">
      <c r="A85" t="s">
        <v>90</v>
      </c>
      <c r="B85" t="s">
        <v>15</v>
      </c>
      <c r="C85">
        <v>42</v>
      </c>
      <c r="D85" t="s">
        <v>24</v>
      </c>
      <c r="E85" s="22">
        <v>44731</v>
      </c>
      <c r="F85" t="s">
        <v>21</v>
      </c>
      <c r="G85" s="5">
        <v>70270</v>
      </c>
      <c r="H85" t="s">
        <v>207</v>
      </c>
      <c r="I85" s="8">
        <f ca="1">(TODAY()-Staff[[#This Row],[Date Joined]])/365</f>
        <v>1.4082191780821918</v>
      </c>
      <c r="J85">
        <f ca="1">ROUNDUP(IF(Staff[[#This Row],[Tenure]]&gt;2, 3%, 2%)*Staff[[#This Row],[Salary]],0)</f>
        <v>1406</v>
      </c>
      <c r="K85">
        <f>_xlfn.XLOOKUP(Staff[[#This Row],[Rating]], 'Salary vs Rating'!$H$6:$H$10, 'Salary vs Rating'!$I$6:$I$10)</f>
        <v>2</v>
      </c>
    </row>
    <row r="86" spans="1:11" x14ac:dyDescent="0.2">
      <c r="A86" t="s">
        <v>162</v>
      </c>
      <c r="B86" t="s">
        <v>15</v>
      </c>
      <c r="C86">
        <v>46</v>
      </c>
      <c r="D86" t="s">
        <v>16</v>
      </c>
      <c r="E86" s="22">
        <v>44697</v>
      </c>
      <c r="F86" t="s">
        <v>9</v>
      </c>
      <c r="G86" s="5">
        <v>70610</v>
      </c>
      <c r="H86" t="s">
        <v>205</v>
      </c>
      <c r="I86" s="8">
        <f ca="1">(TODAY()-Staff[[#This Row],[Date Joined]])/365</f>
        <v>1.5013698630136987</v>
      </c>
      <c r="J86">
        <f ca="1">ROUNDUP(IF(Staff[[#This Row],[Tenure]]&gt;2, 3%, 2%)*Staff[[#This Row],[Salary]],0)</f>
        <v>1413</v>
      </c>
      <c r="K86">
        <f>_xlfn.XLOOKUP(Staff[[#This Row],[Rating]], 'Salary vs Rating'!$H$6:$H$10, 'Salary vs Rating'!$I$6:$I$10)</f>
        <v>3</v>
      </c>
    </row>
    <row r="87" spans="1:11" x14ac:dyDescent="0.2">
      <c r="A87" t="s">
        <v>70</v>
      </c>
      <c r="B87" t="s">
        <v>15</v>
      </c>
      <c r="C87">
        <v>46</v>
      </c>
      <c r="D87" t="s">
        <v>16</v>
      </c>
      <c r="E87" s="22">
        <v>44758</v>
      </c>
      <c r="F87" t="s">
        <v>9</v>
      </c>
      <c r="G87" s="5">
        <v>70610</v>
      </c>
      <c r="H87" t="s">
        <v>207</v>
      </c>
      <c r="I87" s="8">
        <f ca="1">(TODAY()-Staff[[#This Row],[Date Joined]])/365</f>
        <v>1.3342465753424657</v>
      </c>
      <c r="J87">
        <f ca="1">ROUNDUP(IF(Staff[[#This Row],[Tenure]]&gt;2, 3%, 2%)*Staff[[#This Row],[Salary]],0)</f>
        <v>1413</v>
      </c>
      <c r="K87">
        <f>_xlfn.XLOOKUP(Staff[[#This Row],[Rating]], 'Salary vs Rating'!$H$6:$H$10, 'Salary vs Rating'!$I$6:$I$10)</f>
        <v>3</v>
      </c>
    </row>
    <row r="88" spans="1:11" x14ac:dyDescent="0.2">
      <c r="A88" t="s">
        <v>187</v>
      </c>
      <c r="B88" t="s">
        <v>15</v>
      </c>
      <c r="C88">
        <v>36</v>
      </c>
      <c r="D88" t="s">
        <v>16</v>
      </c>
      <c r="E88" s="22">
        <v>44272</v>
      </c>
      <c r="F88" t="s">
        <v>21</v>
      </c>
      <c r="G88" s="5">
        <v>71380</v>
      </c>
      <c r="H88" t="s">
        <v>205</v>
      </c>
      <c r="I88" s="8">
        <f ca="1">(TODAY()-Staff[[#This Row],[Date Joined]])/365</f>
        <v>2.6657534246575341</v>
      </c>
      <c r="J88">
        <f ca="1">ROUNDUP(IF(Staff[[#This Row],[Tenure]]&gt;2, 3%, 2%)*Staff[[#This Row],[Salary]],0)</f>
        <v>2142</v>
      </c>
      <c r="K88">
        <f>_xlfn.XLOOKUP(Staff[[#This Row],[Rating]], 'Salary vs Rating'!$H$6:$H$10, 'Salary vs Rating'!$I$6:$I$10)</f>
        <v>3</v>
      </c>
    </row>
    <row r="89" spans="1:11" x14ac:dyDescent="0.2">
      <c r="A89" t="s">
        <v>94</v>
      </c>
      <c r="B89" t="s">
        <v>15</v>
      </c>
      <c r="C89">
        <v>36</v>
      </c>
      <c r="D89" t="s">
        <v>16</v>
      </c>
      <c r="E89" s="22">
        <v>44333</v>
      </c>
      <c r="F89" t="s">
        <v>21</v>
      </c>
      <c r="G89" s="5">
        <v>71380</v>
      </c>
      <c r="H89" t="s">
        <v>207</v>
      </c>
      <c r="I89" s="8">
        <f ca="1">(TODAY()-Staff[[#This Row],[Date Joined]])/365</f>
        <v>2.4986301369863013</v>
      </c>
      <c r="J89">
        <f ca="1">ROUNDUP(IF(Staff[[#This Row],[Tenure]]&gt;2, 3%, 2%)*Staff[[#This Row],[Salary]],0)</f>
        <v>2142</v>
      </c>
      <c r="K89">
        <f>_xlfn.XLOOKUP(Staff[[#This Row],[Rating]], 'Salary vs Rating'!$H$6:$H$10, 'Salary vs Rating'!$I$6:$I$10)</f>
        <v>3</v>
      </c>
    </row>
    <row r="90" spans="1:11" x14ac:dyDescent="0.2">
      <c r="A90" t="s">
        <v>115</v>
      </c>
      <c r="B90" t="s">
        <v>15</v>
      </c>
      <c r="C90">
        <v>33</v>
      </c>
      <c r="D90" t="s">
        <v>16</v>
      </c>
      <c r="E90" s="22">
        <v>44324</v>
      </c>
      <c r="F90" t="s">
        <v>19</v>
      </c>
      <c r="G90" s="5">
        <v>74550</v>
      </c>
      <c r="H90" t="s">
        <v>205</v>
      </c>
      <c r="I90" s="8">
        <f ca="1">(TODAY()-Staff[[#This Row],[Date Joined]])/365</f>
        <v>2.5232876712328767</v>
      </c>
      <c r="J90">
        <f ca="1">ROUNDUP(IF(Staff[[#This Row],[Tenure]]&gt;2, 3%, 2%)*Staff[[#This Row],[Salary]],0)</f>
        <v>2237</v>
      </c>
      <c r="K90">
        <f>_xlfn.XLOOKUP(Staff[[#This Row],[Rating]], 'Salary vs Rating'!$H$6:$H$10, 'Salary vs Rating'!$I$6:$I$10)</f>
        <v>3</v>
      </c>
    </row>
    <row r="91" spans="1:11" x14ac:dyDescent="0.2">
      <c r="A91" t="s">
        <v>18</v>
      </c>
      <c r="B91" t="s">
        <v>15</v>
      </c>
      <c r="C91">
        <v>33</v>
      </c>
      <c r="D91" t="s">
        <v>16</v>
      </c>
      <c r="E91" s="22">
        <v>44385</v>
      </c>
      <c r="F91" t="s">
        <v>19</v>
      </c>
      <c r="G91" s="5">
        <v>74550</v>
      </c>
      <c r="H91" t="s">
        <v>207</v>
      </c>
      <c r="I91" s="8">
        <f ca="1">(TODAY()-Staff[[#This Row],[Date Joined]])/365</f>
        <v>2.3561643835616439</v>
      </c>
      <c r="J91">
        <f ca="1">ROUNDUP(IF(Staff[[#This Row],[Tenure]]&gt;2, 3%, 2%)*Staff[[#This Row],[Salary]],0)</f>
        <v>2237</v>
      </c>
      <c r="K91">
        <f>_xlfn.XLOOKUP(Staff[[#This Row],[Rating]], 'Salary vs Rating'!$H$6:$H$10, 'Salary vs Rating'!$I$6:$I$10)</f>
        <v>3</v>
      </c>
    </row>
    <row r="92" spans="1:11" x14ac:dyDescent="0.2">
      <c r="A92" t="s">
        <v>111</v>
      </c>
      <c r="B92" t="s">
        <v>8</v>
      </c>
      <c r="C92">
        <v>42</v>
      </c>
      <c r="D92" t="s">
        <v>10</v>
      </c>
      <c r="E92" s="22">
        <v>44718</v>
      </c>
      <c r="F92" t="s">
        <v>9</v>
      </c>
      <c r="G92" s="5">
        <v>75000</v>
      </c>
      <c r="H92" t="s">
        <v>205</v>
      </c>
      <c r="I92" s="8">
        <f ca="1">(TODAY()-Staff[[#This Row],[Date Joined]])/365</f>
        <v>1.4438356164383561</v>
      </c>
      <c r="J92">
        <f ca="1">ROUNDUP(IF(Staff[[#This Row],[Tenure]]&gt;2, 3%, 2%)*Staff[[#This Row],[Salary]],0)</f>
        <v>1500</v>
      </c>
      <c r="K92">
        <f>_xlfn.XLOOKUP(Staff[[#This Row],[Rating]], 'Salary vs Rating'!$H$6:$H$10, 'Salary vs Rating'!$I$6:$I$10)</f>
        <v>5</v>
      </c>
    </row>
    <row r="93" spans="1:11" x14ac:dyDescent="0.2">
      <c r="A93" t="s">
        <v>7</v>
      </c>
      <c r="B93" t="s">
        <v>8</v>
      </c>
      <c r="C93">
        <v>42</v>
      </c>
      <c r="D93" t="s">
        <v>10</v>
      </c>
      <c r="E93" s="22">
        <v>44779</v>
      </c>
      <c r="F93" t="s">
        <v>9</v>
      </c>
      <c r="G93" s="5">
        <v>75000</v>
      </c>
      <c r="H93" t="s">
        <v>207</v>
      </c>
      <c r="I93" s="8">
        <f ca="1">(TODAY()-Staff[[#This Row],[Date Joined]])/365</f>
        <v>1.2767123287671234</v>
      </c>
      <c r="J93">
        <f ca="1">ROUNDUP(IF(Staff[[#This Row],[Tenure]]&gt;2, 3%, 2%)*Staff[[#This Row],[Salary]],0)</f>
        <v>1500</v>
      </c>
      <c r="K93">
        <f>_xlfn.XLOOKUP(Staff[[#This Row],[Rating]], 'Salary vs Rating'!$H$6:$H$10, 'Salary vs Rating'!$I$6:$I$10)</f>
        <v>5</v>
      </c>
    </row>
    <row r="94" spans="1:11" x14ac:dyDescent="0.2">
      <c r="A94" t="s">
        <v>188</v>
      </c>
      <c r="B94" t="s">
        <v>8</v>
      </c>
      <c r="C94">
        <v>33</v>
      </c>
      <c r="D94" t="s">
        <v>16</v>
      </c>
      <c r="E94" s="22">
        <v>44253</v>
      </c>
      <c r="F94" t="s">
        <v>12</v>
      </c>
      <c r="G94" s="5">
        <v>75280</v>
      </c>
      <c r="H94" t="s">
        <v>205</v>
      </c>
      <c r="I94" s="8">
        <f ca="1">(TODAY()-Staff[[#This Row],[Date Joined]])/365</f>
        <v>2.7178082191780821</v>
      </c>
      <c r="J94">
        <f ca="1">ROUNDUP(IF(Staff[[#This Row],[Tenure]]&gt;2, 3%, 2%)*Staff[[#This Row],[Salary]],0)</f>
        <v>2259</v>
      </c>
      <c r="K94">
        <f>_xlfn.XLOOKUP(Staff[[#This Row],[Rating]], 'Salary vs Rating'!$H$6:$H$10, 'Salary vs Rating'!$I$6:$I$10)</f>
        <v>3</v>
      </c>
    </row>
    <row r="95" spans="1:11" x14ac:dyDescent="0.2">
      <c r="A95" t="s">
        <v>95</v>
      </c>
      <c r="B95" t="s">
        <v>8</v>
      </c>
      <c r="C95">
        <v>33</v>
      </c>
      <c r="D95" t="s">
        <v>16</v>
      </c>
      <c r="E95" s="22">
        <v>44312</v>
      </c>
      <c r="F95" t="s">
        <v>12</v>
      </c>
      <c r="G95" s="5">
        <v>75280</v>
      </c>
      <c r="H95" t="s">
        <v>207</v>
      </c>
      <c r="I95" s="8">
        <f ca="1">(TODAY()-Staff[[#This Row],[Date Joined]])/365</f>
        <v>2.5561643835616437</v>
      </c>
      <c r="J95">
        <f ca="1">ROUNDUP(IF(Staff[[#This Row],[Tenure]]&gt;2, 3%, 2%)*Staff[[#This Row],[Salary]],0)</f>
        <v>2259</v>
      </c>
      <c r="K95">
        <f>_xlfn.XLOOKUP(Staff[[#This Row],[Rating]], 'Salary vs Rating'!$H$6:$H$10, 'Salary vs Rating'!$I$6:$I$10)</f>
        <v>3</v>
      </c>
    </row>
    <row r="96" spans="1:11" x14ac:dyDescent="0.2">
      <c r="A96" t="s">
        <v>135</v>
      </c>
      <c r="B96" t="s">
        <v>8</v>
      </c>
      <c r="C96">
        <v>33</v>
      </c>
      <c r="D96" t="s">
        <v>42</v>
      </c>
      <c r="E96" s="22">
        <v>44313</v>
      </c>
      <c r="F96" t="s">
        <v>12</v>
      </c>
      <c r="G96" s="5">
        <v>75480</v>
      </c>
      <c r="H96" t="s">
        <v>205</v>
      </c>
      <c r="I96" s="8">
        <f ca="1">(TODAY()-Staff[[#This Row],[Date Joined]])/365</f>
        <v>2.5534246575342467</v>
      </c>
      <c r="J96">
        <f ca="1">ROUNDUP(IF(Staff[[#This Row],[Tenure]]&gt;2, 3%, 2%)*Staff[[#This Row],[Salary]],0)</f>
        <v>2265</v>
      </c>
      <c r="K96">
        <f>_xlfn.XLOOKUP(Staff[[#This Row],[Rating]], 'Salary vs Rating'!$H$6:$H$10, 'Salary vs Rating'!$I$6:$I$10)</f>
        <v>1</v>
      </c>
    </row>
    <row r="97" spans="1:11" x14ac:dyDescent="0.2">
      <c r="A97" t="s">
        <v>41</v>
      </c>
      <c r="B97" t="s">
        <v>8</v>
      </c>
      <c r="C97">
        <v>33</v>
      </c>
      <c r="D97" t="s">
        <v>42</v>
      </c>
      <c r="E97" s="22">
        <v>44374</v>
      </c>
      <c r="F97" t="s">
        <v>12</v>
      </c>
      <c r="G97" s="5">
        <v>75480</v>
      </c>
      <c r="H97" t="s">
        <v>207</v>
      </c>
      <c r="I97" s="8">
        <f ca="1">(TODAY()-Staff[[#This Row],[Date Joined]])/365</f>
        <v>2.3863013698630136</v>
      </c>
      <c r="J97">
        <f ca="1">ROUNDUP(IF(Staff[[#This Row],[Tenure]]&gt;2, 3%, 2%)*Staff[[#This Row],[Salary]],0)</f>
        <v>2265</v>
      </c>
      <c r="K97">
        <f>_xlfn.XLOOKUP(Staff[[#This Row],[Rating]], 'Salary vs Rating'!$H$6:$H$10, 'Salary vs Rating'!$I$6:$I$10)</f>
        <v>1</v>
      </c>
    </row>
    <row r="98" spans="1:11" x14ac:dyDescent="0.2">
      <c r="A98" t="s">
        <v>170</v>
      </c>
      <c r="B98" t="s">
        <v>15</v>
      </c>
      <c r="C98">
        <v>21</v>
      </c>
      <c r="D98" t="s">
        <v>16</v>
      </c>
      <c r="E98" s="22">
        <v>44180</v>
      </c>
      <c r="F98" t="s">
        <v>56</v>
      </c>
      <c r="G98" s="5">
        <v>75880</v>
      </c>
      <c r="H98" t="s">
        <v>205</v>
      </c>
      <c r="I98" s="8">
        <f ca="1">(TODAY()-Staff[[#This Row],[Date Joined]])/365</f>
        <v>2.9178082191780823</v>
      </c>
      <c r="J98">
        <f ca="1">ROUNDUP(IF(Staff[[#This Row],[Tenure]]&gt;2, 3%, 2%)*Staff[[#This Row],[Salary]],0)</f>
        <v>2277</v>
      </c>
      <c r="K98">
        <f>_xlfn.XLOOKUP(Staff[[#This Row],[Rating]], 'Salary vs Rating'!$H$6:$H$10, 'Salary vs Rating'!$I$6:$I$10)</f>
        <v>3</v>
      </c>
    </row>
    <row r="99" spans="1:11" x14ac:dyDescent="0.2">
      <c r="A99" t="s">
        <v>78</v>
      </c>
      <c r="B99" t="s">
        <v>15</v>
      </c>
      <c r="C99">
        <v>21</v>
      </c>
      <c r="D99" t="s">
        <v>16</v>
      </c>
      <c r="E99" s="22">
        <v>44242</v>
      </c>
      <c r="F99" t="s">
        <v>56</v>
      </c>
      <c r="G99" s="5">
        <v>75880</v>
      </c>
      <c r="H99" t="s">
        <v>207</v>
      </c>
      <c r="I99" s="8">
        <f ca="1">(TODAY()-Staff[[#This Row],[Date Joined]])/365</f>
        <v>2.7479452054794522</v>
      </c>
      <c r="J99">
        <f ca="1">ROUNDUP(IF(Staff[[#This Row],[Tenure]]&gt;2, 3%, 2%)*Staff[[#This Row],[Salary]],0)</f>
        <v>2277</v>
      </c>
      <c r="K99">
        <f>_xlfn.XLOOKUP(Staff[[#This Row],[Rating]], 'Salary vs Rating'!$H$6:$H$10, 'Salary vs Rating'!$I$6:$I$10)</f>
        <v>3</v>
      </c>
    </row>
    <row r="100" spans="1:11" x14ac:dyDescent="0.2">
      <c r="A100" t="s">
        <v>129</v>
      </c>
      <c r="B100" t="s">
        <v>8</v>
      </c>
      <c r="C100">
        <v>28</v>
      </c>
      <c r="D100" t="s">
        <v>16</v>
      </c>
      <c r="E100" s="22">
        <v>44124</v>
      </c>
      <c r="F100" t="s">
        <v>21</v>
      </c>
      <c r="G100" s="5">
        <v>75970</v>
      </c>
      <c r="H100" t="s">
        <v>205</v>
      </c>
      <c r="I100" s="8">
        <f ca="1">(TODAY()-Staff[[#This Row],[Date Joined]])/365</f>
        <v>3.0712328767123287</v>
      </c>
      <c r="J100">
        <f ca="1">ROUNDUP(IF(Staff[[#This Row],[Tenure]]&gt;2, 3%, 2%)*Staff[[#This Row],[Salary]],0)</f>
        <v>2280</v>
      </c>
      <c r="K100">
        <f>_xlfn.XLOOKUP(Staff[[#This Row],[Rating]], 'Salary vs Rating'!$H$6:$H$10, 'Salary vs Rating'!$I$6:$I$10)</f>
        <v>3</v>
      </c>
    </row>
    <row r="101" spans="1:11" x14ac:dyDescent="0.2">
      <c r="A101" t="s">
        <v>35</v>
      </c>
      <c r="B101" t="s">
        <v>8</v>
      </c>
      <c r="C101">
        <v>28</v>
      </c>
      <c r="D101" t="s">
        <v>16</v>
      </c>
      <c r="E101" s="22">
        <v>44185</v>
      </c>
      <c r="F101" t="s">
        <v>21</v>
      </c>
      <c r="G101" s="5">
        <v>75970</v>
      </c>
      <c r="H101" t="s">
        <v>207</v>
      </c>
      <c r="I101" s="8">
        <f ca="1">(TODAY()-Staff[[#This Row],[Date Joined]])/365</f>
        <v>2.904109589041096</v>
      </c>
      <c r="J101">
        <f ca="1">ROUNDUP(IF(Staff[[#This Row],[Tenure]]&gt;2, 3%, 2%)*Staff[[#This Row],[Salary]],0)</f>
        <v>2280</v>
      </c>
      <c r="K101">
        <f>_xlfn.XLOOKUP(Staff[[#This Row],[Rating]], 'Salary vs Rating'!$H$6:$H$10, 'Salary vs Rating'!$I$6:$I$10)</f>
        <v>3</v>
      </c>
    </row>
    <row r="102" spans="1:11" x14ac:dyDescent="0.2">
      <c r="A102" t="s">
        <v>154</v>
      </c>
      <c r="B102" t="s">
        <v>8</v>
      </c>
      <c r="C102">
        <v>22</v>
      </c>
      <c r="D102" t="s">
        <v>13</v>
      </c>
      <c r="E102" s="22">
        <v>44388</v>
      </c>
      <c r="F102" t="s">
        <v>9</v>
      </c>
      <c r="G102" s="5">
        <v>76900</v>
      </c>
      <c r="H102" t="s">
        <v>205</v>
      </c>
      <c r="I102" s="8">
        <f ca="1">(TODAY()-Staff[[#This Row],[Date Joined]])/365</f>
        <v>2.3479452054794518</v>
      </c>
      <c r="J102">
        <f ca="1">ROUNDUP(IF(Staff[[#This Row],[Tenure]]&gt;2, 3%, 2%)*Staff[[#This Row],[Salary]],0)</f>
        <v>2307</v>
      </c>
      <c r="K102">
        <f>_xlfn.XLOOKUP(Staff[[#This Row],[Rating]], 'Salary vs Rating'!$H$6:$H$10, 'Salary vs Rating'!$I$6:$I$10)</f>
        <v>4</v>
      </c>
    </row>
    <row r="103" spans="1:11" x14ac:dyDescent="0.2">
      <c r="A103" t="s">
        <v>62</v>
      </c>
      <c r="B103" t="s">
        <v>8</v>
      </c>
      <c r="C103">
        <v>22</v>
      </c>
      <c r="D103" t="s">
        <v>13</v>
      </c>
      <c r="E103" s="22">
        <v>44450</v>
      </c>
      <c r="F103" t="s">
        <v>9</v>
      </c>
      <c r="G103" s="5">
        <v>76900</v>
      </c>
      <c r="H103" t="s">
        <v>207</v>
      </c>
      <c r="I103" s="8">
        <f ca="1">(TODAY()-Staff[[#This Row],[Date Joined]])/365</f>
        <v>2.1780821917808217</v>
      </c>
      <c r="J103">
        <f ca="1">ROUNDUP(IF(Staff[[#This Row],[Tenure]]&gt;2, 3%, 2%)*Staff[[#This Row],[Salary]],0)</f>
        <v>2307</v>
      </c>
      <c r="K103">
        <f>_xlfn.XLOOKUP(Staff[[#This Row],[Rating]], 'Salary vs Rating'!$H$6:$H$10, 'Salary vs Rating'!$I$6:$I$10)</f>
        <v>4</v>
      </c>
    </row>
    <row r="104" spans="1:11" x14ac:dyDescent="0.2">
      <c r="A104" t="s">
        <v>164</v>
      </c>
      <c r="B104" t="s">
        <v>8</v>
      </c>
      <c r="C104">
        <v>36</v>
      </c>
      <c r="D104" t="s">
        <v>16</v>
      </c>
      <c r="E104" s="22">
        <v>44468</v>
      </c>
      <c r="F104" t="s">
        <v>9</v>
      </c>
      <c r="G104" s="5">
        <v>78390</v>
      </c>
      <c r="H104" t="s">
        <v>205</v>
      </c>
      <c r="I104" s="8">
        <f ca="1">(TODAY()-Staff[[#This Row],[Date Joined]])/365</f>
        <v>2.128767123287671</v>
      </c>
      <c r="J104">
        <f ca="1">ROUNDUP(IF(Staff[[#This Row],[Tenure]]&gt;2, 3%, 2%)*Staff[[#This Row],[Salary]],0)</f>
        <v>2352</v>
      </c>
      <c r="K104">
        <f>_xlfn.XLOOKUP(Staff[[#This Row],[Rating]], 'Salary vs Rating'!$H$6:$H$10, 'Salary vs Rating'!$I$6:$I$10)</f>
        <v>3</v>
      </c>
    </row>
    <row r="105" spans="1:11" x14ac:dyDescent="0.2">
      <c r="A105" t="s">
        <v>72</v>
      </c>
      <c r="B105" t="s">
        <v>8</v>
      </c>
      <c r="C105">
        <v>36</v>
      </c>
      <c r="D105" t="s">
        <v>16</v>
      </c>
      <c r="E105" s="22">
        <v>44529</v>
      </c>
      <c r="F105" t="s">
        <v>9</v>
      </c>
      <c r="G105" s="5">
        <v>78390</v>
      </c>
      <c r="H105" t="s">
        <v>207</v>
      </c>
      <c r="I105" s="8">
        <f ca="1">(TODAY()-Staff[[#This Row],[Date Joined]])/365</f>
        <v>1.9616438356164383</v>
      </c>
      <c r="J105">
        <f ca="1">ROUNDUP(IF(Staff[[#This Row],[Tenure]]&gt;2, 3%, 2%)*Staff[[#This Row],[Salary]],0)</f>
        <v>1568</v>
      </c>
      <c r="K105">
        <f>_xlfn.XLOOKUP(Staff[[#This Row],[Rating]], 'Salary vs Rating'!$H$6:$H$10, 'Salary vs Rating'!$I$6:$I$10)</f>
        <v>3</v>
      </c>
    </row>
    <row r="106" spans="1:11" x14ac:dyDescent="0.2">
      <c r="A106" t="s">
        <v>141</v>
      </c>
      <c r="B106" t="s">
        <v>8</v>
      </c>
      <c r="C106">
        <v>36</v>
      </c>
      <c r="D106" t="s">
        <v>16</v>
      </c>
      <c r="E106" s="22">
        <v>44433</v>
      </c>
      <c r="F106" t="s">
        <v>19</v>
      </c>
      <c r="G106" s="5">
        <v>78540</v>
      </c>
      <c r="H106" t="s">
        <v>205</v>
      </c>
      <c r="I106" s="8">
        <f ca="1">(TODAY()-Staff[[#This Row],[Date Joined]])/365</f>
        <v>2.2246575342465755</v>
      </c>
      <c r="J106">
        <f ca="1">ROUNDUP(IF(Staff[[#This Row],[Tenure]]&gt;2, 3%, 2%)*Staff[[#This Row],[Salary]],0)</f>
        <v>2357</v>
      </c>
      <c r="K106">
        <f>_xlfn.XLOOKUP(Staff[[#This Row],[Rating]], 'Salary vs Rating'!$H$6:$H$10, 'Salary vs Rating'!$I$6:$I$10)</f>
        <v>3</v>
      </c>
    </row>
    <row r="107" spans="1:11" x14ac:dyDescent="0.2">
      <c r="A107" t="s">
        <v>48</v>
      </c>
      <c r="B107" t="s">
        <v>8</v>
      </c>
      <c r="C107">
        <v>36</v>
      </c>
      <c r="D107" t="s">
        <v>16</v>
      </c>
      <c r="E107" s="22">
        <v>44494</v>
      </c>
      <c r="F107" t="s">
        <v>19</v>
      </c>
      <c r="G107" s="5">
        <v>78540</v>
      </c>
      <c r="H107" t="s">
        <v>207</v>
      </c>
      <c r="I107" s="8">
        <f ca="1">(TODAY()-Staff[[#This Row],[Date Joined]])/365</f>
        <v>2.0575342465753423</v>
      </c>
      <c r="J107">
        <f ca="1">ROUNDUP(IF(Staff[[#This Row],[Tenure]]&gt;2, 3%, 2%)*Staff[[#This Row],[Salary]],0)</f>
        <v>2357</v>
      </c>
      <c r="K107">
        <f>_xlfn.XLOOKUP(Staff[[#This Row],[Rating]], 'Salary vs Rating'!$H$6:$H$10, 'Salary vs Rating'!$I$6:$I$10)</f>
        <v>3</v>
      </c>
    </row>
    <row r="108" spans="1:11" x14ac:dyDescent="0.2">
      <c r="A108" t="s">
        <v>197</v>
      </c>
      <c r="B108" t="s">
        <v>15</v>
      </c>
      <c r="C108">
        <v>20</v>
      </c>
      <c r="D108" t="s">
        <v>16</v>
      </c>
      <c r="E108" s="22">
        <v>44683</v>
      </c>
      <c r="F108" t="s">
        <v>9</v>
      </c>
      <c r="G108" s="5">
        <v>79570</v>
      </c>
      <c r="H108" t="s">
        <v>205</v>
      </c>
      <c r="I108" s="8">
        <f ca="1">(TODAY()-Staff[[#This Row],[Date Joined]])/365</f>
        <v>1.5397260273972602</v>
      </c>
      <c r="J108">
        <f ca="1">ROUNDUP(IF(Staff[[#This Row],[Tenure]]&gt;2, 3%, 2%)*Staff[[#This Row],[Salary]],0)</f>
        <v>1592</v>
      </c>
      <c r="K108">
        <f>_xlfn.XLOOKUP(Staff[[#This Row],[Rating]], 'Salary vs Rating'!$H$6:$H$10, 'Salary vs Rating'!$I$6:$I$10)</f>
        <v>3</v>
      </c>
    </row>
    <row r="109" spans="1:11" x14ac:dyDescent="0.2">
      <c r="A109" t="s">
        <v>104</v>
      </c>
      <c r="B109" t="s">
        <v>15</v>
      </c>
      <c r="C109">
        <v>20</v>
      </c>
      <c r="D109" t="s">
        <v>16</v>
      </c>
      <c r="E109" s="22">
        <v>44744</v>
      </c>
      <c r="F109" t="s">
        <v>9</v>
      </c>
      <c r="G109" s="5">
        <v>79570</v>
      </c>
      <c r="H109" t="s">
        <v>207</v>
      </c>
      <c r="I109" s="8">
        <f ca="1">(TODAY()-Staff[[#This Row],[Date Joined]])/365</f>
        <v>1.3726027397260274</v>
      </c>
      <c r="J109">
        <f ca="1">ROUNDUP(IF(Staff[[#This Row],[Tenure]]&gt;2, 3%, 2%)*Staff[[#This Row],[Salary]],0)</f>
        <v>1592</v>
      </c>
      <c r="K109">
        <f>_xlfn.XLOOKUP(Staff[[#This Row],[Rating]], 'Salary vs Rating'!$H$6:$H$10, 'Salary vs Rating'!$I$6:$I$10)</f>
        <v>3</v>
      </c>
    </row>
    <row r="110" spans="1:11" x14ac:dyDescent="0.2">
      <c r="A110" t="s">
        <v>133</v>
      </c>
      <c r="B110" t="s">
        <v>8</v>
      </c>
      <c r="C110">
        <v>25</v>
      </c>
      <c r="D110" t="s">
        <v>13</v>
      </c>
      <c r="E110" s="22">
        <v>44633</v>
      </c>
      <c r="F110" t="s">
        <v>12</v>
      </c>
      <c r="G110" s="5">
        <v>80700</v>
      </c>
      <c r="H110" t="s">
        <v>205</v>
      </c>
      <c r="I110" s="8">
        <f ca="1">(TODAY()-Staff[[#This Row],[Date Joined]])/365</f>
        <v>1.6767123287671233</v>
      </c>
      <c r="J110">
        <f ca="1">ROUNDUP(IF(Staff[[#This Row],[Tenure]]&gt;2, 3%, 2%)*Staff[[#This Row],[Salary]],0)</f>
        <v>1614</v>
      </c>
      <c r="K110">
        <f>_xlfn.XLOOKUP(Staff[[#This Row],[Rating]], 'Salary vs Rating'!$H$6:$H$10, 'Salary vs Rating'!$I$6:$I$10)</f>
        <v>4</v>
      </c>
    </row>
    <row r="111" spans="1:11" x14ac:dyDescent="0.2">
      <c r="A111" t="s">
        <v>39</v>
      </c>
      <c r="B111" t="s">
        <v>8</v>
      </c>
      <c r="C111">
        <v>25</v>
      </c>
      <c r="D111" t="s">
        <v>13</v>
      </c>
      <c r="E111" s="22">
        <v>44694</v>
      </c>
      <c r="F111" t="s">
        <v>12</v>
      </c>
      <c r="G111" s="5">
        <v>80700</v>
      </c>
      <c r="H111" t="s">
        <v>207</v>
      </c>
      <c r="I111" s="8">
        <f ca="1">(TODAY()-Staff[[#This Row],[Date Joined]])/365</f>
        <v>1.5095890410958903</v>
      </c>
      <c r="J111">
        <f ca="1">ROUNDUP(IF(Staff[[#This Row],[Tenure]]&gt;2, 3%, 2%)*Staff[[#This Row],[Salary]],0)</f>
        <v>1614</v>
      </c>
      <c r="K111">
        <f>_xlfn.XLOOKUP(Staff[[#This Row],[Rating]], 'Salary vs Rating'!$H$6:$H$10, 'Salary vs Rating'!$I$6:$I$10)</f>
        <v>4</v>
      </c>
    </row>
    <row r="112" spans="1:11" x14ac:dyDescent="0.2">
      <c r="A112" t="s">
        <v>185</v>
      </c>
      <c r="B112" t="s">
        <v>8</v>
      </c>
      <c r="C112">
        <v>27</v>
      </c>
      <c r="D112" t="s">
        <v>16</v>
      </c>
      <c r="E112" s="22">
        <v>44625</v>
      </c>
      <c r="F112" t="s">
        <v>12</v>
      </c>
      <c r="G112" s="5">
        <v>83750</v>
      </c>
      <c r="H112" t="s">
        <v>205</v>
      </c>
      <c r="I112" s="8">
        <f ca="1">(TODAY()-Staff[[#This Row],[Date Joined]])/365</f>
        <v>1.6986301369863013</v>
      </c>
      <c r="J112">
        <f ca="1">ROUNDUP(IF(Staff[[#This Row],[Tenure]]&gt;2, 3%, 2%)*Staff[[#This Row],[Salary]],0)</f>
        <v>1675</v>
      </c>
      <c r="K112">
        <f>_xlfn.XLOOKUP(Staff[[#This Row],[Rating]], 'Salary vs Rating'!$H$6:$H$10, 'Salary vs Rating'!$I$6:$I$10)</f>
        <v>3</v>
      </c>
    </row>
    <row r="113" spans="1:11" x14ac:dyDescent="0.2">
      <c r="A113" t="s">
        <v>92</v>
      </c>
      <c r="B113" t="s">
        <v>8</v>
      </c>
      <c r="C113">
        <v>27</v>
      </c>
      <c r="D113" t="s">
        <v>16</v>
      </c>
      <c r="E113" s="22">
        <v>44686</v>
      </c>
      <c r="F113" t="s">
        <v>12</v>
      </c>
      <c r="G113" s="5">
        <v>83750</v>
      </c>
      <c r="H113" t="s">
        <v>207</v>
      </c>
      <c r="I113" s="8">
        <f ca="1">(TODAY()-Staff[[#This Row],[Date Joined]])/365</f>
        <v>1.5315068493150685</v>
      </c>
      <c r="J113">
        <f ca="1">ROUNDUP(IF(Staff[[#This Row],[Tenure]]&gt;2, 3%, 2%)*Staff[[#This Row],[Salary]],0)</f>
        <v>1675</v>
      </c>
      <c r="K113">
        <f>_xlfn.XLOOKUP(Staff[[#This Row],[Rating]], 'Salary vs Rating'!$H$6:$H$10, 'Salary vs Rating'!$I$6:$I$10)</f>
        <v>3</v>
      </c>
    </row>
    <row r="114" spans="1:11" x14ac:dyDescent="0.2">
      <c r="A114" t="s">
        <v>122</v>
      </c>
      <c r="B114" t="s">
        <v>8</v>
      </c>
      <c r="C114">
        <v>34</v>
      </c>
      <c r="D114" t="s">
        <v>16</v>
      </c>
      <c r="E114" s="22">
        <v>44397</v>
      </c>
      <c r="F114" t="s">
        <v>21</v>
      </c>
      <c r="G114" s="5">
        <v>85000</v>
      </c>
      <c r="H114" t="s">
        <v>205</v>
      </c>
      <c r="I114" s="8">
        <f ca="1">(TODAY()-Staff[[#This Row],[Date Joined]])/365</f>
        <v>2.3232876712328765</v>
      </c>
      <c r="J114">
        <f ca="1">ROUNDUP(IF(Staff[[#This Row],[Tenure]]&gt;2, 3%, 2%)*Staff[[#This Row],[Salary]],0)</f>
        <v>2550</v>
      </c>
      <c r="K114">
        <f>_xlfn.XLOOKUP(Staff[[#This Row],[Rating]], 'Salary vs Rating'!$H$6:$H$10, 'Salary vs Rating'!$I$6:$I$10)</f>
        <v>3</v>
      </c>
    </row>
    <row r="115" spans="1:11" x14ac:dyDescent="0.2">
      <c r="A115" t="s">
        <v>28</v>
      </c>
      <c r="B115" t="s">
        <v>8</v>
      </c>
      <c r="C115">
        <v>34</v>
      </c>
      <c r="D115" t="s">
        <v>16</v>
      </c>
      <c r="E115" s="22">
        <v>44459</v>
      </c>
      <c r="F115" t="s">
        <v>21</v>
      </c>
      <c r="G115" s="5">
        <v>85000</v>
      </c>
      <c r="H115" t="s">
        <v>207</v>
      </c>
      <c r="I115" s="8">
        <f ca="1">(TODAY()-Staff[[#This Row],[Date Joined]])/365</f>
        <v>2.1534246575342464</v>
      </c>
      <c r="J115">
        <f ca="1">ROUNDUP(IF(Staff[[#This Row],[Tenure]]&gt;2, 3%, 2%)*Staff[[#This Row],[Salary]],0)</f>
        <v>2550</v>
      </c>
      <c r="K115">
        <f>_xlfn.XLOOKUP(Staff[[#This Row],[Rating]], 'Salary vs Rating'!$H$6:$H$10, 'Salary vs Rating'!$I$6:$I$10)</f>
        <v>3</v>
      </c>
    </row>
    <row r="116" spans="1:11" x14ac:dyDescent="0.2">
      <c r="A116" t="s">
        <v>181</v>
      </c>
      <c r="B116" t="s">
        <v>8</v>
      </c>
      <c r="C116">
        <v>33</v>
      </c>
      <c r="D116" t="s">
        <v>16</v>
      </c>
      <c r="E116" s="22">
        <v>44747</v>
      </c>
      <c r="F116" t="s">
        <v>21</v>
      </c>
      <c r="G116" s="5">
        <v>86570</v>
      </c>
      <c r="H116" t="s">
        <v>205</v>
      </c>
      <c r="I116" s="8">
        <f ca="1">(TODAY()-Staff[[#This Row],[Date Joined]])/365</f>
        <v>1.3643835616438356</v>
      </c>
      <c r="J116">
        <f ca="1">ROUNDUP(IF(Staff[[#This Row],[Tenure]]&gt;2, 3%, 2%)*Staff[[#This Row],[Salary]],0)</f>
        <v>1732</v>
      </c>
      <c r="K116">
        <f>_xlfn.XLOOKUP(Staff[[#This Row],[Rating]], 'Salary vs Rating'!$H$6:$H$10, 'Salary vs Rating'!$I$6:$I$10)</f>
        <v>3</v>
      </c>
    </row>
    <row r="117" spans="1:11" x14ac:dyDescent="0.2">
      <c r="A117" t="s">
        <v>88</v>
      </c>
      <c r="B117" t="s">
        <v>8</v>
      </c>
      <c r="C117">
        <v>33</v>
      </c>
      <c r="D117" t="s">
        <v>16</v>
      </c>
      <c r="E117" s="22">
        <v>44809</v>
      </c>
      <c r="F117" t="s">
        <v>21</v>
      </c>
      <c r="G117" s="5">
        <v>86570</v>
      </c>
      <c r="H117" t="s">
        <v>207</v>
      </c>
      <c r="I117" s="8">
        <f ca="1">(TODAY()-Staff[[#This Row],[Date Joined]])/365</f>
        <v>1.1945205479452055</v>
      </c>
      <c r="J117">
        <f ca="1">ROUNDUP(IF(Staff[[#This Row],[Tenure]]&gt;2, 3%, 2%)*Staff[[#This Row],[Salary]],0)</f>
        <v>1732</v>
      </c>
      <c r="K117">
        <f>_xlfn.XLOOKUP(Staff[[#This Row],[Rating]], 'Salary vs Rating'!$H$6:$H$10, 'Salary vs Rating'!$I$6:$I$10)</f>
        <v>3</v>
      </c>
    </row>
    <row r="118" spans="1:11" x14ac:dyDescent="0.2">
      <c r="A118" t="s">
        <v>166</v>
      </c>
      <c r="B118" t="s">
        <v>8</v>
      </c>
      <c r="C118">
        <v>40</v>
      </c>
      <c r="D118" t="s">
        <v>16</v>
      </c>
      <c r="E118" s="22">
        <v>44276</v>
      </c>
      <c r="F118" t="s">
        <v>12</v>
      </c>
      <c r="G118" s="5">
        <v>87620</v>
      </c>
      <c r="H118" t="s">
        <v>205</v>
      </c>
      <c r="I118" s="8">
        <f ca="1">(TODAY()-Staff[[#This Row],[Date Joined]])/365</f>
        <v>2.6547945205479451</v>
      </c>
      <c r="J118">
        <f ca="1">ROUNDUP(IF(Staff[[#This Row],[Tenure]]&gt;2, 3%, 2%)*Staff[[#This Row],[Salary]],0)</f>
        <v>2629</v>
      </c>
      <c r="K118">
        <f>_xlfn.XLOOKUP(Staff[[#This Row],[Rating]], 'Salary vs Rating'!$H$6:$H$10, 'Salary vs Rating'!$I$6:$I$10)</f>
        <v>3</v>
      </c>
    </row>
    <row r="119" spans="1:11" x14ac:dyDescent="0.2">
      <c r="A119" t="s">
        <v>74</v>
      </c>
      <c r="B119" t="s">
        <v>8</v>
      </c>
      <c r="C119">
        <v>40</v>
      </c>
      <c r="D119" t="s">
        <v>16</v>
      </c>
      <c r="E119" s="22">
        <v>44337</v>
      </c>
      <c r="F119" t="s">
        <v>12</v>
      </c>
      <c r="G119" s="5">
        <v>87620</v>
      </c>
      <c r="H119" t="s">
        <v>207</v>
      </c>
      <c r="I119" s="8">
        <f ca="1">(TODAY()-Staff[[#This Row],[Date Joined]])/365</f>
        <v>2.4876712328767123</v>
      </c>
      <c r="J119">
        <f ca="1">ROUNDUP(IF(Staff[[#This Row],[Tenure]]&gt;2, 3%, 2%)*Staff[[#This Row],[Salary]],0)</f>
        <v>2629</v>
      </c>
      <c r="K119">
        <f>_xlfn.XLOOKUP(Staff[[#This Row],[Rating]], 'Salary vs Rating'!$H$6:$H$10, 'Salary vs Rating'!$I$6:$I$10)</f>
        <v>3</v>
      </c>
    </row>
    <row r="120" spans="1:11" x14ac:dyDescent="0.2">
      <c r="A120" t="s">
        <v>118</v>
      </c>
      <c r="B120" t="s">
        <v>15</v>
      </c>
      <c r="C120">
        <v>37</v>
      </c>
      <c r="D120" t="s">
        <v>24</v>
      </c>
      <c r="E120" s="22">
        <v>44277</v>
      </c>
      <c r="F120" t="s">
        <v>12</v>
      </c>
      <c r="G120" s="5">
        <v>88050</v>
      </c>
      <c r="H120" t="s">
        <v>205</v>
      </c>
      <c r="I120" s="8">
        <f ca="1">(TODAY()-Staff[[#This Row],[Date Joined]])/365</f>
        <v>2.6520547945205482</v>
      </c>
      <c r="J120">
        <f ca="1">ROUNDUP(IF(Staff[[#This Row],[Tenure]]&gt;2, 3%, 2%)*Staff[[#This Row],[Salary]],0)</f>
        <v>2642</v>
      </c>
      <c r="K120">
        <f>_xlfn.XLOOKUP(Staff[[#This Row],[Rating]], 'Salary vs Rating'!$H$6:$H$10, 'Salary vs Rating'!$I$6:$I$10)</f>
        <v>2</v>
      </c>
    </row>
    <row r="121" spans="1:11" x14ac:dyDescent="0.2">
      <c r="A121" t="s">
        <v>23</v>
      </c>
      <c r="B121" t="s">
        <v>15</v>
      </c>
      <c r="C121">
        <v>37</v>
      </c>
      <c r="D121" t="s">
        <v>24</v>
      </c>
      <c r="E121" s="22">
        <v>44338</v>
      </c>
      <c r="F121" t="s">
        <v>12</v>
      </c>
      <c r="G121" s="5">
        <v>88050</v>
      </c>
      <c r="H121" t="s">
        <v>207</v>
      </c>
      <c r="I121" s="8">
        <f ca="1">(TODAY()-Staff[[#This Row],[Date Joined]])/365</f>
        <v>2.484931506849315</v>
      </c>
      <c r="J121">
        <f ca="1">ROUNDUP(IF(Staff[[#This Row],[Tenure]]&gt;2, 3%, 2%)*Staff[[#This Row],[Salary]],0)</f>
        <v>2642</v>
      </c>
      <c r="K121">
        <f>_xlfn.XLOOKUP(Staff[[#This Row],[Rating]], 'Salary vs Rating'!$H$6:$H$10, 'Salary vs Rating'!$I$6:$I$10)</f>
        <v>2</v>
      </c>
    </row>
    <row r="122" spans="1:11" x14ac:dyDescent="0.2">
      <c r="A122" t="s">
        <v>112</v>
      </c>
      <c r="B122" t="s">
        <v>206</v>
      </c>
      <c r="C122">
        <v>27</v>
      </c>
      <c r="D122" t="s">
        <v>13</v>
      </c>
      <c r="E122" s="22">
        <v>44212</v>
      </c>
      <c r="F122" t="s">
        <v>12</v>
      </c>
      <c r="G122" s="5">
        <v>90700</v>
      </c>
      <c r="H122" t="s">
        <v>205</v>
      </c>
      <c r="I122" s="8">
        <f ca="1">(TODAY()-Staff[[#This Row],[Date Joined]])/365</f>
        <v>2.8301369863013699</v>
      </c>
      <c r="J122">
        <f ca="1">ROUNDUP(IF(Staff[[#This Row],[Tenure]]&gt;2, 3%, 2%)*Staff[[#This Row],[Salary]],0)</f>
        <v>2721</v>
      </c>
      <c r="K122">
        <f>_xlfn.XLOOKUP(Staff[[#This Row],[Rating]], 'Salary vs Rating'!$H$6:$H$10, 'Salary vs Rating'!$I$6:$I$10)</f>
        <v>4</v>
      </c>
    </row>
    <row r="123" spans="1:11" x14ac:dyDescent="0.2">
      <c r="A123" t="s">
        <v>11</v>
      </c>
      <c r="B123" t="s">
        <v>206</v>
      </c>
      <c r="C123">
        <v>26</v>
      </c>
      <c r="D123" t="s">
        <v>13</v>
      </c>
      <c r="E123" s="22">
        <v>44271</v>
      </c>
      <c r="F123" t="s">
        <v>12</v>
      </c>
      <c r="G123" s="5">
        <v>90700</v>
      </c>
      <c r="H123" t="s">
        <v>207</v>
      </c>
      <c r="I123" s="8">
        <f ca="1">(TODAY()-Staff[[#This Row],[Date Joined]])/365</f>
        <v>2.6684931506849314</v>
      </c>
      <c r="J123">
        <f ca="1">ROUNDUP(IF(Staff[[#This Row],[Tenure]]&gt;2, 3%, 2%)*Staff[[#This Row],[Salary]],0)</f>
        <v>2721</v>
      </c>
      <c r="K123">
        <f>_xlfn.XLOOKUP(Staff[[#This Row],[Rating]], 'Salary vs Rating'!$H$6:$H$10, 'Salary vs Rating'!$I$6:$I$10)</f>
        <v>4</v>
      </c>
    </row>
    <row r="124" spans="1:11" x14ac:dyDescent="0.2">
      <c r="A124" t="s">
        <v>145</v>
      </c>
      <c r="B124" t="s">
        <v>206</v>
      </c>
      <c r="C124">
        <v>32</v>
      </c>
      <c r="D124" t="s">
        <v>16</v>
      </c>
      <c r="E124" s="22">
        <v>44713</v>
      </c>
      <c r="F124" t="s">
        <v>12</v>
      </c>
      <c r="G124" s="5">
        <v>91310</v>
      </c>
      <c r="H124" t="s">
        <v>205</v>
      </c>
      <c r="I124" s="8">
        <f ca="1">(TODAY()-Staff[[#This Row],[Date Joined]])/365</f>
        <v>1.4575342465753425</v>
      </c>
      <c r="J124">
        <f ca="1">ROUNDUP(IF(Staff[[#This Row],[Tenure]]&gt;2, 3%, 2%)*Staff[[#This Row],[Salary]],0)</f>
        <v>1827</v>
      </c>
      <c r="K124">
        <f>_xlfn.XLOOKUP(Staff[[#This Row],[Rating]], 'Salary vs Rating'!$H$6:$H$10, 'Salary vs Rating'!$I$6:$I$10)</f>
        <v>3</v>
      </c>
    </row>
    <row r="125" spans="1:11" x14ac:dyDescent="0.2">
      <c r="A125" t="s">
        <v>52</v>
      </c>
      <c r="B125" t="s">
        <v>206</v>
      </c>
      <c r="C125">
        <v>32</v>
      </c>
      <c r="D125" t="s">
        <v>16</v>
      </c>
      <c r="E125" s="22">
        <v>44774</v>
      </c>
      <c r="F125" t="s">
        <v>12</v>
      </c>
      <c r="G125" s="5">
        <v>91310</v>
      </c>
      <c r="H125" t="s">
        <v>207</v>
      </c>
      <c r="I125" s="8">
        <f ca="1">(TODAY()-Staff[[#This Row],[Date Joined]])/365</f>
        <v>1.2904109589041095</v>
      </c>
      <c r="J125">
        <f ca="1">ROUNDUP(IF(Staff[[#This Row],[Tenure]]&gt;2, 3%, 2%)*Staff[[#This Row],[Salary]],0)</f>
        <v>1827</v>
      </c>
      <c r="K125">
        <f>_xlfn.XLOOKUP(Staff[[#This Row],[Rating]], 'Salary vs Rating'!$H$6:$H$10, 'Salary vs Rating'!$I$6:$I$10)</f>
        <v>3</v>
      </c>
    </row>
    <row r="126" spans="1:11" x14ac:dyDescent="0.2">
      <c r="A126" t="s">
        <v>160</v>
      </c>
      <c r="B126" t="s">
        <v>15</v>
      </c>
      <c r="C126">
        <v>27</v>
      </c>
      <c r="D126" t="s">
        <v>13</v>
      </c>
      <c r="E126" s="22">
        <v>44174</v>
      </c>
      <c r="F126" t="s">
        <v>21</v>
      </c>
      <c r="G126" s="5">
        <v>91650</v>
      </c>
      <c r="H126" t="s">
        <v>205</v>
      </c>
      <c r="I126" s="8">
        <f ca="1">(TODAY()-Staff[[#This Row],[Date Joined]])/365</f>
        <v>2.9342465753424656</v>
      </c>
      <c r="J126">
        <f ca="1">ROUNDUP(IF(Staff[[#This Row],[Tenure]]&gt;2, 3%, 2%)*Staff[[#This Row],[Salary]],0)</f>
        <v>2750</v>
      </c>
      <c r="K126">
        <f>_xlfn.XLOOKUP(Staff[[#This Row],[Rating]], 'Salary vs Rating'!$H$6:$H$10, 'Salary vs Rating'!$I$6:$I$10)</f>
        <v>4</v>
      </c>
    </row>
    <row r="127" spans="1:11" x14ac:dyDescent="0.2">
      <c r="A127" t="s">
        <v>68</v>
      </c>
      <c r="B127" t="s">
        <v>15</v>
      </c>
      <c r="C127">
        <v>27</v>
      </c>
      <c r="D127" t="s">
        <v>13</v>
      </c>
      <c r="E127" s="22">
        <v>44236</v>
      </c>
      <c r="F127" t="s">
        <v>21</v>
      </c>
      <c r="G127" s="5">
        <v>91650</v>
      </c>
      <c r="H127" t="s">
        <v>207</v>
      </c>
      <c r="I127" s="8">
        <f ca="1">(TODAY()-Staff[[#This Row],[Date Joined]])/365</f>
        <v>2.7643835616438355</v>
      </c>
      <c r="J127">
        <f ca="1">ROUNDUP(IF(Staff[[#This Row],[Tenure]]&gt;2, 3%, 2%)*Staff[[#This Row],[Salary]],0)</f>
        <v>2750</v>
      </c>
      <c r="K127">
        <f>_xlfn.XLOOKUP(Staff[[#This Row],[Rating]], 'Salary vs Rating'!$H$6:$H$10, 'Salary vs Rating'!$I$6:$I$10)</f>
        <v>4</v>
      </c>
    </row>
    <row r="128" spans="1:11" x14ac:dyDescent="0.2">
      <c r="A128" t="s">
        <v>195</v>
      </c>
      <c r="B128" t="s">
        <v>8</v>
      </c>
      <c r="C128">
        <v>34</v>
      </c>
      <c r="D128" t="s">
        <v>16</v>
      </c>
      <c r="E128" s="22">
        <v>44383</v>
      </c>
      <c r="F128" t="s">
        <v>21</v>
      </c>
      <c r="G128" s="5">
        <v>92450</v>
      </c>
      <c r="H128" t="s">
        <v>205</v>
      </c>
      <c r="I128" s="8">
        <f ca="1">(TODAY()-Staff[[#This Row],[Date Joined]])/365</f>
        <v>2.3616438356164382</v>
      </c>
      <c r="J128">
        <f ca="1">ROUNDUP(IF(Staff[[#This Row],[Tenure]]&gt;2, 3%, 2%)*Staff[[#This Row],[Salary]],0)</f>
        <v>2774</v>
      </c>
      <c r="K128">
        <f>_xlfn.XLOOKUP(Staff[[#This Row],[Rating]], 'Salary vs Rating'!$H$6:$H$10, 'Salary vs Rating'!$I$6:$I$10)</f>
        <v>3</v>
      </c>
    </row>
    <row r="129" spans="1:11" x14ac:dyDescent="0.2">
      <c r="A129" t="s">
        <v>102</v>
      </c>
      <c r="B129" t="s">
        <v>8</v>
      </c>
      <c r="C129">
        <v>34</v>
      </c>
      <c r="D129" t="s">
        <v>16</v>
      </c>
      <c r="E129" s="22">
        <v>44445</v>
      </c>
      <c r="F129" t="s">
        <v>21</v>
      </c>
      <c r="G129" s="5">
        <v>92450</v>
      </c>
      <c r="H129" t="s">
        <v>207</v>
      </c>
      <c r="I129" s="8">
        <f ca="1">(TODAY()-Staff[[#This Row],[Date Joined]])/365</f>
        <v>2.1917808219178081</v>
      </c>
      <c r="J129">
        <f ca="1">ROUNDUP(IF(Staff[[#This Row],[Tenure]]&gt;2, 3%, 2%)*Staff[[#This Row],[Salary]],0)</f>
        <v>2774</v>
      </c>
      <c r="K129">
        <f>_xlfn.XLOOKUP(Staff[[#This Row],[Rating]], 'Salary vs Rating'!$H$6:$H$10, 'Salary vs Rating'!$I$6:$I$10)</f>
        <v>3</v>
      </c>
    </row>
    <row r="130" spans="1:11" x14ac:dyDescent="0.2">
      <c r="A130" t="s">
        <v>169</v>
      </c>
      <c r="B130" t="s">
        <v>8</v>
      </c>
      <c r="C130">
        <v>25</v>
      </c>
      <c r="D130" t="s">
        <v>16</v>
      </c>
      <c r="E130" s="22">
        <v>44144</v>
      </c>
      <c r="F130" t="s">
        <v>19</v>
      </c>
      <c r="G130" s="5">
        <v>92700</v>
      </c>
      <c r="H130" t="s">
        <v>205</v>
      </c>
      <c r="I130" s="8">
        <f ca="1">(TODAY()-Staff[[#This Row],[Date Joined]])/365</f>
        <v>3.0164383561643837</v>
      </c>
      <c r="J130">
        <f ca="1">ROUNDUP(IF(Staff[[#This Row],[Tenure]]&gt;2, 3%, 2%)*Staff[[#This Row],[Salary]],0)</f>
        <v>2781</v>
      </c>
      <c r="K130">
        <f>_xlfn.XLOOKUP(Staff[[#This Row],[Rating]], 'Salary vs Rating'!$H$6:$H$10, 'Salary vs Rating'!$I$6:$I$10)</f>
        <v>3</v>
      </c>
    </row>
    <row r="131" spans="1:11" x14ac:dyDescent="0.2">
      <c r="A131" t="s">
        <v>77</v>
      </c>
      <c r="B131" t="s">
        <v>8</v>
      </c>
      <c r="C131">
        <v>25</v>
      </c>
      <c r="D131" t="s">
        <v>16</v>
      </c>
      <c r="E131" s="22">
        <v>44205</v>
      </c>
      <c r="F131" t="s">
        <v>19</v>
      </c>
      <c r="G131" s="5">
        <v>92700</v>
      </c>
      <c r="H131" t="s">
        <v>207</v>
      </c>
      <c r="I131" s="8">
        <f ca="1">(TODAY()-Staff[[#This Row],[Date Joined]])/365</f>
        <v>2.8493150684931505</v>
      </c>
      <c r="J131">
        <f ca="1">ROUNDUP(IF(Staff[[#This Row],[Tenure]]&gt;2, 3%, 2%)*Staff[[#This Row],[Salary]],0)</f>
        <v>2781</v>
      </c>
      <c r="K131">
        <f>_xlfn.XLOOKUP(Staff[[#This Row],[Rating]], 'Salary vs Rating'!$H$6:$H$10, 'Salary vs Rating'!$I$6:$I$10)</f>
        <v>3</v>
      </c>
    </row>
    <row r="132" spans="1:11" x14ac:dyDescent="0.2">
      <c r="A132" t="s">
        <v>163</v>
      </c>
      <c r="B132" t="s">
        <v>8</v>
      </c>
      <c r="C132">
        <v>33</v>
      </c>
      <c r="D132" t="s">
        <v>16</v>
      </c>
      <c r="E132" s="22">
        <v>44129</v>
      </c>
      <c r="F132" t="s">
        <v>12</v>
      </c>
      <c r="G132" s="5">
        <v>96140</v>
      </c>
      <c r="H132" t="s">
        <v>205</v>
      </c>
      <c r="I132" s="8">
        <f ca="1">(TODAY()-Staff[[#This Row],[Date Joined]])/365</f>
        <v>3.0575342465753423</v>
      </c>
      <c r="J132">
        <f ca="1">ROUNDUP(IF(Staff[[#This Row],[Tenure]]&gt;2, 3%, 2%)*Staff[[#This Row],[Salary]],0)</f>
        <v>2885</v>
      </c>
      <c r="K132">
        <f>_xlfn.XLOOKUP(Staff[[#This Row],[Rating]], 'Salary vs Rating'!$H$6:$H$10, 'Salary vs Rating'!$I$6:$I$10)</f>
        <v>3</v>
      </c>
    </row>
    <row r="133" spans="1:11" x14ac:dyDescent="0.2">
      <c r="A133" t="s">
        <v>71</v>
      </c>
      <c r="B133" t="s">
        <v>8</v>
      </c>
      <c r="C133">
        <v>33</v>
      </c>
      <c r="D133" t="s">
        <v>16</v>
      </c>
      <c r="E133" s="22">
        <v>44190</v>
      </c>
      <c r="F133" t="s">
        <v>12</v>
      </c>
      <c r="G133" s="5">
        <v>96140</v>
      </c>
      <c r="H133" t="s">
        <v>207</v>
      </c>
      <c r="I133" s="8">
        <f ca="1">(TODAY()-Staff[[#This Row],[Date Joined]])/365</f>
        <v>2.8904109589041096</v>
      </c>
      <c r="J133">
        <f ca="1">ROUNDUP(IF(Staff[[#This Row],[Tenure]]&gt;2, 3%, 2%)*Staff[[#This Row],[Salary]],0)</f>
        <v>2885</v>
      </c>
      <c r="K133">
        <f>_xlfn.XLOOKUP(Staff[[#This Row],[Rating]], 'Salary vs Rating'!$H$6:$H$10, 'Salary vs Rating'!$I$6:$I$10)</f>
        <v>3</v>
      </c>
    </row>
    <row r="134" spans="1:11" x14ac:dyDescent="0.2">
      <c r="A134" t="s">
        <v>177</v>
      </c>
      <c r="B134" t="s">
        <v>15</v>
      </c>
      <c r="C134">
        <v>30</v>
      </c>
      <c r="D134" t="s">
        <v>16</v>
      </c>
      <c r="E134" s="22">
        <v>44544</v>
      </c>
      <c r="F134" t="s">
        <v>21</v>
      </c>
      <c r="G134" s="5">
        <v>96800</v>
      </c>
      <c r="H134" t="s">
        <v>205</v>
      </c>
      <c r="I134" s="8">
        <f ca="1">(TODAY()-Staff[[#This Row],[Date Joined]])/365</f>
        <v>1.9205479452054794</v>
      </c>
      <c r="J134">
        <f ca="1">ROUNDUP(IF(Staff[[#This Row],[Tenure]]&gt;2, 3%, 2%)*Staff[[#This Row],[Salary]],0)</f>
        <v>1936</v>
      </c>
      <c r="K134">
        <f>_xlfn.XLOOKUP(Staff[[#This Row],[Rating]], 'Salary vs Rating'!$H$6:$H$10, 'Salary vs Rating'!$I$6:$I$10)</f>
        <v>3</v>
      </c>
    </row>
    <row r="135" spans="1:11" x14ac:dyDescent="0.2">
      <c r="A135" t="s">
        <v>85</v>
      </c>
      <c r="B135" t="s">
        <v>15</v>
      </c>
      <c r="C135">
        <v>30</v>
      </c>
      <c r="D135" t="s">
        <v>16</v>
      </c>
      <c r="E135" s="22">
        <v>44606</v>
      </c>
      <c r="F135" t="s">
        <v>21</v>
      </c>
      <c r="G135" s="5">
        <v>96800</v>
      </c>
      <c r="H135" t="s">
        <v>207</v>
      </c>
      <c r="I135" s="8">
        <f ca="1">(TODAY()-Staff[[#This Row],[Date Joined]])/365</f>
        <v>1.7506849315068493</v>
      </c>
      <c r="J135">
        <f ca="1">ROUNDUP(IF(Staff[[#This Row],[Tenure]]&gt;2, 3%, 2%)*Staff[[#This Row],[Salary]],0)</f>
        <v>1936</v>
      </c>
      <c r="K135">
        <f>_xlfn.XLOOKUP(Staff[[#This Row],[Rating]], 'Salary vs Rating'!$H$6:$H$10, 'Salary vs Rating'!$I$6:$I$10)</f>
        <v>3</v>
      </c>
    </row>
    <row r="136" spans="1:11" x14ac:dyDescent="0.2">
      <c r="A136" t="s">
        <v>198</v>
      </c>
      <c r="B136" t="s">
        <v>15</v>
      </c>
      <c r="C136">
        <v>40</v>
      </c>
      <c r="D136" t="s">
        <v>16</v>
      </c>
      <c r="E136" s="22">
        <v>44204</v>
      </c>
      <c r="F136" t="s">
        <v>9</v>
      </c>
      <c r="G136" s="5">
        <v>99750</v>
      </c>
      <c r="H136" t="s">
        <v>205</v>
      </c>
      <c r="I136" s="8">
        <f ca="1">(TODAY()-Staff[[#This Row],[Date Joined]])/365</f>
        <v>2.8520547945205479</v>
      </c>
      <c r="J136">
        <f ca="1">ROUNDUP(IF(Staff[[#This Row],[Tenure]]&gt;2, 3%, 2%)*Staff[[#This Row],[Salary]],0)</f>
        <v>2993</v>
      </c>
      <c r="K136">
        <f>_xlfn.XLOOKUP(Staff[[#This Row],[Rating]], 'Salary vs Rating'!$H$6:$H$10, 'Salary vs Rating'!$I$6:$I$10)</f>
        <v>3</v>
      </c>
    </row>
    <row r="137" spans="1:11" x14ac:dyDescent="0.2">
      <c r="A137" t="s">
        <v>105</v>
      </c>
      <c r="B137" t="s">
        <v>15</v>
      </c>
      <c r="C137">
        <v>40</v>
      </c>
      <c r="D137" t="s">
        <v>16</v>
      </c>
      <c r="E137" s="22">
        <v>44263</v>
      </c>
      <c r="F137" t="s">
        <v>9</v>
      </c>
      <c r="G137" s="5">
        <v>99750</v>
      </c>
      <c r="H137" t="s">
        <v>207</v>
      </c>
      <c r="I137" s="8">
        <f ca="1">(TODAY()-Staff[[#This Row],[Date Joined]])/365</f>
        <v>2.6904109589041094</v>
      </c>
      <c r="J137">
        <f ca="1">ROUNDUP(IF(Staff[[#This Row],[Tenure]]&gt;2, 3%, 2%)*Staff[[#This Row],[Salary]],0)</f>
        <v>2993</v>
      </c>
      <c r="K137">
        <f>_xlfn.XLOOKUP(Staff[[#This Row],[Rating]], 'Salary vs Rating'!$H$6:$H$10, 'Salary vs Rating'!$I$6:$I$10)</f>
        <v>3</v>
      </c>
    </row>
    <row r="138" spans="1:11" x14ac:dyDescent="0.2">
      <c r="A138" t="s">
        <v>200</v>
      </c>
      <c r="B138" t="s">
        <v>8</v>
      </c>
      <c r="C138">
        <v>28</v>
      </c>
      <c r="D138" t="s">
        <v>16</v>
      </c>
      <c r="E138" s="22">
        <v>44571</v>
      </c>
      <c r="F138" t="s">
        <v>9</v>
      </c>
      <c r="G138" s="5">
        <v>99970</v>
      </c>
      <c r="H138" t="s">
        <v>205</v>
      </c>
      <c r="I138" s="8">
        <f ca="1">(TODAY()-Staff[[#This Row],[Date Joined]])/365</f>
        <v>1.8465753424657534</v>
      </c>
      <c r="J138">
        <f ca="1">ROUNDUP(IF(Staff[[#This Row],[Tenure]]&gt;2, 3%, 2%)*Staff[[#This Row],[Salary]],0)</f>
        <v>2000</v>
      </c>
      <c r="K138">
        <f>_xlfn.XLOOKUP(Staff[[#This Row],[Rating]], 'Salary vs Rating'!$H$6:$H$10, 'Salary vs Rating'!$I$6:$I$10)</f>
        <v>3</v>
      </c>
    </row>
    <row r="139" spans="1:11" x14ac:dyDescent="0.2">
      <c r="A139" t="s">
        <v>107</v>
      </c>
      <c r="B139" t="s">
        <v>8</v>
      </c>
      <c r="C139">
        <v>28</v>
      </c>
      <c r="D139" t="s">
        <v>16</v>
      </c>
      <c r="E139" s="22">
        <v>44630</v>
      </c>
      <c r="F139" t="s">
        <v>9</v>
      </c>
      <c r="G139" s="5">
        <v>99970</v>
      </c>
      <c r="H139" t="s">
        <v>207</v>
      </c>
      <c r="I139" s="8">
        <f ca="1">(TODAY()-Staff[[#This Row],[Date Joined]])/365</f>
        <v>1.6849315068493151</v>
      </c>
      <c r="J139">
        <f ca="1">ROUNDUP(IF(Staff[[#This Row],[Tenure]]&gt;2, 3%, 2%)*Staff[[#This Row],[Salary]],0)</f>
        <v>2000</v>
      </c>
      <c r="K139">
        <f>_xlfn.XLOOKUP(Staff[[#This Row],[Rating]], 'Salary vs Rating'!$H$6:$H$10, 'Salary vs Rating'!$I$6:$I$10)</f>
        <v>3</v>
      </c>
    </row>
    <row r="140" spans="1:11" x14ac:dyDescent="0.2">
      <c r="A140" t="s">
        <v>196</v>
      </c>
      <c r="B140" t="s">
        <v>15</v>
      </c>
      <c r="C140">
        <v>24</v>
      </c>
      <c r="D140" t="s">
        <v>16</v>
      </c>
      <c r="E140" s="22">
        <v>44625</v>
      </c>
      <c r="F140" t="s">
        <v>12</v>
      </c>
      <c r="G140" s="5">
        <v>100420</v>
      </c>
      <c r="H140" t="s">
        <v>205</v>
      </c>
      <c r="I140" s="8">
        <f ca="1">(TODAY()-Staff[[#This Row],[Date Joined]])/365</f>
        <v>1.6986301369863013</v>
      </c>
      <c r="J140">
        <f ca="1">ROUNDUP(IF(Staff[[#This Row],[Tenure]]&gt;2, 3%, 2%)*Staff[[#This Row],[Salary]],0)</f>
        <v>2009</v>
      </c>
      <c r="K140">
        <f>_xlfn.XLOOKUP(Staff[[#This Row],[Rating]], 'Salary vs Rating'!$H$6:$H$10, 'Salary vs Rating'!$I$6:$I$10)</f>
        <v>3</v>
      </c>
    </row>
    <row r="141" spans="1:11" x14ac:dyDescent="0.2">
      <c r="A141" t="s">
        <v>103</v>
      </c>
      <c r="B141" t="s">
        <v>15</v>
      </c>
      <c r="C141">
        <v>24</v>
      </c>
      <c r="D141" t="s">
        <v>16</v>
      </c>
      <c r="E141" s="22">
        <v>44686</v>
      </c>
      <c r="F141" t="s">
        <v>12</v>
      </c>
      <c r="G141" s="5">
        <v>100420</v>
      </c>
      <c r="H141" t="s">
        <v>207</v>
      </c>
      <c r="I141" s="8">
        <f ca="1">(TODAY()-Staff[[#This Row],[Date Joined]])/365</f>
        <v>1.5315068493150685</v>
      </c>
      <c r="J141">
        <f ca="1">ROUNDUP(IF(Staff[[#This Row],[Tenure]]&gt;2, 3%, 2%)*Staff[[#This Row],[Salary]],0)</f>
        <v>2009</v>
      </c>
      <c r="K141">
        <f>_xlfn.XLOOKUP(Staff[[#This Row],[Rating]], 'Salary vs Rating'!$H$6:$H$10, 'Salary vs Rating'!$I$6:$I$10)</f>
        <v>3</v>
      </c>
    </row>
    <row r="142" spans="1:11" x14ac:dyDescent="0.2">
      <c r="A142" t="s">
        <v>143</v>
      </c>
      <c r="B142" t="s">
        <v>15</v>
      </c>
      <c r="C142">
        <v>31</v>
      </c>
      <c r="D142" t="s">
        <v>16</v>
      </c>
      <c r="E142" s="22">
        <v>44663</v>
      </c>
      <c r="F142" t="s">
        <v>9</v>
      </c>
      <c r="G142" s="5">
        <v>103550</v>
      </c>
      <c r="H142" t="s">
        <v>205</v>
      </c>
      <c r="I142" s="8">
        <f ca="1">(TODAY()-Staff[[#This Row],[Date Joined]])/365</f>
        <v>1.5945205479452054</v>
      </c>
      <c r="J142">
        <f ca="1">ROUNDUP(IF(Staff[[#This Row],[Tenure]]&gt;2, 3%, 2%)*Staff[[#This Row],[Salary]],0)</f>
        <v>2071</v>
      </c>
      <c r="K142">
        <f>_xlfn.XLOOKUP(Staff[[#This Row],[Rating]], 'Salary vs Rating'!$H$6:$H$10, 'Salary vs Rating'!$I$6:$I$10)</f>
        <v>3</v>
      </c>
    </row>
    <row r="143" spans="1:11" x14ac:dyDescent="0.2">
      <c r="A143" t="s">
        <v>50</v>
      </c>
      <c r="B143" t="s">
        <v>15</v>
      </c>
      <c r="C143">
        <v>31</v>
      </c>
      <c r="D143" t="s">
        <v>16</v>
      </c>
      <c r="E143" s="22">
        <v>44724</v>
      </c>
      <c r="F143" t="s">
        <v>9</v>
      </c>
      <c r="G143" s="5">
        <v>103550</v>
      </c>
      <c r="H143" t="s">
        <v>207</v>
      </c>
      <c r="I143" s="8">
        <f ca="1">(TODAY()-Staff[[#This Row],[Date Joined]])/365</f>
        <v>1.4273972602739726</v>
      </c>
      <c r="J143">
        <f ca="1">ROUNDUP(IF(Staff[[#This Row],[Tenure]]&gt;2, 3%, 2%)*Staff[[#This Row],[Salary]],0)</f>
        <v>2071</v>
      </c>
      <c r="K143">
        <f>_xlfn.XLOOKUP(Staff[[#This Row],[Rating]], 'Salary vs Rating'!$H$6:$H$10, 'Salary vs Rating'!$I$6:$I$10)</f>
        <v>3</v>
      </c>
    </row>
    <row r="144" spans="1:11" x14ac:dyDescent="0.2">
      <c r="A144" t="s">
        <v>189</v>
      </c>
      <c r="B144" t="s">
        <v>8</v>
      </c>
      <c r="C144">
        <v>28</v>
      </c>
      <c r="D144" t="s">
        <v>16</v>
      </c>
      <c r="E144" s="22">
        <v>44590</v>
      </c>
      <c r="F144" t="s">
        <v>9</v>
      </c>
      <c r="G144" s="5">
        <v>104120</v>
      </c>
      <c r="H144" t="s">
        <v>205</v>
      </c>
      <c r="I144" s="8">
        <f ca="1">(TODAY()-Staff[[#This Row],[Date Joined]])/365</f>
        <v>1.7945205479452055</v>
      </c>
      <c r="J144">
        <f ca="1">ROUNDUP(IF(Staff[[#This Row],[Tenure]]&gt;2, 3%, 2%)*Staff[[#This Row],[Salary]],0)</f>
        <v>2083</v>
      </c>
      <c r="K144">
        <f>_xlfn.XLOOKUP(Staff[[#This Row],[Rating]], 'Salary vs Rating'!$H$6:$H$10, 'Salary vs Rating'!$I$6:$I$10)</f>
        <v>3</v>
      </c>
    </row>
    <row r="145" spans="1:11" x14ac:dyDescent="0.2">
      <c r="A145" t="s">
        <v>96</v>
      </c>
      <c r="B145" t="s">
        <v>8</v>
      </c>
      <c r="C145">
        <v>28</v>
      </c>
      <c r="D145" t="s">
        <v>16</v>
      </c>
      <c r="E145" s="22">
        <v>44649</v>
      </c>
      <c r="F145" t="s">
        <v>9</v>
      </c>
      <c r="G145" s="5">
        <v>104120</v>
      </c>
      <c r="H145" t="s">
        <v>207</v>
      </c>
      <c r="I145" s="8">
        <f ca="1">(TODAY()-Staff[[#This Row],[Date Joined]])/365</f>
        <v>1.6328767123287671</v>
      </c>
      <c r="J145">
        <f ca="1">ROUNDUP(IF(Staff[[#This Row],[Tenure]]&gt;2, 3%, 2%)*Staff[[#This Row],[Salary]],0)</f>
        <v>2083</v>
      </c>
      <c r="K145">
        <f>_xlfn.XLOOKUP(Staff[[#This Row],[Rating]], 'Salary vs Rating'!$H$6:$H$10, 'Salary vs Rating'!$I$6:$I$10)</f>
        <v>3</v>
      </c>
    </row>
    <row r="146" spans="1:11" x14ac:dyDescent="0.2">
      <c r="A146" t="s">
        <v>194</v>
      </c>
      <c r="B146" t="s">
        <v>8</v>
      </c>
      <c r="C146">
        <v>40</v>
      </c>
      <c r="D146" t="s">
        <v>16</v>
      </c>
      <c r="E146" s="22">
        <v>44320</v>
      </c>
      <c r="F146" t="s">
        <v>12</v>
      </c>
      <c r="G146" s="5">
        <v>104410</v>
      </c>
      <c r="H146" t="s">
        <v>205</v>
      </c>
      <c r="I146" s="8">
        <f ca="1">(TODAY()-Staff[[#This Row],[Date Joined]])/365</f>
        <v>2.5342465753424657</v>
      </c>
      <c r="J146">
        <f ca="1">ROUNDUP(IF(Staff[[#This Row],[Tenure]]&gt;2, 3%, 2%)*Staff[[#This Row],[Salary]],0)</f>
        <v>3133</v>
      </c>
      <c r="K146">
        <f>_xlfn.XLOOKUP(Staff[[#This Row],[Rating]], 'Salary vs Rating'!$H$6:$H$10, 'Salary vs Rating'!$I$6:$I$10)</f>
        <v>3</v>
      </c>
    </row>
    <row r="147" spans="1:11" x14ac:dyDescent="0.2">
      <c r="A147" t="s">
        <v>101</v>
      </c>
      <c r="B147" t="s">
        <v>8</v>
      </c>
      <c r="C147">
        <v>40</v>
      </c>
      <c r="D147" t="s">
        <v>16</v>
      </c>
      <c r="E147" s="22">
        <v>44381</v>
      </c>
      <c r="F147" t="s">
        <v>12</v>
      </c>
      <c r="G147" s="5">
        <v>104410</v>
      </c>
      <c r="H147" t="s">
        <v>207</v>
      </c>
      <c r="I147" s="8">
        <f ca="1">(TODAY()-Staff[[#This Row],[Date Joined]])/365</f>
        <v>2.3671232876712329</v>
      </c>
      <c r="J147">
        <f ca="1">ROUNDUP(IF(Staff[[#This Row],[Tenure]]&gt;2, 3%, 2%)*Staff[[#This Row],[Salary]],0)</f>
        <v>3133</v>
      </c>
      <c r="K147">
        <f>_xlfn.XLOOKUP(Staff[[#This Row],[Rating]], 'Salary vs Rating'!$H$6:$H$10, 'Salary vs Rating'!$I$6:$I$10)</f>
        <v>3</v>
      </c>
    </row>
    <row r="148" spans="1:11" x14ac:dyDescent="0.2">
      <c r="A148" t="s">
        <v>136</v>
      </c>
      <c r="B148" t="s">
        <v>8</v>
      </c>
      <c r="C148">
        <v>28</v>
      </c>
      <c r="D148" t="s">
        <v>16</v>
      </c>
      <c r="E148" s="22">
        <v>44425</v>
      </c>
      <c r="F148" t="s">
        <v>9</v>
      </c>
      <c r="G148" s="5">
        <v>104770</v>
      </c>
      <c r="H148" t="s">
        <v>205</v>
      </c>
      <c r="I148" s="8">
        <f ca="1">(TODAY()-Staff[[#This Row],[Date Joined]])/365</f>
        <v>2.2465753424657535</v>
      </c>
      <c r="J148">
        <f ca="1">ROUNDUP(IF(Staff[[#This Row],[Tenure]]&gt;2, 3%, 2%)*Staff[[#This Row],[Salary]],0)</f>
        <v>3144</v>
      </c>
      <c r="K148">
        <f>_xlfn.XLOOKUP(Staff[[#This Row],[Rating]], 'Salary vs Rating'!$H$6:$H$10, 'Salary vs Rating'!$I$6:$I$10)</f>
        <v>3</v>
      </c>
    </row>
    <row r="149" spans="1:11" x14ac:dyDescent="0.2">
      <c r="A149" t="s">
        <v>43</v>
      </c>
      <c r="B149" t="s">
        <v>8</v>
      </c>
      <c r="C149">
        <v>28</v>
      </c>
      <c r="D149" t="s">
        <v>16</v>
      </c>
      <c r="E149" s="22">
        <v>44486</v>
      </c>
      <c r="F149" t="s">
        <v>9</v>
      </c>
      <c r="G149" s="5">
        <v>104770</v>
      </c>
      <c r="H149" t="s">
        <v>207</v>
      </c>
      <c r="I149" s="8">
        <f ca="1">(TODAY()-Staff[[#This Row],[Date Joined]])/365</f>
        <v>2.0794520547945203</v>
      </c>
      <c r="J149">
        <f ca="1">ROUNDUP(IF(Staff[[#This Row],[Tenure]]&gt;2, 3%, 2%)*Staff[[#This Row],[Salary]],0)</f>
        <v>3144</v>
      </c>
      <c r="K149">
        <f>_xlfn.XLOOKUP(Staff[[#This Row],[Rating]], 'Salary vs Rating'!$H$6:$H$10, 'Salary vs Rating'!$I$6:$I$10)</f>
        <v>3</v>
      </c>
    </row>
    <row r="150" spans="1:11" x14ac:dyDescent="0.2">
      <c r="A150" t="s">
        <v>161</v>
      </c>
      <c r="B150" t="s">
        <v>15</v>
      </c>
      <c r="C150">
        <v>23</v>
      </c>
      <c r="D150" t="s">
        <v>16</v>
      </c>
      <c r="E150" s="22">
        <v>44378</v>
      </c>
      <c r="F150" t="s">
        <v>9</v>
      </c>
      <c r="G150" s="5">
        <v>106460</v>
      </c>
      <c r="H150" t="s">
        <v>205</v>
      </c>
      <c r="I150" s="8">
        <f ca="1">(TODAY()-Staff[[#This Row],[Date Joined]])/365</f>
        <v>2.3753424657534246</v>
      </c>
      <c r="J150">
        <f ca="1">ROUNDUP(IF(Staff[[#This Row],[Tenure]]&gt;2, 3%, 2%)*Staff[[#This Row],[Salary]],0)</f>
        <v>3194</v>
      </c>
      <c r="K150">
        <f>_xlfn.XLOOKUP(Staff[[#This Row],[Rating]], 'Salary vs Rating'!$H$6:$H$10, 'Salary vs Rating'!$I$6:$I$10)</f>
        <v>3</v>
      </c>
    </row>
    <row r="151" spans="1:11" x14ac:dyDescent="0.2">
      <c r="A151" t="s">
        <v>69</v>
      </c>
      <c r="B151" t="s">
        <v>15</v>
      </c>
      <c r="C151">
        <v>23</v>
      </c>
      <c r="D151" t="s">
        <v>16</v>
      </c>
      <c r="E151" s="22">
        <v>44440</v>
      </c>
      <c r="F151" t="s">
        <v>9</v>
      </c>
      <c r="G151" s="5">
        <v>106460</v>
      </c>
      <c r="H151" t="s">
        <v>207</v>
      </c>
      <c r="I151" s="8">
        <f ca="1">(TODAY()-Staff[[#This Row],[Date Joined]])/365</f>
        <v>2.2054794520547945</v>
      </c>
      <c r="J151">
        <f ca="1">ROUNDUP(IF(Staff[[#This Row],[Tenure]]&gt;2, 3%, 2%)*Staff[[#This Row],[Salary]],0)</f>
        <v>3194</v>
      </c>
      <c r="K151">
        <f>_xlfn.XLOOKUP(Staff[[#This Row],[Rating]], 'Salary vs Rating'!$H$6:$H$10, 'Salary vs Rating'!$I$6:$I$10)</f>
        <v>3</v>
      </c>
    </row>
    <row r="152" spans="1:11" x14ac:dyDescent="0.2">
      <c r="A152" t="s">
        <v>117</v>
      </c>
      <c r="B152" t="s">
        <v>15</v>
      </c>
      <c r="C152">
        <v>20</v>
      </c>
      <c r="D152" t="s">
        <v>16</v>
      </c>
      <c r="E152" s="22">
        <v>44397</v>
      </c>
      <c r="F152" t="s">
        <v>12</v>
      </c>
      <c r="G152" s="5">
        <v>107700</v>
      </c>
      <c r="H152" t="s">
        <v>205</v>
      </c>
      <c r="I152" s="8">
        <f ca="1">(TODAY()-Staff[[#This Row],[Date Joined]])/365</f>
        <v>2.3232876712328765</v>
      </c>
      <c r="J152">
        <f ca="1">ROUNDUP(IF(Staff[[#This Row],[Tenure]]&gt;2, 3%, 2%)*Staff[[#This Row],[Salary]],0)</f>
        <v>3231</v>
      </c>
      <c r="K152">
        <f>_xlfn.XLOOKUP(Staff[[#This Row],[Rating]], 'Salary vs Rating'!$H$6:$H$10, 'Salary vs Rating'!$I$6:$I$10)</f>
        <v>3</v>
      </c>
    </row>
    <row r="153" spans="1:11" x14ac:dyDescent="0.2">
      <c r="A153" t="s">
        <v>22</v>
      </c>
      <c r="B153" t="s">
        <v>15</v>
      </c>
      <c r="C153">
        <v>20</v>
      </c>
      <c r="D153" t="s">
        <v>16</v>
      </c>
      <c r="E153" s="22">
        <v>44459</v>
      </c>
      <c r="F153" t="s">
        <v>12</v>
      </c>
      <c r="G153" s="5">
        <v>107700</v>
      </c>
      <c r="H153" t="s">
        <v>207</v>
      </c>
      <c r="I153" s="8">
        <f ca="1">(TODAY()-Staff[[#This Row],[Date Joined]])/365</f>
        <v>2.1534246575342464</v>
      </c>
      <c r="J153">
        <f ca="1">ROUNDUP(IF(Staff[[#This Row],[Tenure]]&gt;2, 3%, 2%)*Staff[[#This Row],[Salary]],0)</f>
        <v>3231</v>
      </c>
      <c r="K153">
        <f>_xlfn.XLOOKUP(Staff[[#This Row],[Rating]], 'Salary vs Rating'!$H$6:$H$10, 'Salary vs Rating'!$I$6:$I$10)</f>
        <v>3</v>
      </c>
    </row>
    <row r="154" spans="1:11" x14ac:dyDescent="0.2">
      <c r="A154" t="s">
        <v>127</v>
      </c>
      <c r="B154" t="s">
        <v>8</v>
      </c>
      <c r="C154">
        <v>38</v>
      </c>
      <c r="D154" t="s">
        <v>10</v>
      </c>
      <c r="E154" s="22">
        <v>44316</v>
      </c>
      <c r="F154" t="s">
        <v>19</v>
      </c>
      <c r="G154" s="5">
        <v>109160</v>
      </c>
      <c r="H154" t="s">
        <v>205</v>
      </c>
      <c r="I154" s="8">
        <f ca="1">(TODAY()-Staff[[#This Row],[Date Joined]])/365</f>
        <v>2.5452054794520547</v>
      </c>
      <c r="J154">
        <f ca="1">ROUNDUP(IF(Staff[[#This Row],[Tenure]]&gt;2, 3%, 2%)*Staff[[#This Row],[Salary]],0)</f>
        <v>3275</v>
      </c>
      <c r="K154">
        <f>_xlfn.XLOOKUP(Staff[[#This Row],[Rating]], 'Salary vs Rating'!$H$6:$H$10, 'Salary vs Rating'!$I$6:$I$10)</f>
        <v>5</v>
      </c>
    </row>
    <row r="155" spans="1:11" x14ac:dyDescent="0.2">
      <c r="A155" t="s">
        <v>33</v>
      </c>
      <c r="B155" t="s">
        <v>8</v>
      </c>
      <c r="C155">
        <v>38</v>
      </c>
      <c r="D155" t="s">
        <v>10</v>
      </c>
      <c r="E155" s="22">
        <v>44377</v>
      </c>
      <c r="F155" t="s">
        <v>19</v>
      </c>
      <c r="G155" s="5">
        <v>109160</v>
      </c>
      <c r="H155" t="s">
        <v>207</v>
      </c>
      <c r="I155" s="8">
        <f ca="1">(TODAY()-Staff[[#This Row],[Date Joined]])/365</f>
        <v>2.3780821917808219</v>
      </c>
      <c r="J155">
        <f ca="1">ROUNDUP(IF(Staff[[#This Row],[Tenure]]&gt;2, 3%, 2%)*Staff[[#This Row],[Salary]],0)</f>
        <v>3275</v>
      </c>
      <c r="K155">
        <f>_xlfn.XLOOKUP(Staff[[#This Row],[Rating]], 'Salary vs Rating'!$H$6:$H$10, 'Salary vs Rating'!$I$6:$I$10)</f>
        <v>5</v>
      </c>
    </row>
    <row r="156" spans="1:11" x14ac:dyDescent="0.2">
      <c r="A156" t="s">
        <v>128</v>
      </c>
      <c r="B156" t="s">
        <v>15</v>
      </c>
      <c r="C156">
        <v>25</v>
      </c>
      <c r="D156" t="s">
        <v>13</v>
      </c>
      <c r="E156" s="22">
        <v>44665</v>
      </c>
      <c r="F156" t="s">
        <v>9</v>
      </c>
      <c r="G156" s="5">
        <v>109190</v>
      </c>
      <c r="H156" t="s">
        <v>205</v>
      </c>
      <c r="I156" s="8">
        <f ca="1">(TODAY()-Staff[[#This Row],[Date Joined]])/365</f>
        <v>1.5890410958904109</v>
      </c>
      <c r="J156">
        <f ca="1">ROUNDUP(IF(Staff[[#This Row],[Tenure]]&gt;2, 3%, 2%)*Staff[[#This Row],[Salary]],0)</f>
        <v>2184</v>
      </c>
      <c r="K156">
        <f>_xlfn.XLOOKUP(Staff[[#This Row],[Rating]], 'Salary vs Rating'!$H$6:$H$10, 'Salary vs Rating'!$I$6:$I$10)</f>
        <v>4</v>
      </c>
    </row>
    <row r="157" spans="1:11" x14ac:dyDescent="0.2">
      <c r="A157" t="s">
        <v>34</v>
      </c>
      <c r="B157" t="s">
        <v>15</v>
      </c>
      <c r="C157">
        <v>25</v>
      </c>
      <c r="D157" t="s">
        <v>13</v>
      </c>
      <c r="E157" s="22">
        <v>44726</v>
      </c>
      <c r="F157" t="s">
        <v>9</v>
      </c>
      <c r="G157" s="5">
        <v>109190</v>
      </c>
      <c r="H157" t="s">
        <v>207</v>
      </c>
      <c r="I157" s="8">
        <f ca="1">(TODAY()-Staff[[#This Row],[Date Joined]])/365</f>
        <v>1.4219178082191781</v>
      </c>
      <c r="J157">
        <f ca="1">ROUNDUP(IF(Staff[[#This Row],[Tenure]]&gt;2, 3%, 2%)*Staff[[#This Row],[Salary]],0)</f>
        <v>2184</v>
      </c>
      <c r="K157">
        <f>_xlfn.XLOOKUP(Staff[[#This Row],[Rating]], 'Salary vs Rating'!$H$6:$H$10, 'Salary vs Rating'!$I$6:$I$10)</f>
        <v>4</v>
      </c>
    </row>
    <row r="158" spans="1:11" x14ac:dyDescent="0.2">
      <c r="A158" t="s">
        <v>180</v>
      </c>
      <c r="B158" t="s">
        <v>15</v>
      </c>
      <c r="C158">
        <v>29</v>
      </c>
      <c r="D158" t="s">
        <v>24</v>
      </c>
      <c r="E158" s="22">
        <v>44119</v>
      </c>
      <c r="F158" t="s">
        <v>12</v>
      </c>
      <c r="G158" s="5">
        <v>112110</v>
      </c>
      <c r="H158" t="s">
        <v>205</v>
      </c>
      <c r="I158" s="8">
        <f ca="1">(TODAY()-Staff[[#This Row],[Date Joined]])/365</f>
        <v>3.0849315068493151</v>
      </c>
      <c r="J158">
        <f ca="1">ROUNDUP(IF(Staff[[#This Row],[Tenure]]&gt;2, 3%, 2%)*Staff[[#This Row],[Salary]],0)</f>
        <v>3364</v>
      </c>
      <c r="K158">
        <f>_xlfn.XLOOKUP(Staff[[#This Row],[Rating]], 'Salary vs Rating'!$H$6:$H$10, 'Salary vs Rating'!$I$6:$I$10)</f>
        <v>2</v>
      </c>
    </row>
    <row r="159" spans="1:11" x14ac:dyDescent="0.2">
      <c r="A159" t="s">
        <v>87</v>
      </c>
      <c r="B159" t="s">
        <v>15</v>
      </c>
      <c r="C159">
        <v>29</v>
      </c>
      <c r="D159" t="s">
        <v>24</v>
      </c>
      <c r="E159" s="22">
        <v>44180</v>
      </c>
      <c r="F159" t="s">
        <v>12</v>
      </c>
      <c r="G159" s="5">
        <v>112110</v>
      </c>
      <c r="H159" t="s">
        <v>207</v>
      </c>
      <c r="I159" s="8">
        <f ca="1">(TODAY()-Staff[[#This Row],[Date Joined]])/365</f>
        <v>2.9178082191780823</v>
      </c>
      <c r="J159">
        <f ca="1">ROUNDUP(IF(Staff[[#This Row],[Tenure]]&gt;2, 3%, 2%)*Staff[[#This Row],[Salary]],0)</f>
        <v>3364</v>
      </c>
      <c r="K159">
        <f>_xlfn.XLOOKUP(Staff[[#This Row],[Rating]], 'Salary vs Rating'!$H$6:$H$10, 'Salary vs Rating'!$I$6:$I$10)</f>
        <v>2</v>
      </c>
    </row>
    <row r="160" spans="1:11" x14ac:dyDescent="0.2">
      <c r="A160" t="s">
        <v>173</v>
      </c>
      <c r="B160" t="s">
        <v>8</v>
      </c>
      <c r="C160">
        <v>30</v>
      </c>
      <c r="D160" t="s">
        <v>16</v>
      </c>
      <c r="E160" s="22">
        <v>44800</v>
      </c>
      <c r="F160" t="s">
        <v>9</v>
      </c>
      <c r="G160" s="5">
        <v>112570</v>
      </c>
      <c r="H160" t="s">
        <v>205</v>
      </c>
      <c r="I160" s="8">
        <f ca="1">(TODAY()-Staff[[#This Row],[Date Joined]])/365</f>
        <v>1.2191780821917808</v>
      </c>
      <c r="J160">
        <f ca="1">ROUNDUP(IF(Staff[[#This Row],[Tenure]]&gt;2, 3%, 2%)*Staff[[#This Row],[Salary]],0)</f>
        <v>2252</v>
      </c>
      <c r="K160">
        <f>_xlfn.XLOOKUP(Staff[[#This Row],[Rating]], 'Salary vs Rating'!$H$6:$H$10, 'Salary vs Rating'!$I$6:$I$10)</f>
        <v>3</v>
      </c>
    </row>
    <row r="161" spans="1:11" x14ac:dyDescent="0.2">
      <c r="A161" t="s">
        <v>81</v>
      </c>
      <c r="B161" t="s">
        <v>8</v>
      </c>
      <c r="C161">
        <v>30</v>
      </c>
      <c r="D161" t="s">
        <v>16</v>
      </c>
      <c r="E161" s="22">
        <v>44861</v>
      </c>
      <c r="F161" t="s">
        <v>9</v>
      </c>
      <c r="G161" s="5">
        <v>112570</v>
      </c>
      <c r="H161" t="s">
        <v>207</v>
      </c>
      <c r="I161" s="8">
        <f ca="1">(TODAY()-Staff[[#This Row],[Date Joined]])/365</f>
        <v>1.0520547945205478</v>
      </c>
      <c r="J161">
        <f ca="1">ROUNDUP(IF(Staff[[#This Row],[Tenure]]&gt;2, 3%, 2%)*Staff[[#This Row],[Salary]],0)</f>
        <v>2252</v>
      </c>
      <c r="K161">
        <f>_xlfn.XLOOKUP(Staff[[#This Row],[Rating]], 'Salary vs Rating'!$H$6:$H$10, 'Salary vs Rating'!$I$6:$I$10)</f>
        <v>3</v>
      </c>
    </row>
    <row r="162" spans="1:11" x14ac:dyDescent="0.2">
      <c r="A162" t="s">
        <v>156</v>
      </c>
      <c r="B162" t="s">
        <v>15</v>
      </c>
      <c r="C162">
        <v>20</v>
      </c>
      <c r="D162" t="s">
        <v>16</v>
      </c>
      <c r="E162" s="22">
        <v>44122</v>
      </c>
      <c r="F162" t="s">
        <v>12</v>
      </c>
      <c r="G162" s="5">
        <v>112650</v>
      </c>
      <c r="H162" t="s">
        <v>205</v>
      </c>
      <c r="I162" s="8">
        <f ca="1">(TODAY()-Staff[[#This Row],[Date Joined]])/365</f>
        <v>3.0767123287671234</v>
      </c>
      <c r="J162">
        <f ca="1">ROUNDUP(IF(Staff[[#This Row],[Tenure]]&gt;2, 3%, 2%)*Staff[[#This Row],[Salary]],0)</f>
        <v>3380</v>
      </c>
      <c r="K162">
        <f>_xlfn.XLOOKUP(Staff[[#This Row],[Rating]], 'Salary vs Rating'!$H$6:$H$10, 'Salary vs Rating'!$I$6:$I$10)</f>
        <v>3</v>
      </c>
    </row>
    <row r="163" spans="1:11" x14ac:dyDescent="0.2">
      <c r="A163" t="s">
        <v>178</v>
      </c>
      <c r="B163" t="s">
        <v>15</v>
      </c>
      <c r="C163">
        <v>34</v>
      </c>
      <c r="D163" t="s">
        <v>16</v>
      </c>
      <c r="E163" s="22">
        <v>44642</v>
      </c>
      <c r="F163" t="s">
        <v>9</v>
      </c>
      <c r="G163" s="5">
        <v>112650</v>
      </c>
      <c r="H163" t="s">
        <v>205</v>
      </c>
      <c r="I163" s="8">
        <f ca="1">(TODAY()-Staff[[#This Row],[Date Joined]])/365</f>
        <v>1.6520547945205479</v>
      </c>
      <c r="J163">
        <f ca="1">ROUNDUP(IF(Staff[[#This Row],[Tenure]]&gt;2, 3%, 2%)*Staff[[#This Row],[Salary]],0)</f>
        <v>2253</v>
      </c>
      <c r="K163">
        <f>_xlfn.XLOOKUP(Staff[[#This Row],[Rating]], 'Salary vs Rating'!$H$6:$H$10, 'Salary vs Rating'!$I$6:$I$10)</f>
        <v>3</v>
      </c>
    </row>
    <row r="164" spans="1:11" x14ac:dyDescent="0.2">
      <c r="A164" t="s">
        <v>64</v>
      </c>
      <c r="B164" t="s">
        <v>15</v>
      </c>
      <c r="C164">
        <v>20</v>
      </c>
      <c r="D164" t="s">
        <v>16</v>
      </c>
      <c r="E164" s="22">
        <v>44183</v>
      </c>
      <c r="F164" t="s">
        <v>12</v>
      </c>
      <c r="G164" s="5">
        <v>112650</v>
      </c>
      <c r="H164" t="s">
        <v>207</v>
      </c>
      <c r="I164" s="8">
        <f ca="1">(TODAY()-Staff[[#This Row],[Date Joined]])/365</f>
        <v>2.9095890410958902</v>
      </c>
      <c r="J164">
        <f ca="1">ROUNDUP(IF(Staff[[#This Row],[Tenure]]&gt;2, 3%, 2%)*Staff[[#This Row],[Salary]],0)</f>
        <v>3380</v>
      </c>
      <c r="K164">
        <f>_xlfn.XLOOKUP(Staff[[#This Row],[Rating]], 'Salary vs Rating'!$H$6:$H$10, 'Salary vs Rating'!$I$6:$I$10)</f>
        <v>3</v>
      </c>
    </row>
    <row r="165" spans="1:11" x14ac:dyDescent="0.2">
      <c r="A165" t="s">
        <v>150</v>
      </c>
      <c r="B165" t="s">
        <v>15</v>
      </c>
      <c r="C165">
        <v>22</v>
      </c>
      <c r="D165" t="s">
        <v>13</v>
      </c>
      <c r="E165" s="22">
        <v>44384</v>
      </c>
      <c r="F165" t="s">
        <v>19</v>
      </c>
      <c r="G165" s="5">
        <v>112780</v>
      </c>
      <c r="H165" t="s">
        <v>205</v>
      </c>
      <c r="I165" s="8">
        <f ca="1">(TODAY()-Staff[[#This Row],[Date Joined]])/365</f>
        <v>2.3589041095890413</v>
      </c>
      <c r="J165">
        <f ca="1">ROUNDUP(IF(Staff[[#This Row],[Tenure]]&gt;2, 3%, 2%)*Staff[[#This Row],[Salary]],0)</f>
        <v>3384</v>
      </c>
      <c r="K165">
        <f>_xlfn.XLOOKUP(Staff[[#This Row],[Rating]], 'Salary vs Rating'!$H$6:$H$10, 'Salary vs Rating'!$I$6:$I$10)</f>
        <v>4</v>
      </c>
    </row>
    <row r="166" spans="1:11" x14ac:dyDescent="0.2">
      <c r="A166" t="s">
        <v>58</v>
      </c>
      <c r="B166" t="s">
        <v>15</v>
      </c>
      <c r="C166">
        <v>22</v>
      </c>
      <c r="D166" t="s">
        <v>13</v>
      </c>
      <c r="E166" s="22">
        <v>44446</v>
      </c>
      <c r="F166" t="s">
        <v>19</v>
      </c>
      <c r="G166" s="5">
        <v>112780</v>
      </c>
      <c r="H166" t="s">
        <v>207</v>
      </c>
      <c r="I166" s="8">
        <f ca="1">(TODAY()-Staff[[#This Row],[Date Joined]])/365</f>
        <v>2.1890410958904107</v>
      </c>
      <c r="J166">
        <f ca="1">ROUNDUP(IF(Staff[[#This Row],[Tenure]]&gt;2, 3%, 2%)*Staff[[#This Row],[Salary]],0)</f>
        <v>3384</v>
      </c>
      <c r="K166">
        <f>_xlfn.XLOOKUP(Staff[[#This Row],[Rating]], 'Salary vs Rating'!$H$6:$H$10, 'Salary vs Rating'!$I$6:$I$10)</f>
        <v>4</v>
      </c>
    </row>
    <row r="167" spans="1:11" x14ac:dyDescent="0.2">
      <c r="A167" t="s">
        <v>191</v>
      </c>
      <c r="B167" t="s">
        <v>15</v>
      </c>
      <c r="C167">
        <v>27</v>
      </c>
      <c r="D167" t="s">
        <v>42</v>
      </c>
      <c r="E167" s="22">
        <v>44547</v>
      </c>
      <c r="F167" t="s">
        <v>9</v>
      </c>
      <c r="G167" s="5">
        <v>113280</v>
      </c>
      <c r="H167" t="s">
        <v>205</v>
      </c>
      <c r="I167" s="8">
        <f ca="1">(TODAY()-Staff[[#This Row],[Date Joined]])/365</f>
        <v>1.9123287671232876</v>
      </c>
      <c r="J167">
        <f ca="1">ROUNDUP(IF(Staff[[#This Row],[Tenure]]&gt;2, 3%, 2%)*Staff[[#This Row],[Salary]],0)</f>
        <v>2266</v>
      </c>
      <c r="K167">
        <f>_xlfn.XLOOKUP(Staff[[#This Row],[Rating]], 'Salary vs Rating'!$H$6:$H$10, 'Salary vs Rating'!$I$6:$I$10)</f>
        <v>1</v>
      </c>
    </row>
    <row r="168" spans="1:11" x14ac:dyDescent="0.2">
      <c r="A168" t="s">
        <v>98</v>
      </c>
      <c r="B168" t="s">
        <v>15</v>
      </c>
      <c r="C168">
        <v>27</v>
      </c>
      <c r="D168" t="s">
        <v>42</v>
      </c>
      <c r="E168" s="22">
        <v>44609</v>
      </c>
      <c r="F168" t="s">
        <v>9</v>
      </c>
      <c r="G168" s="5">
        <v>113280</v>
      </c>
      <c r="H168" t="s">
        <v>207</v>
      </c>
      <c r="I168" s="8">
        <f ca="1">(TODAY()-Staff[[#This Row],[Date Joined]])/365</f>
        <v>1.7424657534246575</v>
      </c>
      <c r="J168">
        <f ca="1">ROUNDUP(IF(Staff[[#This Row],[Tenure]]&gt;2, 3%, 2%)*Staff[[#This Row],[Salary]],0)</f>
        <v>2266</v>
      </c>
      <c r="K168">
        <f>_xlfn.XLOOKUP(Staff[[#This Row],[Rating]], 'Salary vs Rating'!$H$6:$H$10, 'Salary vs Rating'!$I$6:$I$10)</f>
        <v>1</v>
      </c>
    </row>
    <row r="169" spans="1:11" x14ac:dyDescent="0.2">
      <c r="A169" t="s">
        <v>147</v>
      </c>
      <c r="B169" t="s">
        <v>8</v>
      </c>
      <c r="C169">
        <v>30</v>
      </c>
      <c r="D169" t="s">
        <v>16</v>
      </c>
      <c r="E169" s="22">
        <v>44789</v>
      </c>
      <c r="F169" t="s">
        <v>9</v>
      </c>
      <c r="G169" s="5">
        <v>114180</v>
      </c>
      <c r="H169" t="s">
        <v>205</v>
      </c>
      <c r="I169" s="8">
        <f ca="1">(TODAY()-Staff[[#This Row],[Date Joined]])/365</f>
        <v>1.2493150684931507</v>
      </c>
      <c r="J169">
        <f ca="1">ROUNDUP(IF(Staff[[#This Row],[Tenure]]&gt;2, 3%, 2%)*Staff[[#This Row],[Salary]],0)</f>
        <v>2284</v>
      </c>
      <c r="K169">
        <f>_xlfn.XLOOKUP(Staff[[#This Row],[Rating]], 'Salary vs Rating'!$H$6:$H$10, 'Salary vs Rating'!$I$6:$I$10)</f>
        <v>3</v>
      </c>
    </row>
    <row r="170" spans="1:11" x14ac:dyDescent="0.2">
      <c r="A170" t="s">
        <v>54</v>
      </c>
      <c r="B170" t="s">
        <v>8</v>
      </c>
      <c r="C170">
        <v>30</v>
      </c>
      <c r="D170" t="s">
        <v>16</v>
      </c>
      <c r="E170" s="22">
        <v>44850</v>
      </c>
      <c r="F170" t="s">
        <v>9</v>
      </c>
      <c r="G170" s="5">
        <v>114180</v>
      </c>
      <c r="H170" t="s">
        <v>207</v>
      </c>
      <c r="I170" s="8">
        <f ca="1">(TODAY()-Staff[[#This Row],[Date Joined]])/365</f>
        <v>1.0821917808219179</v>
      </c>
      <c r="J170">
        <f ca="1">ROUNDUP(IF(Staff[[#This Row],[Tenure]]&gt;2, 3%, 2%)*Staff[[#This Row],[Salary]],0)</f>
        <v>2284</v>
      </c>
      <c r="K170">
        <f>_xlfn.XLOOKUP(Staff[[#This Row],[Rating]], 'Salary vs Rating'!$H$6:$H$10, 'Salary vs Rating'!$I$6:$I$10)</f>
        <v>3</v>
      </c>
    </row>
    <row r="171" spans="1:11" x14ac:dyDescent="0.2">
      <c r="A171" t="s">
        <v>114</v>
      </c>
      <c r="B171" t="s">
        <v>8</v>
      </c>
      <c r="C171">
        <v>44</v>
      </c>
      <c r="D171" t="s">
        <v>16</v>
      </c>
      <c r="E171" s="22">
        <v>44985</v>
      </c>
      <c r="F171" t="s">
        <v>12</v>
      </c>
      <c r="G171" s="5">
        <v>114870</v>
      </c>
      <c r="H171" t="s">
        <v>205</v>
      </c>
      <c r="I171" s="8">
        <f ca="1">(TODAY()-Staff[[#This Row],[Date Joined]])/365</f>
        <v>0.71232876712328763</v>
      </c>
      <c r="J171">
        <f ca="1">ROUNDUP(IF(Staff[[#This Row],[Tenure]]&gt;2, 3%, 2%)*Staff[[#This Row],[Salary]],0)</f>
        <v>2298</v>
      </c>
      <c r="K171">
        <f>_xlfn.XLOOKUP(Staff[[#This Row],[Rating]], 'Salary vs Rating'!$H$6:$H$10, 'Salary vs Rating'!$I$6:$I$10)</f>
        <v>3</v>
      </c>
    </row>
    <row r="172" spans="1:11" x14ac:dyDescent="0.2">
      <c r="A172" t="s">
        <v>17</v>
      </c>
      <c r="B172" t="s">
        <v>8</v>
      </c>
      <c r="C172">
        <v>43</v>
      </c>
      <c r="D172" t="s">
        <v>16</v>
      </c>
      <c r="E172" s="22">
        <v>45045</v>
      </c>
      <c r="F172" t="s">
        <v>12</v>
      </c>
      <c r="G172" s="5">
        <v>114870</v>
      </c>
      <c r="H172" t="s">
        <v>207</v>
      </c>
      <c r="I172" s="8">
        <f ca="1">(TODAY()-Staff[[#This Row],[Date Joined]])/365</f>
        <v>0.54794520547945202</v>
      </c>
      <c r="J172">
        <f ca="1">ROUNDUP(IF(Staff[[#This Row],[Tenure]]&gt;2, 3%, 2%)*Staff[[#This Row],[Salary]],0)</f>
        <v>2298</v>
      </c>
      <c r="K172">
        <f>_xlfn.XLOOKUP(Staff[[#This Row],[Rating]], 'Salary vs Rating'!$H$6:$H$10, 'Salary vs Rating'!$I$6:$I$10)</f>
        <v>3</v>
      </c>
    </row>
    <row r="173" spans="1:11" x14ac:dyDescent="0.2">
      <c r="A173" t="s">
        <v>175</v>
      </c>
      <c r="B173" t="s">
        <v>8</v>
      </c>
      <c r="C173">
        <v>36</v>
      </c>
      <c r="D173" t="s">
        <v>16</v>
      </c>
      <c r="E173" s="22">
        <v>44023</v>
      </c>
      <c r="F173" t="s">
        <v>9</v>
      </c>
      <c r="G173" s="5">
        <v>114890</v>
      </c>
      <c r="H173" t="s">
        <v>205</v>
      </c>
      <c r="I173" s="8">
        <f ca="1">(TODAY()-Staff[[#This Row],[Date Joined]])/365</f>
        <v>3.3479452054794518</v>
      </c>
      <c r="J173">
        <f ca="1">ROUNDUP(IF(Staff[[#This Row],[Tenure]]&gt;2, 3%, 2%)*Staff[[#This Row],[Salary]],0)</f>
        <v>3447</v>
      </c>
      <c r="K173">
        <f>_xlfn.XLOOKUP(Staff[[#This Row],[Rating]], 'Salary vs Rating'!$H$6:$H$10, 'Salary vs Rating'!$I$6:$I$10)</f>
        <v>3</v>
      </c>
    </row>
    <row r="174" spans="1:11" x14ac:dyDescent="0.2">
      <c r="A174" t="s">
        <v>83</v>
      </c>
      <c r="B174" t="s">
        <v>8</v>
      </c>
      <c r="C174">
        <v>36</v>
      </c>
      <c r="D174" t="s">
        <v>16</v>
      </c>
      <c r="E174" s="22">
        <v>44085</v>
      </c>
      <c r="F174" t="s">
        <v>9</v>
      </c>
      <c r="G174" s="5">
        <v>114890</v>
      </c>
      <c r="H174" t="s">
        <v>207</v>
      </c>
      <c r="I174" s="8">
        <f ca="1">(TODAY()-Staff[[#This Row],[Date Joined]])/365</f>
        <v>3.1780821917808217</v>
      </c>
      <c r="J174">
        <f ca="1">ROUNDUP(IF(Staff[[#This Row],[Tenure]]&gt;2, 3%, 2%)*Staff[[#This Row],[Salary]],0)</f>
        <v>3447</v>
      </c>
      <c r="K174">
        <f>_xlfn.XLOOKUP(Staff[[#This Row],[Rating]], 'Salary vs Rating'!$H$6:$H$10, 'Salary vs Rating'!$I$6:$I$10)</f>
        <v>3</v>
      </c>
    </row>
    <row r="175" spans="1:11" x14ac:dyDescent="0.2">
      <c r="A175" t="s">
        <v>142</v>
      </c>
      <c r="B175" t="s">
        <v>206</v>
      </c>
      <c r="C175">
        <v>37</v>
      </c>
      <c r="D175" t="s">
        <v>24</v>
      </c>
      <c r="E175" s="22">
        <v>44085</v>
      </c>
      <c r="F175" t="s">
        <v>21</v>
      </c>
      <c r="G175" s="5">
        <v>115440</v>
      </c>
      <c r="H175" t="s">
        <v>205</v>
      </c>
      <c r="I175" s="8">
        <f ca="1">(TODAY()-Staff[[#This Row],[Date Joined]])/365</f>
        <v>3.1780821917808217</v>
      </c>
      <c r="J175">
        <f ca="1">ROUNDUP(IF(Staff[[#This Row],[Tenure]]&gt;2, 3%, 2%)*Staff[[#This Row],[Salary]],0)</f>
        <v>3464</v>
      </c>
      <c r="K175">
        <f>_xlfn.XLOOKUP(Staff[[#This Row],[Rating]], 'Salary vs Rating'!$H$6:$H$10, 'Salary vs Rating'!$I$6:$I$10)</f>
        <v>2</v>
      </c>
    </row>
    <row r="176" spans="1:11" x14ac:dyDescent="0.2">
      <c r="A176" t="s">
        <v>49</v>
      </c>
      <c r="B176" t="s">
        <v>206</v>
      </c>
      <c r="C176">
        <v>37</v>
      </c>
      <c r="D176" t="s">
        <v>24</v>
      </c>
      <c r="E176" s="22">
        <v>44146</v>
      </c>
      <c r="F176" t="s">
        <v>21</v>
      </c>
      <c r="G176" s="5">
        <v>115440</v>
      </c>
      <c r="H176" t="s">
        <v>207</v>
      </c>
      <c r="I176" s="8">
        <f ca="1">(TODAY()-Staff[[#This Row],[Date Joined]])/365</f>
        <v>3.010958904109589</v>
      </c>
      <c r="J176">
        <f ca="1">ROUNDUP(IF(Staff[[#This Row],[Tenure]]&gt;2, 3%, 2%)*Staff[[#This Row],[Salary]],0)</f>
        <v>3464</v>
      </c>
      <c r="K176">
        <f>_xlfn.XLOOKUP(Staff[[#This Row],[Rating]], 'Salary vs Rating'!$H$6:$H$10, 'Salary vs Rating'!$I$6:$I$10)</f>
        <v>2</v>
      </c>
    </row>
    <row r="177" spans="1:11" x14ac:dyDescent="0.2">
      <c r="A177" t="s">
        <v>134</v>
      </c>
      <c r="B177" t="s">
        <v>15</v>
      </c>
      <c r="C177">
        <v>33</v>
      </c>
      <c r="D177" t="s">
        <v>16</v>
      </c>
      <c r="E177" s="22">
        <v>44103</v>
      </c>
      <c r="F177" t="s">
        <v>9</v>
      </c>
      <c r="G177" s="5">
        <v>115920</v>
      </c>
      <c r="H177" t="s">
        <v>205</v>
      </c>
      <c r="I177" s="8">
        <f ca="1">(TODAY()-Staff[[#This Row],[Date Joined]])/365</f>
        <v>3.128767123287671</v>
      </c>
      <c r="J177">
        <f ca="1">ROUNDUP(IF(Staff[[#This Row],[Tenure]]&gt;2, 3%, 2%)*Staff[[#This Row],[Salary]],0)</f>
        <v>3478</v>
      </c>
      <c r="K177">
        <f>_xlfn.XLOOKUP(Staff[[#This Row],[Rating]], 'Salary vs Rating'!$H$6:$H$10, 'Salary vs Rating'!$I$6:$I$10)</f>
        <v>3</v>
      </c>
    </row>
    <row r="178" spans="1:11" x14ac:dyDescent="0.2">
      <c r="A178" t="s">
        <v>40</v>
      </c>
      <c r="B178" t="s">
        <v>15</v>
      </c>
      <c r="C178">
        <v>33</v>
      </c>
      <c r="D178" t="s">
        <v>16</v>
      </c>
      <c r="E178" s="22">
        <v>44164</v>
      </c>
      <c r="F178" t="s">
        <v>9</v>
      </c>
      <c r="G178" s="5">
        <v>115920</v>
      </c>
      <c r="H178" t="s">
        <v>207</v>
      </c>
      <c r="I178" s="8">
        <f ca="1">(TODAY()-Staff[[#This Row],[Date Joined]])/365</f>
        <v>2.9616438356164383</v>
      </c>
      <c r="J178">
        <f ca="1">ROUNDUP(IF(Staff[[#This Row],[Tenure]]&gt;2, 3%, 2%)*Staff[[#This Row],[Salary]],0)</f>
        <v>3478</v>
      </c>
      <c r="K178">
        <f>_xlfn.XLOOKUP(Staff[[#This Row],[Rating]], 'Salary vs Rating'!$H$6:$H$10, 'Salary vs Rating'!$I$6:$I$10)</f>
        <v>3</v>
      </c>
    </row>
    <row r="179" spans="1:11" x14ac:dyDescent="0.2">
      <c r="A179" t="s">
        <v>148</v>
      </c>
      <c r="B179" t="s">
        <v>8</v>
      </c>
      <c r="C179">
        <v>37</v>
      </c>
      <c r="D179" t="s">
        <v>16</v>
      </c>
      <c r="E179" s="22">
        <v>44389</v>
      </c>
      <c r="F179" t="s">
        <v>56</v>
      </c>
      <c r="G179" s="5">
        <v>118100</v>
      </c>
      <c r="H179" t="s">
        <v>205</v>
      </c>
      <c r="I179" s="8">
        <f ca="1">(TODAY()-Staff[[#This Row],[Date Joined]])/365</f>
        <v>2.3452054794520549</v>
      </c>
      <c r="J179">
        <f ca="1">ROUNDUP(IF(Staff[[#This Row],[Tenure]]&gt;2, 3%, 2%)*Staff[[#This Row],[Salary]],0)</f>
        <v>3543</v>
      </c>
      <c r="K179">
        <f>_xlfn.XLOOKUP(Staff[[#This Row],[Rating]], 'Salary vs Rating'!$H$6:$H$10, 'Salary vs Rating'!$I$6:$I$10)</f>
        <v>3</v>
      </c>
    </row>
    <row r="180" spans="1:11" x14ac:dyDescent="0.2">
      <c r="A180" t="s">
        <v>55</v>
      </c>
      <c r="B180" t="s">
        <v>8</v>
      </c>
      <c r="C180">
        <v>37</v>
      </c>
      <c r="D180" t="s">
        <v>16</v>
      </c>
      <c r="E180" s="22">
        <v>44451</v>
      </c>
      <c r="F180" t="s">
        <v>56</v>
      </c>
      <c r="G180" s="5">
        <v>118100</v>
      </c>
      <c r="H180" t="s">
        <v>207</v>
      </c>
      <c r="I180" s="8">
        <f ca="1">(TODAY()-Staff[[#This Row],[Date Joined]])/365</f>
        <v>2.1753424657534248</v>
      </c>
      <c r="J180">
        <f ca="1">ROUNDUP(IF(Staff[[#This Row],[Tenure]]&gt;2, 3%, 2%)*Staff[[#This Row],[Salary]],0)</f>
        <v>3543</v>
      </c>
      <c r="K180">
        <f>_xlfn.XLOOKUP(Staff[[#This Row],[Rating]], 'Salary vs Rating'!$H$6:$H$10, 'Salary vs Rating'!$I$6:$I$10)</f>
        <v>3</v>
      </c>
    </row>
    <row r="181" spans="1:11" x14ac:dyDescent="0.2">
      <c r="A181" t="s">
        <v>199</v>
      </c>
      <c r="B181" t="s">
        <v>15</v>
      </c>
      <c r="C181">
        <v>36</v>
      </c>
      <c r="D181" t="s">
        <v>16</v>
      </c>
      <c r="E181" s="22">
        <v>43958</v>
      </c>
      <c r="F181" t="s">
        <v>12</v>
      </c>
      <c r="G181" s="5">
        <v>118840</v>
      </c>
      <c r="H181" t="s">
        <v>205</v>
      </c>
      <c r="I181" s="8">
        <f ca="1">(TODAY()-Staff[[#This Row],[Date Joined]])/365</f>
        <v>3.526027397260274</v>
      </c>
      <c r="J181">
        <f ca="1">ROUNDUP(IF(Staff[[#This Row],[Tenure]]&gt;2, 3%, 2%)*Staff[[#This Row],[Salary]],0)</f>
        <v>3566</v>
      </c>
      <c r="K181">
        <f>_xlfn.XLOOKUP(Staff[[#This Row],[Rating]], 'Salary vs Rating'!$H$6:$H$10, 'Salary vs Rating'!$I$6:$I$10)</f>
        <v>3</v>
      </c>
    </row>
    <row r="182" spans="1:11" x14ac:dyDescent="0.2">
      <c r="A182" t="s">
        <v>106</v>
      </c>
      <c r="B182" t="s">
        <v>15</v>
      </c>
      <c r="C182">
        <v>36</v>
      </c>
      <c r="D182" t="s">
        <v>16</v>
      </c>
      <c r="E182" s="22">
        <v>44019</v>
      </c>
      <c r="F182" t="s">
        <v>12</v>
      </c>
      <c r="G182" s="5">
        <v>118840</v>
      </c>
      <c r="H182" t="s">
        <v>207</v>
      </c>
      <c r="I182" s="8">
        <f ca="1">(TODAY()-Staff[[#This Row],[Date Joined]])/365</f>
        <v>3.3589041095890413</v>
      </c>
      <c r="J182">
        <f ca="1">ROUNDUP(IF(Staff[[#This Row],[Tenure]]&gt;2, 3%, 2%)*Staff[[#This Row],[Salary]],0)</f>
        <v>3566</v>
      </c>
      <c r="K182">
        <f>_xlfn.XLOOKUP(Staff[[#This Row],[Rating]], 'Salary vs Rating'!$H$6:$H$10, 'Salary vs Rating'!$I$6:$I$10)</f>
        <v>3</v>
      </c>
    </row>
    <row r="183" spans="1:11" x14ac:dyDescent="0.2">
      <c r="A183" t="s">
        <v>152</v>
      </c>
      <c r="B183" t="s">
        <v>8</v>
      </c>
      <c r="C183">
        <v>27</v>
      </c>
      <c r="D183" t="s">
        <v>16</v>
      </c>
      <c r="E183" s="22">
        <v>44061</v>
      </c>
      <c r="F183" t="s">
        <v>56</v>
      </c>
      <c r="G183" s="5">
        <v>119110</v>
      </c>
      <c r="H183" t="s">
        <v>205</v>
      </c>
      <c r="I183" s="8">
        <f ca="1">(TODAY()-Staff[[#This Row],[Date Joined]])/365</f>
        <v>3.2438356164383562</v>
      </c>
      <c r="J183">
        <f ca="1">ROUNDUP(IF(Staff[[#This Row],[Tenure]]&gt;2, 3%, 2%)*Staff[[#This Row],[Salary]],0)</f>
        <v>3574</v>
      </c>
      <c r="K183">
        <f>_xlfn.XLOOKUP(Staff[[#This Row],[Rating]], 'Salary vs Rating'!$H$6:$H$10, 'Salary vs Rating'!$I$6:$I$10)</f>
        <v>3</v>
      </c>
    </row>
    <row r="184" spans="1:11" x14ac:dyDescent="0.2">
      <c r="A184" t="s">
        <v>60</v>
      </c>
      <c r="B184" t="s">
        <v>8</v>
      </c>
      <c r="C184">
        <v>27</v>
      </c>
      <c r="D184" t="s">
        <v>16</v>
      </c>
      <c r="E184" s="22">
        <v>44122</v>
      </c>
      <c r="F184" t="s">
        <v>56</v>
      </c>
      <c r="G184" s="5">
        <v>119110</v>
      </c>
      <c r="H184" t="s">
        <v>207</v>
      </c>
      <c r="I184" s="8">
        <f ca="1">(TODAY()-Staff[[#This Row],[Date Joined]])/365</f>
        <v>3.0767123287671234</v>
      </c>
      <c r="J184">
        <f ca="1">ROUNDUP(IF(Staff[[#This Row],[Tenure]]&gt;2, 3%, 2%)*Staff[[#This Row],[Salary]],0)</f>
        <v>3574</v>
      </c>
      <c r="K184">
        <f>_xlfn.XLOOKUP(Staff[[#This Row],[Rating]], 'Salary vs Rating'!$H$6:$H$10, 'Salary vs Rating'!$I$6:$I$10)</f>
        <v>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8481F2-0C51-4642-B7B2-E734881A34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Data</vt:lpstr>
      <vt:lpstr>India Staff</vt:lpstr>
      <vt:lpstr>Finder</vt:lpstr>
      <vt:lpstr>Male vs Female</vt:lpstr>
      <vt:lpstr>Salary Spread</vt:lpstr>
      <vt:lpstr>Salary vs Rating</vt:lpstr>
      <vt:lpstr>Sheet2</vt:lpstr>
      <vt:lpstr>Employee Trend</vt:lpstr>
      <vt:lpstr>NZ vs IND</vt:lpstr>
      <vt:lpstr>Staff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Rohith Challa</cp:lastModifiedBy>
  <dcterms:created xsi:type="dcterms:W3CDTF">2021-03-14T20:21:32Z</dcterms:created>
  <dcterms:modified xsi:type="dcterms:W3CDTF">2023-11-16T04:38:41Z</dcterms:modified>
</cp:coreProperties>
</file>