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it Jacob\Downloads\Rohit Jacob\Projects\Interview Tests\DCF Valuation- Asian Paints\"/>
    </mc:Choice>
  </mc:AlternateContent>
  <xr:revisionPtr revIDLastSave="0" documentId="13_ncr:1_{C54234F7-3032-49E2-B7AB-3D71B96964B9}" xr6:coauthVersionLast="47" xr6:coauthVersionMax="47" xr10:uidLastSave="{00000000-0000-0000-0000-000000000000}"/>
  <bookViews>
    <workbookView xWindow="28690" yWindow="-110" windowWidth="29020" windowHeight="15700" tabRatio="845" xr2:uid="{00000000-000D-0000-FFFF-FFFF00000000}"/>
  </bookViews>
  <sheets>
    <sheet name="Cover" sheetId="23" r:id="rId1"/>
    <sheet name="Summary" sheetId="21" r:id="rId2"/>
    <sheet name="Assumptions" sheetId="2" r:id="rId3"/>
    <sheet name="Scenarios" sheetId="7" r:id="rId4"/>
    <sheet name="Model" sheetId="6" r:id="rId5"/>
  </sheets>
  <definedNames>
    <definedName name="_xlnm.Print_Area" localSheetId="2">Assumptions!$B$1:$O$33,Assumptions!$B$35:$O$62</definedName>
    <definedName name="_xlnm.Print_Area" localSheetId="3">Scenarios!$B$1:$K$20</definedName>
    <definedName name="_xlnm.Print_Area" localSheetId="1">Summary!$B$1:$Q$66</definedName>
  </definedNames>
  <calcPr calcId="191029"/>
</workbook>
</file>

<file path=xl/calcChain.xml><?xml version="1.0" encoding="utf-8"?>
<calcChain xmlns="http://schemas.openxmlformats.org/spreadsheetml/2006/main">
  <c r="J317" i="6" l="1"/>
  <c r="I317" i="6"/>
  <c r="J316" i="6"/>
  <c r="I316" i="6"/>
  <c r="J8" i="2"/>
  <c r="F268" i="6"/>
  <c r="J315" i="6"/>
  <c r="I315" i="6"/>
  <c r="I314" i="6"/>
  <c r="J314" i="6"/>
  <c r="J281" i="6"/>
  <c r="I281" i="6"/>
  <c r="J277" i="6"/>
  <c r="I277" i="6"/>
  <c r="I201" i="6" l="1"/>
  <c r="J201" i="6"/>
  <c r="I200" i="6"/>
  <c r="J200" i="6"/>
  <c r="I199" i="6"/>
  <c r="J199" i="6"/>
  <c r="I198" i="6"/>
  <c r="J198" i="6"/>
  <c r="I197" i="6"/>
  <c r="J197" i="6"/>
  <c r="I187" i="6"/>
  <c r="J187" i="6"/>
  <c r="C23" i="7" l="1"/>
  <c r="C22" i="7"/>
  <c r="C21" i="7"/>
  <c r="K19" i="7"/>
  <c r="O21" i="6" s="1"/>
  <c r="J19" i="7"/>
  <c r="N21" i="6" s="1"/>
  <c r="I19" i="7"/>
  <c r="M21" i="6" s="1"/>
  <c r="H19" i="7"/>
  <c r="L21" i="6" s="1"/>
  <c r="G19" i="7"/>
  <c r="K21" i="6" s="1"/>
  <c r="K20" i="6" s="1"/>
  <c r="K187" i="6" l="1"/>
  <c r="L20" i="6"/>
  <c r="M20" i="6" l="1"/>
  <c r="L187" i="6"/>
  <c r="I62" i="6"/>
  <c r="J62" i="6"/>
  <c r="H62" i="6"/>
  <c r="J61" i="6"/>
  <c r="I61" i="6"/>
  <c r="H61" i="6"/>
  <c r="J25" i="6"/>
  <c r="K25" i="6" s="1"/>
  <c r="L25" i="6" s="1"/>
  <c r="M25" i="6" s="1"/>
  <c r="N25" i="6" s="1"/>
  <c r="O25" i="6" s="1"/>
  <c r="I25" i="6"/>
  <c r="H25" i="6"/>
  <c r="G12" i="7"/>
  <c r="K18" i="6" s="1"/>
  <c r="H12" i="7"/>
  <c r="L18" i="6" s="1"/>
  <c r="I12" i="7"/>
  <c r="M18" i="6" s="1"/>
  <c r="J12" i="7"/>
  <c r="N18" i="6" s="1"/>
  <c r="K12" i="7"/>
  <c r="O18" i="6" s="1"/>
  <c r="I34" i="6"/>
  <c r="J34" i="6"/>
  <c r="K34" i="6" s="1"/>
  <c r="H34" i="6"/>
  <c r="N20" i="6" l="1"/>
  <c r="M187" i="6"/>
  <c r="K17" i="6"/>
  <c r="L34" i="6"/>
  <c r="L17" i="6" l="1"/>
  <c r="K281" i="6"/>
  <c r="O20" i="6"/>
  <c r="N187" i="6"/>
  <c r="K24" i="6"/>
  <c r="M34" i="6"/>
  <c r="O187" i="6" l="1"/>
  <c r="M17" i="6"/>
  <c r="L281" i="6"/>
  <c r="N34" i="6"/>
  <c r="N17" i="6" l="1"/>
  <c r="M281" i="6"/>
  <c r="O34" i="6"/>
  <c r="O17" i="6" l="1"/>
  <c r="N281" i="6"/>
  <c r="I22" i="6"/>
  <c r="J22" i="6"/>
  <c r="H22" i="6"/>
  <c r="O281" i="6" l="1"/>
  <c r="J26" i="6"/>
  <c r="J45" i="6"/>
  <c r="J294" i="6" s="1"/>
  <c r="H26" i="6"/>
  <c r="H45" i="6"/>
  <c r="I26" i="6"/>
  <c r="I45" i="6"/>
  <c r="I294" i="6" s="1"/>
  <c r="B1" i="2"/>
  <c r="B1" i="7" s="1"/>
  <c r="B2" i="6" s="1"/>
  <c r="B1" i="21"/>
  <c r="B35" i="2" s="1"/>
  <c r="B6" i="23"/>
  <c r="J261" i="6"/>
  <c r="K258" i="6" s="1"/>
  <c r="J250" i="6"/>
  <c r="K248" i="6" s="1"/>
  <c r="K252" i="6"/>
  <c r="L252" i="6" s="1"/>
  <c r="M252" i="6" s="1"/>
  <c r="N252" i="6" s="1"/>
  <c r="O252" i="6" s="1"/>
  <c r="L249" i="6"/>
  <c r="M249" i="6"/>
  <c r="N249" i="6"/>
  <c r="O249" i="6"/>
  <c r="K249" i="6"/>
  <c r="L229" i="6"/>
  <c r="M229" i="6"/>
  <c r="N229" i="6"/>
  <c r="O229" i="6"/>
  <c r="K229" i="6"/>
  <c r="J230" i="6"/>
  <c r="K228" i="6" s="1"/>
  <c r="J220" i="6"/>
  <c r="K218" i="6" s="1"/>
  <c r="K232" i="6"/>
  <c r="K222" i="6"/>
  <c r="K191" i="6"/>
  <c r="L191" i="6"/>
  <c r="M191" i="6"/>
  <c r="N191" i="6"/>
  <c r="O191" i="6"/>
  <c r="K192" i="6"/>
  <c r="L192" i="6"/>
  <c r="M192" i="6"/>
  <c r="N192" i="6"/>
  <c r="O192" i="6"/>
  <c r="K193" i="6"/>
  <c r="L193" i="6"/>
  <c r="M193" i="6"/>
  <c r="N193" i="6"/>
  <c r="O193" i="6"/>
  <c r="K194" i="6"/>
  <c r="L194" i="6"/>
  <c r="M194" i="6"/>
  <c r="N194" i="6"/>
  <c r="O194" i="6"/>
  <c r="L190" i="6"/>
  <c r="M190" i="6"/>
  <c r="N190" i="6"/>
  <c r="O190" i="6"/>
  <c r="K190" i="6"/>
  <c r="L162" i="6"/>
  <c r="M162" i="6"/>
  <c r="N162" i="6"/>
  <c r="O162" i="6"/>
  <c r="K162" i="6"/>
  <c r="E157" i="6"/>
  <c r="D165" i="6" s="1"/>
  <c r="F137" i="6"/>
  <c r="F136" i="6"/>
  <c r="K139" i="6" s="1"/>
  <c r="L139" i="6" s="1"/>
  <c r="M139" i="6" s="1"/>
  <c r="N139" i="6" s="1"/>
  <c r="O139" i="6" s="1"/>
  <c r="L69" i="6"/>
  <c r="M69" i="6"/>
  <c r="N69" i="6"/>
  <c r="O69" i="6"/>
  <c r="K69" i="6"/>
  <c r="K102" i="6" s="1"/>
  <c r="L68" i="6"/>
  <c r="M68" i="6"/>
  <c r="N68" i="6"/>
  <c r="O68" i="6"/>
  <c r="K68" i="6"/>
  <c r="J103" i="6"/>
  <c r="I103" i="6"/>
  <c r="H103" i="6"/>
  <c r="I121" i="6"/>
  <c r="H121" i="6"/>
  <c r="I115" i="6"/>
  <c r="H115" i="6"/>
  <c r="I111" i="6"/>
  <c r="H111" i="6"/>
  <c r="I99" i="6"/>
  <c r="H99" i="6"/>
  <c r="J77" i="6"/>
  <c r="I77" i="6"/>
  <c r="H77" i="6"/>
  <c r="Z12" i="21"/>
  <c r="Y12" i="21"/>
  <c r="X12" i="21"/>
  <c r="J121" i="6"/>
  <c r="J115" i="6"/>
  <c r="J111" i="6"/>
  <c r="J99" i="6"/>
  <c r="J70" i="6"/>
  <c r="I70" i="6"/>
  <c r="H70" i="6"/>
  <c r="J39" i="6"/>
  <c r="I39" i="6"/>
  <c r="H39" i="6"/>
  <c r="J39" i="2"/>
  <c r="K39" i="2" s="1"/>
  <c r="L39" i="2" s="1"/>
  <c r="M39" i="2" s="1"/>
  <c r="N39" i="2" s="1"/>
  <c r="G6" i="7"/>
  <c r="K14" i="6" s="1"/>
  <c r="AA7" i="21" s="1"/>
  <c r="Z7" i="21" s="1"/>
  <c r="Y7" i="21" s="1"/>
  <c r="X7" i="21" s="1"/>
  <c r="O1" i="6"/>
  <c r="O265" i="6" s="1"/>
  <c r="J310" i="6" l="1"/>
  <c r="L306" i="6"/>
  <c r="I305" i="6"/>
  <c r="M306" i="6"/>
  <c r="K306" i="6"/>
  <c r="J305" i="6"/>
  <c r="O306" i="6"/>
  <c r="N306" i="6"/>
  <c r="I278" i="6"/>
  <c r="I309" i="6"/>
  <c r="J278" i="6"/>
  <c r="J309" i="6"/>
  <c r="I46" i="6"/>
  <c r="I295" i="6" s="1"/>
  <c r="I310" i="6"/>
  <c r="I282" i="6"/>
  <c r="J282" i="6"/>
  <c r="M74" i="6"/>
  <c r="L74" i="6"/>
  <c r="N74" i="6"/>
  <c r="K75" i="6"/>
  <c r="O75" i="6"/>
  <c r="M75" i="6"/>
  <c r="H105" i="6"/>
  <c r="J14" i="6"/>
  <c r="I14" i="6" s="1"/>
  <c r="H14" i="6" s="1"/>
  <c r="K58" i="6"/>
  <c r="T5" i="21"/>
  <c r="K250" i="6"/>
  <c r="K119" i="6" s="1"/>
  <c r="D168" i="6"/>
  <c r="L102" i="6"/>
  <c r="M102" i="6" s="1"/>
  <c r="N102" i="6" s="1"/>
  <c r="O102" i="6" s="1"/>
  <c r="O70" i="6"/>
  <c r="L70" i="6"/>
  <c r="I117" i="6"/>
  <c r="I123" i="6" s="1"/>
  <c r="X16" i="21"/>
  <c r="X17" i="21" s="1"/>
  <c r="K70" i="6"/>
  <c r="J186" i="6"/>
  <c r="H117" i="6"/>
  <c r="H123" i="6" s="1"/>
  <c r="Y16" i="21"/>
  <c r="Y17" i="21" s="1"/>
  <c r="I29" i="6"/>
  <c r="I301" i="6" s="1"/>
  <c r="N70" i="6"/>
  <c r="J117" i="6"/>
  <c r="J123" i="6" s="1"/>
  <c r="I105" i="6"/>
  <c r="I311" i="6" s="1"/>
  <c r="N75" i="6"/>
  <c r="J105" i="6"/>
  <c r="J311" i="6" s="1"/>
  <c r="M70" i="6"/>
  <c r="I186" i="6"/>
  <c r="I202" i="6"/>
  <c r="K233" i="6"/>
  <c r="K74" i="6"/>
  <c r="J29" i="6"/>
  <c r="J301" i="6" s="1"/>
  <c r="Z16" i="21"/>
  <c r="J46" i="6"/>
  <c r="J295" i="6" s="1"/>
  <c r="K223" i="6"/>
  <c r="Y13" i="21"/>
  <c r="Z13" i="21"/>
  <c r="J202" i="6"/>
  <c r="L75" i="6"/>
  <c r="L232" i="6"/>
  <c r="O74" i="6"/>
  <c r="L222" i="6"/>
  <c r="M222" i="6" s="1"/>
  <c r="N222" i="6" s="1"/>
  <c r="O222" i="6" s="1"/>
  <c r="K230" i="6"/>
  <c r="K7" i="21"/>
  <c r="K28" i="21" s="1"/>
  <c r="K49" i="21" s="1"/>
  <c r="H6" i="7"/>
  <c r="L14" i="6" s="1"/>
  <c r="B208" i="6"/>
  <c r="B176" i="6"/>
  <c r="B152" i="6"/>
  <c r="B240" i="6"/>
  <c r="B129" i="6"/>
  <c r="B86" i="6"/>
  <c r="B52" i="6"/>
  <c r="B8" i="6"/>
  <c r="O51" i="6"/>
  <c r="O85" i="6"/>
  <c r="O151" i="6"/>
  <c r="O207" i="6"/>
  <c r="O175" i="6"/>
  <c r="O128" i="6"/>
  <c r="O239" i="6"/>
  <c r="J35" i="6" l="1"/>
  <c r="J299" i="6"/>
  <c r="I299" i="6"/>
  <c r="I125" i="6"/>
  <c r="H125" i="6"/>
  <c r="K236" i="6"/>
  <c r="K32" i="6" s="1"/>
  <c r="L58" i="6"/>
  <c r="L92" i="6" s="1"/>
  <c r="L134" i="6" s="1"/>
  <c r="L157" i="6" s="1"/>
  <c r="AB7" i="21"/>
  <c r="J204" i="6"/>
  <c r="J125" i="6"/>
  <c r="J58" i="6"/>
  <c r="I58" i="6" s="1"/>
  <c r="H58" i="6" s="1"/>
  <c r="K92" i="6"/>
  <c r="K33" i="6"/>
  <c r="I47" i="6"/>
  <c r="I35" i="6"/>
  <c r="L248" i="6"/>
  <c r="L250" i="6" s="1"/>
  <c r="L119" i="6" s="1"/>
  <c r="Y18" i="21"/>
  <c r="H29" i="6"/>
  <c r="H46" i="6"/>
  <c r="M232" i="6"/>
  <c r="Z18" i="21"/>
  <c r="Z17" i="21"/>
  <c r="L228" i="6"/>
  <c r="L230" i="6" s="1"/>
  <c r="K114" i="6"/>
  <c r="J47" i="6"/>
  <c r="I6" i="7"/>
  <c r="M14" i="6" s="1"/>
  <c r="J7" i="21"/>
  <c r="J28" i="21" s="1"/>
  <c r="J49" i="21" s="1"/>
  <c r="J41" i="6" l="1"/>
  <c r="I41" i="6"/>
  <c r="L181" i="6"/>
  <c r="L213" i="6" s="1"/>
  <c r="L245" i="6" s="1"/>
  <c r="L272" i="6" s="1"/>
  <c r="M58" i="6"/>
  <c r="M92" i="6" s="1"/>
  <c r="M134" i="6" s="1"/>
  <c r="M181" i="6" s="1"/>
  <c r="M213" i="6" s="1"/>
  <c r="M245" i="6" s="1"/>
  <c r="M272" i="6" s="1"/>
  <c r="AC7" i="21"/>
  <c r="J92" i="6"/>
  <c r="I92" i="6" s="1"/>
  <c r="H92" i="6" s="1"/>
  <c r="K134" i="6"/>
  <c r="L24" i="6"/>
  <c r="L33" i="6"/>
  <c r="H47" i="6"/>
  <c r="H35" i="6"/>
  <c r="M248" i="6"/>
  <c r="M250" i="6" s="1"/>
  <c r="M119" i="6" s="1"/>
  <c r="K186" i="6"/>
  <c r="AA12" i="21"/>
  <c r="N232" i="6"/>
  <c r="M228" i="6"/>
  <c r="M230" i="6" s="1"/>
  <c r="L114" i="6"/>
  <c r="L233" i="6"/>
  <c r="I7" i="21"/>
  <c r="I28" i="21" s="1"/>
  <c r="I49" i="21" s="1"/>
  <c r="J6" i="7"/>
  <c r="N14" i="6" s="1"/>
  <c r="L7" i="21"/>
  <c r="L28" i="21" s="1"/>
  <c r="L49" i="21" s="1"/>
  <c r="J48" i="6" l="1"/>
  <c r="J296" i="6" s="1"/>
  <c r="J302" i="6"/>
  <c r="I48" i="6"/>
  <c r="I296" i="6" s="1"/>
  <c r="I302" i="6"/>
  <c r="J274" i="6"/>
  <c r="J275" i="6" s="1"/>
  <c r="Z21" i="21"/>
  <c r="Z22" i="21" s="1"/>
  <c r="J60" i="6"/>
  <c r="J64" i="6" s="1"/>
  <c r="J80" i="6" s="1"/>
  <c r="J300" i="6"/>
  <c r="I300" i="6"/>
  <c r="I274" i="6"/>
  <c r="I275" i="6" s="1"/>
  <c r="I60" i="6"/>
  <c r="I64" i="6" s="1"/>
  <c r="Y21" i="21"/>
  <c r="Y22" i="21" s="1"/>
  <c r="H41" i="6"/>
  <c r="M157" i="6"/>
  <c r="N58" i="6"/>
  <c r="N92" i="6" s="1"/>
  <c r="N134" i="6" s="1"/>
  <c r="N157" i="6" s="1"/>
  <c r="AD7" i="21"/>
  <c r="AA13" i="21"/>
  <c r="K157" i="6"/>
  <c r="K181" i="6"/>
  <c r="K213" i="6" s="1"/>
  <c r="J134" i="6"/>
  <c r="I134" i="6" s="1"/>
  <c r="H134" i="6" s="1"/>
  <c r="D142" i="6"/>
  <c r="M24" i="6"/>
  <c r="M33" i="6"/>
  <c r="N248" i="6"/>
  <c r="N250" i="6" s="1"/>
  <c r="N119" i="6" s="1"/>
  <c r="M233" i="6"/>
  <c r="N228" i="6"/>
  <c r="N230" i="6" s="1"/>
  <c r="M114" i="6"/>
  <c r="O232" i="6"/>
  <c r="H7" i="21"/>
  <c r="H28" i="21" s="1"/>
  <c r="H49" i="21" s="1"/>
  <c r="M183" i="6"/>
  <c r="M7" i="21"/>
  <c r="M28" i="21" s="1"/>
  <c r="M49" i="21" s="1"/>
  <c r="K6" i="7"/>
  <c r="O14" i="6" s="1"/>
  <c r="H48" i="6" l="1"/>
  <c r="J283" i="6"/>
  <c r="I276" i="6"/>
  <c r="J276" i="6"/>
  <c r="I80" i="6"/>
  <c r="Z23" i="21"/>
  <c r="H60" i="6"/>
  <c r="H64" i="6" s="1"/>
  <c r="X21" i="21"/>
  <c r="X22" i="21" s="1"/>
  <c r="N181" i="6"/>
  <c r="N213" i="6" s="1"/>
  <c r="N245" i="6" s="1"/>
  <c r="N272" i="6" s="1"/>
  <c r="O58" i="6"/>
  <c r="O92" i="6" s="1"/>
  <c r="O134" i="6" s="1"/>
  <c r="O157" i="6" s="1"/>
  <c r="AE7" i="21"/>
  <c r="J213" i="6"/>
  <c r="K245" i="6"/>
  <c r="J181" i="6"/>
  <c r="K183" i="6" s="1"/>
  <c r="K197" i="6" s="1"/>
  <c r="L183" i="6"/>
  <c r="L198" i="6" s="1"/>
  <c r="L97" i="6" s="1"/>
  <c r="L315" i="6" s="1"/>
  <c r="D143" i="6"/>
  <c r="E142" i="6"/>
  <c r="M142" i="6" s="1"/>
  <c r="N24" i="6"/>
  <c r="N33" i="6"/>
  <c r="K22" i="6"/>
  <c r="AB12" i="21"/>
  <c r="N233" i="6"/>
  <c r="O248" i="6"/>
  <c r="O250" i="6" s="1"/>
  <c r="O119" i="6" s="1"/>
  <c r="L186" i="6"/>
  <c r="O228" i="6"/>
  <c r="O230" i="6" s="1"/>
  <c r="O114" i="6" s="1"/>
  <c r="N114" i="6"/>
  <c r="AC12" i="21"/>
  <c r="M186" i="6"/>
  <c r="M197" i="6" s="1"/>
  <c r="N7" i="21"/>
  <c r="N28" i="21" s="1"/>
  <c r="N49" i="21" s="1"/>
  <c r="H80" i="6" l="1"/>
  <c r="H82" i="6" s="1"/>
  <c r="I81" i="6" s="1"/>
  <c r="I82" i="6" s="1"/>
  <c r="J81" i="6" s="1"/>
  <c r="J82" i="6" s="1"/>
  <c r="K81" i="6" s="1"/>
  <c r="Y23" i="21"/>
  <c r="K96" i="6"/>
  <c r="K316" i="6" s="1"/>
  <c r="J245" i="6"/>
  <c r="K272" i="6"/>
  <c r="J272" i="6" s="1"/>
  <c r="I272" i="6" s="1"/>
  <c r="N183" i="6"/>
  <c r="O181" i="6"/>
  <c r="O213" i="6" s="1"/>
  <c r="O245" i="6" s="1"/>
  <c r="O272" i="6" s="1"/>
  <c r="K26" i="6"/>
  <c r="K290" i="6" s="1"/>
  <c r="K45" i="6"/>
  <c r="K294" i="6" s="1"/>
  <c r="AB13" i="21"/>
  <c r="K200" i="6"/>
  <c r="K201" i="6"/>
  <c r="K110" i="6" s="1"/>
  <c r="L201" i="6"/>
  <c r="L110" i="6" s="1"/>
  <c r="L200" i="6"/>
  <c r="K199" i="6"/>
  <c r="K98" i="6" s="1"/>
  <c r="K198" i="6"/>
  <c r="D144" i="6"/>
  <c r="E143" i="6"/>
  <c r="M143" i="6" s="1"/>
  <c r="K142" i="6"/>
  <c r="K148" i="6" s="1"/>
  <c r="L142" i="6"/>
  <c r="L199" i="6"/>
  <c r="L98" i="6" s="1"/>
  <c r="I181" i="6"/>
  <c r="J183" i="6" s="1"/>
  <c r="L197" i="6"/>
  <c r="O24" i="6"/>
  <c r="O33" i="6"/>
  <c r="AC13" i="21"/>
  <c r="L22" i="6"/>
  <c r="AD12" i="21"/>
  <c r="N186" i="6"/>
  <c r="N142" i="6"/>
  <c r="O233" i="6"/>
  <c r="M96" i="6"/>
  <c r="M316" i="6" s="1"/>
  <c r="M200" i="6"/>
  <c r="M201" i="6"/>
  <c r="M110" i="6" s="1"/>
  <c r="M198" i="6"/>
  <c r="M97" i="6" s="1"/>
  <c r="M315" i="6" s="1"/>
  <c r="M199" i="6"/>
  <c r="M98" i="6" s="1"/>
  <c r="O7" i="21"/>
  <c r="O28" i="21" s="1"/>
  <c r="O49" i="21" s="1"/>
  <c r="K109" i="6" l="1"/>
  <c r="K317" i="6" s="1"/>
  <c r="M109" i="6"/>
  <c r="M317" i="6" s="1"/>
  <c r="L96" i="6"/>
  <c r="L316" i="6" s="1"/>
  <c r="J190" i="6"/>
  <c r="L109" i="6"/>
  <c r="L317" i="6" s="1"/>
  <c r="K46" i="6"/>
  <c r="K295" i="6" s="1"/>
  <c r="K282" i="6"/>
  <c r="N197" i="6"/>
  <c r="O183" i="6"/>
  <c r="AA16" i="21"/>
  <c r="AA18" i="21" s="1"/>
  <c r="L26" i="6"/>
  <c r="L45" i="6"/>
  <c r="L294" i="6" s="1"/>
  <c r="AD13" i="21"/>
  <c r="K202" i="6"/>
  <c r="K28" i="6"/>
  <c r="K97" i="6"/>
  <c r="K315" i="6" s="1"/>
  <c r="N143" i="6"/>
  <c r="L143" i="6"/>
  <c r="L148" i="6" s="1"/>
  <c r="L28" i="6" s="1"/>
  <c r="L61" i="6" s="1"/>
  <c r="L202" i="6"/>
  <c r="D145" i="6"/>
  <c r="E144" i="6"/>
  <c r="M144" i="6" s="1"/>
  <c r="M148" i="6" s="1"/>
  <c r="M28" i="6" s="1"/>
  <c r="M61" i="6" s="1"/>
  <c r="H181" i="6"/>
  <c r="I183" i="6" s="1"/>
  <c r="J194" i="6"/>
  <c r="J191" i="6"/>
  <c r="J193" i="6"/>
  <c r="J192" i="6"/>
  <c r="N22" i="6"/>
  <c r="M22" i="6"/>
  <c r="N199" i="6"/>
  <c r="N98" i="6" s="1"/>
  <c r="O143" i="6"/>
  <c r="O142" i="6"/>
  <c r="AE12" i="21"/>
  <c r="O186" i="6"/>
  <c r="M202" i="6"/>
  <c r="L46" i="6" l="1"/>
  <c r="L295" i="6" s="1"/>
  <c r="L290" i="6"/>
  <c r="J306" i="6"/>
  <c r="N96" i="6"/>
  <c r="N316" i="6" s="1"/>
  <c r="K204" i="6"/>
  <c r="K63" i="6" s="1"/>
  <c r="AB16" i="21"/>
  <c r="AB17" i="21" s="1"/>
  <c r="L282" i="6"/>
  <c r="O197" i="6"/>
  <c r="AA17" i="21"/>
  <c r="M26" i="6"/>
  <c r="M290" i="6" s="1"/>
  <c r="M45" i="6"/>
  <c r="M294" i="6" s="1"/>
  <c r="N26" i="6"/>
  <c r="N290" i="6" s="1"/>
  <c r="N45" i="6"/>
  <c r="N294" i="6" s="1"/>
  <c r="AE13" i="21"/>
  <c r="M204" i="6"/>
  <c r="M63" i="6" s="1"/>
  <c r="L204" i="6"/>
  <c r="L63" i="6" s="1"/>
  <c r="L29" i="6"/>
  <c r="K61" i="6"/>
  <c r="K101" i="6" s="1"/>
  <c r="K314" i="6" s="1"/>
  <c r="K29" i="6"/>
  <c r="N144" i="6"/>
  <c r="O144" i="6"/>
  <c r="I192" i="6"/>
  <c r="I191" i="6"/>
  <c r="I194" i="6"/>
  <c r="I193" i="6"/>
  <c r="I190" i="6"/>
  <c r="D146" i="6"/>
  <c r="E145" i="6"/>
  <c r="O145" i="6" s="1"/>
  <c r="O22" i="6"/>
  <c r="N198" i="6"/>
  <c r="N97" i="6" s="1"/>
  <c r="N315" i="6" s="1"/>
  <c r="N201" i="6"/>
  <c r="N110" i="6" s="1"/>
  <c r="N200" i="6"/>
  <c r="O198" i="6"/>
  <c r="O97" i="6" s="1"/>
  <c r="O315" i="6" s="1"/>
  <c r="AD16" i="21" l="1"/>
  <c r="AD17" i="21" s="1"/>
  <c r="I306" i="6"/>
  <c r="L47" i="6"/>
  <c r="K103" i="6"/>
  <c r="N109" i="6"/>
  <c r="N317" i="6" s="1"/>
  <c r="O96" i="6"/>
  <c r="O316" i="6" s="1"/>
  <c r="AB18" i="21"/>
  <c r="N46" i="6"/>
  <c r="N295" i="6" s="1"/>
  <c r="N282" i="6"/>
  <c r="AC16" i="21"/>
  <c r="AC18" i="21" s="1"/>
  <c r="M282" i="6"/>
  <c r="M46" i="6"/>
  <c r="M295" i="6" s="1"/>
  <c r="M29" i="6"/>
  <c r="O26" i="6"/>
  <c r="O290" i="6" s="1"/>
  <c r="O45" i="6"/>
  <c r="O294" i="6" s="1"/>
  <c r="K47" i="6"/>
  <c r="K35" i="6"/>
  <c r="K160" i="6" s="1"/>
  <c r="L101" i="6"/>
  <c r="L314" i="6" s="1"/>
  <c r="E146" i="6"/>
  <c r="O146" i="6" s="1"/>
  <c r="O148" i="6" s="1"/>
  <c r="O28" i="6" s="1"/>
  <c r="O61" i="6" s="1"/>
  <c r="N145" i="6"/>
  <c r="N148" i="6" s="1"/>
  <c r="N28" i="6" s="1"/>
  <c r="N202" i="6"/>
  <c r="O200" i="6"/>
  <c r="O201" i="6"/>
  <c r="O110" i="6" s="1"/>
  <c r="O199" i="6"/>
  <c r="O98" i="6" s="1"/>
  <c r="M47" i="6" l="1"/>
  <c r="AC17" i="21"/>
  <c r="O109" i="6"/>
  <c r="O317" i="6" s="1"/>
  <c r="AE16" i="21"/>
  <c r="AE18" i="21" s="1"/>
  <c r="O282" i="6"/>
  <c r="AD18" i="21"/>
  <c r="O46" i="6"/>
  <c r="O295" i="6" s="1"/>
  <c r="N204" i="6"/>
  <c r="N63" i="6" s="1"/>
  <c r="N61" i="6"/>
  <c r="N29" i="6"/>
  <c r="O29" i="6"/>
  <c r="L103" i="6"/>
  <c r="M101" i="6"/>
  <c r="M314" i="6" s="1"/>
  <c r="K163" i="6"/>
  <c r="K168" i="6" s="1"/>
  <c r="K37" i="6" s="1"/>
  <c r="K165" i="6"/>
  <c r="O202" i="6"/>
  <c r="O47" i="6" l="1"/>
  <c r="N47" i="6"/>
  <c r="M103" i="6"/>
  <c r="AE17" i="21"/>
  <c r="K169" i="6"/>
  <c r="K38" i="6" s="1"/>
  <c r="K62" i="6" s="1"/>
  <c r="O204" i="6"/>
  <c r="O63" i="6" s="1"/>
  <c r="N101" i="6"/>
  <c r="N314" i="6" s="1"/>
  <c r="K113" i="6" l="1"/>
  <c r="K115" i="6" s="1"/>
  <c r="K39" i="6"/>
  <c r="K170" i="6"/>
  <c r="N103" i="6"/>
  <c r="O101" i="6"/>
  <c r="O314" i="6" s="1"/>
  <c r="K111" i="6"/>
  <c r="O103" i="6" l="1"/>
  <c r="K41" i="6"/>
  <c r="K117" i="6"/>
  <c r="K48" i="6" l="1"/>
  <c r="K253" i="6"/>
  <c r="K254" i="6" s="1"/>
  <c r="K260" i="6" s="1"/>
  <c r="K259" i="6"/>
  <c r="K274" i="6"/>
  <c r="K275" i="6" s="1"/>
  <c r="K283" i="6" s="1"/>
  <c r="AA21" i="21"/>
  <c r="AA22" i="21" s="1"/>
  <c r="K60" i="6"/>
  <c r="K64" i="6" s="1"/>
  <c r="K261" i="6" l="1"/>
  <c r="K120" i="6" s="1"/>
  <c r="K121" i="6" s="1"/>
  <c r="K300" i="6" s="1"/>
  <c r="K76" i="6"/>
  <c r="K77" i="6" s="1"/>
  <c r="K80" i="6" s="1"/>
  <c r="K82" i="6" s="1"/>
  <c r="L81" i="6" s="1"/>
  <c r="AA23" i="21"/>
  <c r="K276" i="6"/>
  <c r="K296" i="6"/>
  <c r="K277" i="6" l="1"/>
  <c r="K278" i="6"/>
  <c r="K123" i="6"/>
  <c r="L258" i="6"/>
  <c r="K219" i="6"/>
  <c r="K220" i="6" s="1"/>
  <c r="L218" i="6" s="1"/>
  <c r="L223" i="6" s="1"/>
  <c r="L236" i="6" s="1"/>
  <c r="L32" i="6" s="1"/>
  <c r="L35" i="6" s="1"/>
  <c r="L160" i="6" s="1"/>
  <c r="L165" i="6" s="1"/>
  <c r="K95" i="6"/>
  <c r="K301" i="6" s="1"/>
  <c r="K99" i="6" l="1"/>
  <c r="K309" i="6"/>
  <c r="K310" i="6"/>
  <c r="L163" i="6"/>
  <c r="L168" i="6" s="1"/>
  <c r="K105" i="6" l="1"/>
  <c r="K299" i="6" s="1"/>
  <c r="K305" i="6"/>
  <c r="L169" i="6"/>
  <c r="L37" i="6"/>
  <c r="K125" i="6" l="1"/>
  <c r="K302" i="6"/>
  <c r="K311" i="6"/>
  <c r="L38" i="6"/>
  <c r="L62" i="6" s="1"/>
  <c r="L170" i="6"/>
  <c r="L113" i="6"/>
  <c r="L115" i="6" s="1"/>
  <c r="L111" i="6"/>
  <c r="L39" i="6" l="1"/>
  <c r="L117" i="6"/>
  <c r="L41" i="6" l="1"/>
  <c r="L48" i="6" l="1"/>
  <c r="AB21" i="21"/>
  <c r="AB22" i="21" s="1"/>
  <c r="L274" i="6"/>
  <c r="F269" i="6" s="1"/>
  <c r="L259" i="6"/>
  <c r="L253" i="6"/>
  <c r="L254" i="6" s="1"/>
  <c r="L260" i="6" s="1"/>
  <c r="L60" i="6"/>
  <c r="L64" i="6" s="1"/>
  <c r="L275" i="6" l="1"/>
  <c r="L283" i="6" s="1"/>
  <c r="K291" i="6"/>
  <c r="L261" i="6"/>
  <c r="M258" i="6" s="1"/>
  <c r="AB23" i="21"/>
  <c r="L76" i="6"/>
  <c r="L277" i="6" s="1"/>
  <c r="L291" i="6" s="1"/>
  <c r="L276" i="6"/>
  <c r="N289" i="6" l="1"/>
  <c r="L286" i="6"/>
  <c r="O289" i="6"/>
  <c r="K287" i="6"/>
  <c r="L287" i="6"/>
  <c r="K286" i="6"/>
  <c r="K288" i="6"/>
  <c r="L289" i="6"/>
  <c r="M289" i="6"/>
  <c r="K289" i="6"/>
  <c r="L120" i="6"/>
  <c r="L121" i="6" s="1"/>
  <c r="L278" i="6" s="1"/>
  <c r="L288" i="6" s="1"/>
  <c r="L77" i="6"/>
  <c r="L80" i="6" s="1"/>
  <c r="L82" i="6" s="1"/>
  <c r="L296" i="6"/>
  <c r="L300" i="6" l="1"/>
  <c r="L123" i="6"/>
  <c r="L219" i="6"/>
  <c r="L220" i="6" s="1"/>
  <c r="M218" i="6" s="1"/>
  <c r="M223" i="6" s="1"/>
  <c r="M236" i="6" s="1"/>
  <c r="M32" i="6" s="1"/>
  <c r="M35" i="6" s="1"/>
  <c r="M160" i="6" s="1"/>
  <c r="M165" i="6" s="1"/>
  <c r="M81" i="6"/>
  <c r="L95" i="6"/>
  <c r="L301" i="6" s="1"/>
  <c r="M163" i="6" l="1"/>
  <c r="M168" i="6" s="1"/>
  <c r="M169" i="6" s="1"/>
  <c r="M38" i="6" s="1"/>
  <c r="M62" i="6" s="1"/>
  <c r="L99" i="6"/>
  <c r="L309" i="6"/>
  <c r="L310" i="6"/>
  <c r="L105" i="6" l="1"/>
  <c r="L125" i="6" s="1"/>
  <c r="L305" i="6"/>
  <c r="M37" i="6"/>
  <c r="M39" i="6" s="1"/>
  <c r="M170" i="6"/>
  <c r="M113" i="6"/>
  <c r="M115" i="6" s="1"/>
  <c r="M111" i="6"/>
  <c r="L299" i="6" l="1"/>
  <c r="L302" i="6"/>
  <c r="L311" i="6"/>
  <c r="M41" i="6"/>
  <c r="M117" i="6"/>
  <c r="M48" i="6" l="1"/>
  <c r="M60" i="6"/>
  <c r="M64" i="6" s="1"/>
  <c r="AC21" i="21"/>
  <c r="AC22" i="21" s="1"/>
  <c r="M274" i="6"/>
  <c r="M259" i="6"/>
  <c r="M253" i="6"/>
  <c r="M254" i="6" s="1"/>
  <c r="M76" i="6" s="1"/>
  <c r="M277" i="6" s="1"/>
  <c r="M291" i="6" s="1"/>
  <c r="M275" i="6" l="1"/>
  <c r="M283" i="6" s="1"/>
  <c r="M286" i="6"/>
  <c r="AC23" i="21"/>
  <c r="M276" i="6"/>
  <c r="M287" i="6" s="1"/>
  <c r="M260" i="6"/>
  <c r="M261" i="6" s="1"/>
  <c r="M120" i="6" s="1"/>
  <c r="M121" i="6" s="1"/>
  <c r="M77" i="6"/>
  <c r="M80" i="6" s="1"/>
  <c r="N258" i="6" l="1"/>
  <c r="M278" i="6"/>
  <c r="M288" i="6" s="1"/>
  <c r="M300" i="6"/>
  <c r="M296" i="6"/>
  <c r="M123" i="6"/>
  <c r="M219" i="6"/>
  <c r="M220" i="6" s="1"/>
  <c r="N218" i="6" s="1"/>
  <c r="N223" i="6" s="1"/>
  <c r="N236" i="6" s="1"/>
  <c r="N32" i="6" s="1"/>
  <c r="N35" i="6" s="1"/>
  <c r="N160" i="6" s="1"/>
  <c r="M82" i="6"/>
  <c r="N81" i="6" l="1"/>
  <c r="M95" i="6"/>
  <c r="M301" i="6" s="1"/>
  <c r="N163" i="6"/>
  <c r="N168" i="6" s="1"/>
  <c r="N37" i="6" s="1"/>
  <c r="N165" i="6"/>
  <c r="M99" i="6" l="1"/>
  <c r="M309" i="6"/>
  <c r="M310" i="6"/>
  <c r="N169" i="6"/>
  <c r="M105" i="6" l="1"/>
  <c r="M125" i="6" s="1"/>
  <c r="M305" i="6"/>
  <c r="N170" i="6"/>
  <c r="N113" i="6"/>
  <c r="N115" i="6" s="1"/>
  <c r="N38" i="6"/>
  <c r="M299" i="6" l="1"/>
  <c r="M302" i="6"/>
  <c r="M311" i="6"/>
  <c r="N62" i="6"/>
  <c r="N39" i="6"/>
  <c r="N41" i="6" l="1"/>
  <c r="N111" i="6"/>
  <c r="N117" i="6" s="1"/>
  <c r="N48" i="6" l="1"/>
  <c r="N259" i="6"/>
  <c r="N253" i="6"/>
  <c r="N254" i="6" s="1"/>
  <c r="N76" i="6" s="1"/>
  <c r="N277" i="6" s="1"/>
  <c r="N291" i="6" s="1"/>
  <c r="N60" i="6"/>
  <c r="N64" i="6" s="1"/>
  <c r="AD21" i="21"/>
  <c r="AD22" i="21" s="1"/>
  <c r="N274" i="6"/>
  <c r="N275" i="6" l="1"/>
  <c r="N283" i="6" s="1"/>
  <c r="N286" i="6"/>
  <c r="N260" i="6"/>
  <c r="N261" i="6" s="1"/>
  <c r="O258" i="6" s="1"/>
  <c r="AD23" i="21"/>
  <c r="N276" i="6"/>
  <c r="N287" i="6" s="1"/>
  <c r="N77" i="6"/>
  <c r="N80" i="6" s="1"/>
  <c r="N120" i="6" l="1"/>
  <c r="N121" i="6" s="1"/>
  <c r="N82" i="6"/>
  <c r="N219" i="6"/>
  <c r="N220" i="6" s="1"/>
  <c r="O218" i="6" s="1"/>
  <c r="O223" i="6" s="1"/>
  <c r="O236" i="6" s="1"/>
  <c r="O32" i="6" s="1"/>
  <c r="O35" i="6" s="1"/>
  <c r="O160" i="6" s="1"/>
  <c r="O165" i="6" s="1"/>
  <c r="N296" i="6"/>
  <c r="N123" i="6" l="1"/>
  <c r="N300" i="6"/>
  <c r="N278" i="6"/>
  <c r="N288" i="6" s="1"/>
  <c r="O163" i="6"/>
  <c r="O168" i="6" s="1"/>
  <c r="O37" i="6" s="1"/>
  <c r="O81" i="6"/>
  <c r="N95" i="6"/>
  <c r="N301" i="6" s="1"/>
  <c r="N99" i="6" l="1"/>
  <c r="N309" i="6"/>
  <c r="N310" i="6"/>
  <c r="O169" i="6"/>
  <c r="O170" i="6" s="1"/>
  <c r="O111" i="6"/>
  <c r="N105" i="6" l="1"/>
  <c r="N305" i="6"/>
  <c r="O113" i="6"/>
  <c r="O115" i="6" s="1"/>
  <c r="O117" i="6" s="1"/>
  <c r="O38" i="6"/>
  <c r="O62" i="6" s="1"/>
  <c r="N302" i="6" l="1"/>
  <c r="N311" i="6"/>
  <c r="N299" i="6"/>
  <c r="N125" i="6"/>
  <c r="O39" i="6"/>
  <c r="O41" i="6" l="1"/>
  <c r="O48" i="6" l="1"/>
  <c r="O274" i="6"/>
  <c r="O253" i="6"/>
  <c r="O254" i="6" s="1"/>
  <c r="O76" i="6" s="1"/>
  <c r="O277" i="6" s="1"/>
  <c r="O291" i="6" s="1"/>
  <c r="O259" i="6"/>
  <c r="AE21" i="21"/>
  <c r="O60" i="6"/>
  <c r="O64" i="6" s="1"/>
  <c r="O275" i="6" l="1"/>
  <c r="O283" i="6" s="1"/>
  <c r="O286" i="6"/>
  <c r="O77" i="6"/>
  <c r="O80" i="6" s="1"/>
  <c r="O219" i="6" s="1"/>
  <c r="O220" i="6" s="1"/>
  <c r="O260" i="6"/>
  <c r="O261" i="6" s="1"/>
  <c r="O120" i="6" s="1"/>
  <c r="O121" i="6" s="1"/>
  <c r="O123" i="6" s="1"/>
  <c r="O276" i="6"/>
  <c r="O287" i="6" s="1"/>
  <c r="AE22" i="21"/>
  <c r="AE23" i="21"/>
  <c r="O296" i="6"/>
  <c r="O278" i="6" l="1"/>
  <c r="O288" i="6" s="1"/>
  <c r="O300" i="6"/>
  <c r="O82" i="6"/>
  <c r="O95" i="6" s="1"/>
  <c r="O301" i="6" s="1"/>
  <c r="O310" i="6" l="1"/>
  <c r="O309" i="6"/>
  <c r="O99" i="6"/>
  <c r="O105" i="6" l="1"/>
  <c r="O311" i="6" s="1"/>
  <c r="O305" i="6"/>
  <c r="O302" i="6" l="1"/>
  <c r="O299" i="6"/>
  <c r="O125" i="6"/>
</calcChain>
</file>

<file path=xl/sharedStrings.xml><?xml version="1.0" encoding="utf-8"?>
<sst xmlns="http://schemas.openxmlformats.org/spreadsheetml/2006/main" count="329" uniqueCount="196">
  <si>
    <t>Projected</t>
  </si>
  <si>
    <t>Net Revenue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</si>
  <si>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</si>
  <si>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</si>
  <si>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</si>
  <si>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</si>
  <si>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</si>
  <si>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</si>
  <si>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</si>
  <si>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</si>
  <si>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</si>
  <si>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</si>
  <si>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</si>
  <si>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</si>
  <si>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</si>
  <si>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</si>
  <si>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</si>
  <si>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</si>
  <si>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</si>
  <si>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</si>
  <si>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</si>
  <si>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</si>
  <si>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</si>
  <si>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</si>
  <si>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</si>
  <si>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</si>
  <si>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</si>
  <si>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</si>
  <si>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</si>
  <si>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</si>
  <si>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</si>
  <si>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</si>
  <si>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</si>
  <si>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</si>
  <si>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</si>
  <si>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</si>
  <si>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Depreciation</t>
  </si>
  <si>
    <t>Cash Flow Statement</t>
  </si>
  <si>
    <t>Income Tax Schedule</t>
  </si>
  <si>
    <t>Working Capital Schedule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</si>
  <si>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</si>
  <si>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</si>
  <si>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</si>
  <si>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</si>
  <si>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</si>
  <si>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</si>
  <si>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</si>
  <si>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</si>
  <si>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>Debt and Interest Schedule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</si>
  <si>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</si>
  <si>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</si>
  <si>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</si>
  <si>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</si>
  <si>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</si>
  <si>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</si>
  <si>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</si>
  <si>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</si>
  <si>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</si>
  <si>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</si>
  <si>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</si>
  <si>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-</t>
  </si>
  <si>
    <t>GENERAL</t>
  </si>
  <si>
    <t>TAXES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</si>
  <si>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</si>
  <si>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</si>
  <si>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</si>
  <si>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</si>
  <si>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</si>
  <si>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</si>
  <si>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</si>
  <si>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</si>
  <si>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SCENARIO SWITCH: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</si>
  <si>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</si>
  <si>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</si>
  <si>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</si>
  <si>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</si>
  <si>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</si>
  <si>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</si>
  <si>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</si>
  <si>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(%)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</si>
  <si>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</si>
  <si>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</si>
  <si>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</si>
  <si>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</si>
  <si>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</si>
  <si>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</si>
  <si>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</si>
  <si>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</si>
  <si>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</si>
  <si>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</si>
  <si>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</si>
  <si>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</si>
  <si>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Changes in working capital</t>
  </si>
  <si>
    <t>FINANCING COMPONENT</t>
  </si>
  <si>
    <t>Senior Secured Term Debt</t>
  </si>
  <si>
    <t>Term Debt Issuance / (Repayment)</t>
  </si>
  <si>
    <t>Depreciation Schedule</t>
  </si>
  <si>
    <t xml:space="preserve"> </t>
  </si>
  <si>
    <t>Depreciation Years on New Assets:</t>
  </si>
  <si>
    <t>Income Statement Items</t>
  </si>
  <si>
    <t>First year of forecast in financial model: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</si>
  <si>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</si>
  <si>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</si>
  <si>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</si>
  <si>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</si>
  <si>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</si>
  <si>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</si>
  <si>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</si>
  <si>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</si>
  <si>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</si>
  <si>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</si>
  <si>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</si>
  <si>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</si>
  <si>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</si>
  <si>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Investing Activities - Other</t>
  </si>
  <si>
    <t>Other Assets</t>
  </si>
  <si>
    <t>Other Liabilities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</si>
  <si>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</si>
  <si>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</si>
  <si>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</si>
  <si>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</si>
  <si>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</si>
  <si>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</si>
  <si>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</si>
  <si>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</si>
  <si>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</si>
  <si>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</si>
  <si>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</si>
  <si>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Tax rate assumed in the model:</t>
  </si>
  <si>
    <t>Additional tax assumptions in "Other Assumptions" box</t>
  </si>
  <si>
    <t>Interest rate on Senior Secured Term Debt:</t>
  </si>
  <si>
    <t>Interest earned on Cash balances:</t>
  </si>
  <si>
    <t>Trend</t>
  </si>
  <si>
    <t>Years Remaining Existing Assets:</t>
  </si>
  <si>
    <t>Financial Model Worksheet</t>
  </si>
  <si>
    <t>Asian Paints</t>
  </si>
  <si>
    <t>Gross profit</t>
  </si>
  <si>
    <t>Operating Expenses</t>
  </si>
  <si>
    <t>Revenue Growth</t>
  </si>
  <si>
    <t>Growth %</t>
  </si>
  <si>
    <t>Other Income</t>
  </si>
  <si>
    <t>% of Revenue</t>
  </si>
  <si>
    <t>Cost of Goods Sold</t>
  </si>
  <si>
    <t>(₹ Billions)</t>
  </si>
  <si>
    <t>Cost Inflation</t>
  </si>
  <si>
    <t>Change %</t>
  </si>
  <si>
    <t>Economic and Sales Scenarios</t>
  </si>
  <si>
    <t>Three scenarios have been used for Inflation and Revenue</t>
  </si>
  <si>
    <t>BN</t>
  </si>
  <si>
    <t>(₹ BN)</t>
  </si>
  <si>
    <t>(BN)</t>
  </si>
  <si>
    <t>Gross Profit</t>
  </si>
  <si>
    <t>Financial Statements</t>
  </si>
  <si>
    <t>Valuations</t>
  </si>
  <si>
    <t>Reported EPS</t>
  </si>
  <si>
    <t>Per Share Data (₹)</t>
  </si>
  <si>
    <t>Diluted EPS</t>
  </si>
  <si>
    <t>Cash EPS</t>
  </si>
  <si>
    <t>Dividend per share (DPS)</t>
  </si>
  <si>
    <t>Book value per share (BV)</t>
  </si>
  <si>
    <t>Growth (%)</t>
  </si>
  <si>
    <t>Revenue</t>
  </si>
  <si>
    <t>EPS</t>
  </si>
  <si>
    <t>Valuation Ratios (x)</t>
  </si>
  <si>
    <t>P/E</t>
  </si>
  <si>
    <t>P/BV</t>
  </si>
  <si>
    <t>Dividend Yield (%)</t>
  </si>
  <si>
    <t>Gross Profit Margin (%)</t>
  </si>
  <si>
    <t>EBITDA Margin (%)</t>
  </si>
  <si>
    <t>Net profit Margin (%)</t>
  </si>
  <si>
    <t>P / Sales</t>
  </si>
  <si>
    <t>EV / EBITDA</t>
  </si>
  <si>
    <t>Net Debt / Equity (x)</t>
  </si>
  <si>
    <t>Net Debt / EBITDA (x)</t>
  </si>
  <si>
    <t>Fixed Asset Turnover</t>
  </si>
  <si>
    <t>Profitability Ratios</t>
  </si>
  <si>
    <t>ROCE (%)</t>
  </si>
  <si>
    <t>ROE (%)</t>
  </si>
  <si>
    <t>ROIC (%)</t>
  </si>
  <si>
    <t>Net Income Margin</t>
  </si>
  <si>
    <t>Cash P/E</t>
  </si>
  <si>
    <t>Solvency Ratios</t>
  </si>
  <si>
    <t>ROA (%)</t>
  </si>
  <si>
    <t>Liquidity Ratios</t>
  </si>
  <si>
    <t>Current Ratio</t>
  </si>
  <si>
    <t>Cash Conversion Cycle</t>
  </si>
  <si>
    <t>Total Debt / Asset Ratio</t>
  </si>
  <si>
    <t>Turnover Ratios</t>
  </si>
  <si>
    <t>Inventory Turnover Ratio</t>
  </si>
  <si>
    <t>Estimated Price:</t>
  </si>
  <si>
    <t>Current Price:</t>
  </si>
  <si>
    <t>Forward P/E:</t>
  </si>
  <si>
    <t>Weighted average number of Equity shares:</t>
  </si>
  <si>
    <t>Y/E March</t>
  </si>
  <si>
    <t>Receiveables Turnover Ratio</t>
  </si>
  <si>
    <t>Payables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</si>
</sst>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* #,##0.00_);_(* \(#,##0.00\);_(* &quot;-&quot;??_);_(@_)"/>
    <numFmt numFmtId="168" formatCode="_(* #,##0.0_);_(* \(#,##0.0\);_(* &quot;-&quot;??_);_(@_)"/>
    <numFmt numFmtId="169" formatCode="_(* #,##0_);_(* \(#,##0\);_(* &quot;-&quot;??_);_(@_)"/>
    <numFmt numFmtId="170" formatCode="0.0%"/>
    <numFmt numFmtId="171" formatCode="#,##0.0_);\(#,##0.0\)"/>
    <numFmt numFmtId="172" formatCode="&quot;$&quot;#,##0.0_);\(&quot;$&quot;#,##0.0\)"/>
    <numFmt numFmtId="173" formatCode="#,##0.000_);\(#,##0.000\)"/>
    <numFmt numFmtId="174" formatCode="0.0_);\(0.0\)"/>
    <numFmt numFmtId="175" formatCode="0.00_);\(0.00\)"/>
    <numFmt numFmtId="176" formatCode="0.000_);\(0.000\)"/>
    <numFmt numFmtId="177" formatCode="0\A"/>
    <numFmt numFmtId="178" formatCode="&quot;- EBITDA margin of &quot;0.0%"/>
    <numFmt numFmtId="179" formatCode="&quot;- Opening UCC pool of &quot;&quot;$&quot;#,###.0&quot; million as of January 1, 1999&quot;"/>
    <numFmt numFmtId="180" formatCode="0.00\ "/>
    <numFmt numFmtId="181" formatCode="_-* #,##0_-;\-* #,##0_-;_-* &quot;-&quot;??_-;_-@_-"/>
    <numFmt numFmtId="182" formatCode="0_);\(0\)"/>
    <numFmt numFmtId="183" formatCode="mmmm\ d\,\ yyyy"/>
    <numFmt numFmtId="184" formatCode="0\ &quot;years&quot;"/>
    <numFmt numFmtId="185" formatCode="#,##0.0000_);\(#,##0.0000\)"/>
    <numFmt numFmtId="186" formatCode="0\F"/>
    <numFmt numFmtId="187" formatCode="&quot;$&quot;#,##0.0000_);\(&quot;$&quot;#,##0.0000\)"/>
    <numFmt numFmtId="188" formatCode="&quot;$&quot;#,##0.000000_);\(&quot;$&quot;#,##0.000000\)"/>
    <numFmt numFmtId="189" formatCode="0.0%;\(0.0%\)"/>
    <numFmt numFmtId="190" formatCode="&quot;₹&quot;\ #,##0.00"/>
    <numFmt numFmtId="191" formatCode="&quot;₹&quot;\ #,##0.0"/>
    <numFmt numFmtId="192" formatCode="#,##0.00_);\(#,##0.00\)"/>
    <numFmt numFmtId="193" formatCode="0.00%;\(0.00%\)"/>
    <numFmt numFmtId="194" formatCode="&quot;₹&quot;#,##0.00_);\(&quot;₹&quot;#,##0.00\)"/>
  </numFmts>
  <fonts count="75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28"/>
      <color rgb="FF008ED6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b/>
      <sz val="10"/>
      <color rgb="FF0070C0"/>
      <name val="Arial"/>
      <family val="2"/>
    </font>
    <font>
      <b/>
      <u/>
      <sz val="10"/>
      <color rgb="FF0070C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24"/>
      <name val="Arial"/>
      <family val="2"/>
    </font>
    <font>
      <b/>
      <sz val="22"/>
      <name val="Arial"/>
      <family val="2"/>
    </font>
    <font>
      <b/>
      <u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5B77CC"/>
      </right>
      <top style="thin">
        <color rgb="FF5B77CC"/>
      </top>
      <bottom/>
      <diagonal/>
    </border>
    <border>
      <left/>
      <right style="thin">
        <color rgb="FF5B77CC"/>
      </right>
      <top/>
      <bottom/>
      <diagonal/>
    </border>
    <border>
      <left/>
      <right style="thin">
        <color rgb="FF5B77CC"/>
      </right>
      <top/>
      <bottom style="thin">
        <color rgb="FF4586BB"/>
      </bottom>
      <diagonal/>
    </border>
  </borders>
  <cellStyleXfs count="14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167" fontId="2" fillId="0" borderId="0" applyFont="0" applyFill="0" applyBorder="0" applyAlignment="0" applyProtection="0"/>
    <xf numFmtId="166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81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</cellStyleXfs>
  <cellXfs count="484">
    <xf numFmtId="0" fontId="0" fillId="0" borderId="0" xfId="0"/>
    <xf numFmtId="0" fontId="12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4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16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17" fillId="0" borderId="0" xfId="0" applyFont="1"/>
    <xf numFmtId="0" fontId="0" fillId="0" borderId="5" xfId="0" applyBorder="1" applyAlignment="1">
      <alignment horizontal="left"/>
    </xf>
    <xf numFmtId="0" fontId="16" fillId="0" borderId="0" xfId="0" applyFont="1"/>
    <xf numFmtId="179" fontId="0" fillId="0" borderId="0" xfId="0" quotePrefix="1" applyNumberFormat="1" applyAlignment="1">
      <alignment horizontal="left"/>
    </xf>
    <xf numFmtId="178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4" fontId="16" fillId="0" borderId="0" xfId="0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0" fontId="0" fillId="0" borderId="7" xfId="0" applyBorder="1"/>
    <xf numFmtId="172" fontId="16" fillId="0" borderId="0" xfId="0" applyNumberFormat="1" applyFont="1"/>
    <xf numFmtId="178" fontId="0" fillId="0" borderId="0" xfId="0" applyNumberFormat="1" applyAlignment="1">
      <alignment horizontal="left"/>
    </xf>
    <xf numFmtId="0" fontId="19" fillId="0" borderId="0" xfId="9" applyFont="1"/>
    <xf numFmtId="0" fontId="12" fillId="0" borderId="0" xfId="9" applyFont="1" applyAlignment="1">
      <alignment horizontal="centerContinuous"/>
    </xf>
    <xf numFmtId="0" fontId="20" fillId="0" borderId="0" xfId="9" applyFont="1" applyAlignment="1">
      <alignment horizontal="centerContinuous"/>
    </xf>
    <xf numFmtId="0" fontId="3" fillId="0" borderId="0" xfId="9" applyFont="1"/>
    <xf numFmtId="0" fontId="21" fillId="0" borderId="0" xfId="9" applyFont="1" applyAlignment="1">
      <alignment horizontal="centerContinuous"/>
    </xf>
    <xf numFmtId="0" fontId="22" fillId="0" borderId="0" xfId="9" quotePrefix="1" applyFont="1" applyAlignment="1">
      <alignment horizontal="left"/>
    </xf>
    <xf numFmtId="0" fontId="22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5" fillId="0" borderId="1" xfId="9" applyFont="1" applyBorder="1" applyAlignment="1">
      <alignment horizontal="centerContinuous"/>
    </xf>
    <xf numFmtId="0" fontId="15" fillId="0" borderId="5" xfId="9" applyFont="1" applyBorder="1" applyAlignment="1">
      <alignment vertical="center"/>
    </xf>
    <xf numFmtId="0" fontId="15" fillId="0" borderId="0" xfId="9" applyFont="1"/>
    <xf numFmtId="0" fontId="23" fillId="0" borderId="6" xfId="9" applyFont="1" applyBorder="1" applyAlignment="1">
      <alignment horizontal="center" vertical="center"/>
    </xf>
    <xf numFmtId="0" fontId="17" fillId="0" borderId="0" xfId="9" quotePrefix="1" applyFont="1" applyAlignment="1">
      <alignment horizontal="right"/>
    </xf>
    <xf numFmtId="0" fontId="15" fillId="0" borderId="10" xfId="9" applyFont="1" applyBorder="1"/>
    <xf numFmtId="0" fontId="15" fillId="0" borderId="1" xfId="9" applyFont="1" applyBorder="1"/>
    <xf numFmtId="0" fontId="15" fillId="0" borderId="1" xfId="9" applyFont="1" applyBorder="1" applyAlignment="1">
      <alignment horizontal="center"/>
    </xf>
    <xf numFmtId="0" fontId="15" fillId="0" borderId="11" xfId="9" applyFont="1" applyBorder="1" applyAlignment="1">
      <alignment horizontal="center"/>
    </xf>
    <xf numFmtId="0" fontId="17" fillId="0" borderId="0" xfId="9" applyFont="1" applyAlignment="1">
      <alignment horizontal="right"/>
    </xf>
    <xf numFmtId="0" fontId="15" fillId="0" borderId="0" xfId="9" applyFont="1" applyAlignment="1">
      <alignment horizontal="center"/>
    </xf>
    <xf numFmtId="0" fontId="24" fillId="0" borderId="0" xfId="9" quotePrefix="1" applyFont="1" applyAlignment="1">
      <alignment horizontal="left"/>
    </xf>
    <xf numFmtId="0" fontId="25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5" fillId="0" borderId="0" xfId="9" applyFont="1" applyAlignment="1">
      <alignment horizontal="left" vertical="center"/>
    </xf>
    <xf numFmtId="0" fontId="23" fillId="0" borderId="0" xfId="9" applyFont="1" applyAlignment="1">
      <alignment horizontal="center"/>
    </xf>
    <xf numFmtId="0" fontId="15" fillId="0" borderId="0" xfId="9" quotePrefix="1" applyFont="1" applyAlignment="1">
      <alignment horizontal="left"/>
    </xf>
    <xf numFmtId="170" fontId="16" fillId="0" borderId="0" xfId="0" applyNumberFormat="1" applyFont="1"/>
    <xf numFmtId="170" fontId="3" fillId="0" borderId="0" xfId="0" applyNumberFormat="1" applyFont="1"/>
    <xf numFmtId="170" fontId="26" fillId="0" borderId="16" xfId="0" applyNumberFormat="1" applyFont="1" applyBorder="1"/>
    <xf numFmtId="170" fontId="26" fillId="0" borderId="17" xfId="0" applyNumberFormat="1" applyFont="1" applyBorder="1"/>
    <xf numFmtId="170" fontId="26" fillId="0" borderId="18" xfId="0" applyNumberFormat="1" applyFont="1" applyBorder="1"/>
    <xf numFmtId="170" fontId="26" fillId="0" borderId="19" xfId="0" applyNumberFormat="1" applyFont="1" applyBorder="1"/>
    <xf numFmtId="170" fontId="26" fillId="0" borderId="0" xfId="0" applyNumberFormat="1" applyFont="1"/>
    <xf numFmtId="170" fontId="26" fillId="0" borderId="20" xfId="0" applyNumberFormat="1" applyFont="1" applyBorder="1"/>
    <xf numFmtId="170" fontId="26" fillId="0" borderId="21" xfId="0" applyNumberFormat="1" applyFont="1" applyBorder="1"/>
    <xf numFmtId="170" fontId="26" fillId="0" borderId="22" xfId="0" applyNumberFormat="1" applyFont="1" applyBorder="1"/>
    <xf numFmtId="170" fontId="26" fillId="0" borderId="23" xfId="0" applyNumberFormat="1" applyFont="1" applyBorder="1"/>
    <xf numFmtId="0" fontId="3" fillId="0" borderId="0" xfId="9" applyFont="1" applyAlignment="1">
      <alignment horizontal="left"/>
    </xf>
    <xf numFmtId="0" fontId="27" fillId="0" borderId="0" xfId="9" applyFont="1" applyAlignment="1">
      <alignment horizontal="center"/>
    </xf>
    <xf numFmtId="175" fontId="26" fillId="0" borderId="0" xfId="4" applyNumberFormat="1" applyFont="1" applyBorder="1" applyAlignment="1" applyProtection="1">
      <alignment horizontal="right"/>
    </xf>
    <xf numFmtId="175" fontId="28" fillId="0" borderId="0" xfId="4" applyNumberFormat="1" applyFont="1" applyBorder="1" applyAlignment="1" applyProtection="1">
      <alignment horizontal="right"/>
    </xf>
    <xf numFmtId="0" fontId="23" fillId="0" borderId="0" xfId="9" applyFont="1" applyAlignment="1">
      <alignment horizontal="center" vertical="center"/>
    </xf>
    <xf numFmtId="180" fontId="3" fillId="0" borderId="0" xfId="9" applyNumberFormat="1" applyFont="1"/>
    <xf numFmtId="37" fontId="3" fillId="0" borderId="0" xfId="9" applyNumberFormat="1" applyFont="1"/>
    <xf numFmtId="37" fontId="26" fillId="0" borderId="0" xfId="0" applyNumberFormat="1" applyFont="1"/>
    <xf numFmtId="0" fontId="16" fillId="0" borderId="0" xfId="9" applyFont="1"/>
    <xf numFmtId="0" fontId="13" fillId="0" borderId="0" xfId="0" applyFont="1" applyAlignment="1">
      <alignment horizontal="left"/>
    </xf>
    <xf numFmtId="0" fontId="27" fillId="0" borderId="0" xfId="0" applyFont="1" applyAlignment="1">
      <alignment horizontal="centerContinuous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Continuous"/>
    </xf>
    <xf numFmtId="0" fontId="31" fillId="0" borderId="0" xfId="0" applyFont="1" applyAlignment="1">
      <alignment horizontal="centerContinuous"/>
    </xf>
    <xf numFmtId="0" fontId="32" fillId="0" borderId="0" xfId="0" applyFont="1" applyAlignment="1">
      <alignment horizontal="centerContinuous"/>
    </xf>
    <xf numFmtId="0" fontId="27" fillId="0" borderId="0" xfId="0" applyFont="1"/>
    <xf numFmtId="0" fontId="15" fillId="0" borderId="0" xfId="0" applyFont="1" applyAlignment="1">
      <alignment horizontal="centerContinuous"/>
    </xf>
    <xf numFmtId="0" fontId="33" fillId="0" borderId="1" xfId="0" applyFont="1" applyBorder="1" applyAlignment="1">
      <alignment horizontal="centerContinuous"/>
    </xf>
    <xf numFmtId="0" fontId="15" fillId="0" borderId="0" xfId="0" quotePrefix="1" applyFont="1" applyAlignment="1">
      <alignment horizontal="left"/>
    </xf>
    <xf numFmtId="0" fontId="5" fillId="0" borderId="0" xfId="0" applyFont="1"/>
    <xf numFmtId="170" fontId="0" fillId="0" borderId="0" xfId="0" applyNumberFormat="1"/>
    <xf numFmtId="0" fontId="15" fillId="0" borderId="0" xfId="0" applyFont="1" applyAlignment="1">
      <alignment horizontal="left"/>
    </xf>
    <xf numFmtId="0" fontId="15" fillId="0" borderId="0" xfId="0" applyFont="1"/>
    <xf numFmtId="0" fontId="30" fillId="0" borderId="0" xfId="0" applyFont="1"/>
    <xf numFmtId="0" fontId="16" fillId="0" borderId="0" xfId="0" applyFont="1" applyAlignment="1">
      <alignment horizontal="center"/>
    </xf>
    <xf numFmtId="0" fontId="27" fillId="0" borderId="1" xfId="0" applyFont="1" applyBorder="1"/>
    <xf numFmtId="0" fontId="30" fillId="0" borderId="0" xfId="0" applyFont="1" applyAlignment="1">
      <alignment horizontal="right" vertical="center"/>
    </xf>
    <xf numFmtId="0" fontId="17" fillId="0" borderId="0" xfId="0" quotePrefix="1" applyFont="1" applyAlignment="1">
      <alignment horizontal="right"/>
    </xf>
    <xf numFmtId="0" fontId="36" fillId="0" borderId="0" xfId="0" applyFont="1"/>
    <xf numFmtId="37" fontId="0" fillId="0" borderId="0" xfId="4" applyNumberFormat="1" applyFont="1" applyBorder="1" applyProtection="1"/>
    <xf numFmtId="37" fontId="0" fillId="0" borderId="0" xfId="0" applyNumberFormat="1"/>
    <xf numFmtId="37" fontId="15" fillId="0" borderId="0" xfId="4" applyNumberFormat="1" applyFont="1" applyBorder="1" applyProtection="1"/>
    <xf numFmtId="0" fontId="15" fillId="0" borderId="1" xfId="0" quotePrefix="1" applyFont="1" applyBorder="1" applyAlignment="1">
      <alignment horizontal="left"/>
    </xf>
    <xf numFmtId="37" fontId="15" fillId="0" borderId="1" xfId="4" applyNumberFormat="1" applyFont="1" applyBorder="1" applyProtection="1"/>
    <xf numFmtId="169" fontId="0" fillId="0" borderId="0" xfId="4" applyNumberFormat="1" applyFont="1" applyBorder="1" applyProtection="1"/>
    <xf numFmtId="0" fontId="22" fillId="0" borderId="0" xfId="0" quotePrefix="1" applyFont="1"/>
    <xf numFmtId="164" fontId="16" fillId="0" borderId="0" xfId="0" applyNumberFormat="1" applyFont="1"/>
    <xf numFmtId="0" fontId="0" fillId="0" borderId="24" xfId="0" applyBorder="1"/>
    <xf numFmtId="0" fontId="0" fillId="0" borderId="25" xfId="0" applyBorder="1"/>
    <xf numFmtId="37" fontId="16" fillId="0" borderId="0" xfId="0" applyNumberFormat="1" applyFont="1"/>
    <xf numFmtId="171" fontId="0" fillId="0" borderId="0" xfId="0" applyNumberFormat="1"/>
    <xf numFmtId="165" fontId="15" fillId="0" borderId="0" xfId="0" quotePrefix="1" applyNumberFormat="1" applyFont="1" applyAlignment="1">
      <alignment horizontal="left"/>
    </xf>
    <xf numFmtId="165" fontId="15" fillId="0" borderId="0" xfId="0" applyNumberFormat="1" applyFont="1" applyAlignment="1">
      <alignment horizontal="left"/>
    </xf>
    <xf numFmtId="172" fontId="15" fillId="0" borderId="0" xfId="0" applyNumberFormat="1" applyFont="1"/>
    <xf numFmtId="167" fontId="0" fillId="0" borderId="0" xfId="4" applyFont="1" applyBorder="1" applyProtection="1"/>
    <xf numFmtId="0" fontId="15" fillId="0" borderId="7" xfId="0" applyFont="1" applyBorder="1"/>
    <xf numFmtId="0" fontId="27" fillId="0" borderId="8" xfId="0" applyFont="1" applyBorder="1"/>
    <xf numFmtId="169" fontId="0" fillId="0" borderId="8" xfId="4" applyNumberFormat="1" applyFont="1" applyBorder="1" applyProtection="1"/>
    <xf numFmtId="169" fontId="0" fillId="0" borderId="9" xfId="4" applyNumberFormat="1" applyFont="1" applyBorder="1" applyProtection="1"/>
    <xf numFmtId="189" fontId="22" fillId="0" borderId="0" xfId="0" applyNumberFormat="1" applyFont="1"/>
    <xf numFmtId="9" fontId="15" fillId="0" borderId="0" xfId="0" applyNumberFormat="1" applyFont="1"/>
    <xf numFmtId="0" fontId="27" fillId="0" borderId="0" xfId="0" quotePrefix="1" applyFont="1"/>
    <xf numFmtId="0" fontId="27" fillId="0" borderId="1" xfId="0" quotePrefix="1" applyFont="1" applyBorder="1"/>
    <xf numFmtId="0" fontId="37" fillId="0" borderId="8" xfId="0" quotePrefix="1" applyFont="1" applyBorder="1"/>
    <xf numFmtId="167" fontId="22" fillId="0" borderId="0" xfId="4" applyFont="1" applyBorder="1" applyProtection="1"/>
    <xf numFmtId="0" fontId="22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7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37" fontId="0" fillId="0" borderId="0" xfId="4" applyNumberFormat="1" applyFont="1" applyProtection="1"/>
    <xf numFmtId="37" fontId="0" fillId="0" borderId="0" xfId="4" applyNumberFormat="1" applyFont="1" applyFill="1" applyProtection="1"/>
    <xf numFmtId="37" fontId="16" fillId="0" borderId="0" xfId="4" applyNumberFormat="1" applyFont="1" applyBorder="1" applyProtection="1"/>
    <xf numFmtId="169" fontId="0" fillId="0" borderId="0" xfId="4" applyNumberFormat="1" applyFont="1" applyFill="1" applyBorder="1" applyProtection="1"/>
    <xf numFmtId="0" fontId="15" fillId="0" borderId="8" xfId="0" quotePrefix="1" applyFont="1" applyBorder="1" applyAlignment="1">
      <alignment horizontal="left"/>
    </xf>
    <xf numFmtId="37" fontId="15" fillId="0" borderId="8" xfId="4" applyNumberFormat="1" applyFont="1" applyBorder="1" applyProtection="1"/>
    <xf numFmtId="0" fontId="0" fillId="0" borderId="10" xfId="0" applyBorder="1" applyAlignment="1">
      <alignment horizontal="left"/>
    </xf>
    <xf numFmtId="0" fontId="33" fillId="0" borderId="0" xfId="0" applyFont="1" applyAlignment="1">
      <alignment horizontal="centerContinuous"/>
    </xf>
    <xf numFmtId="0" fontId="22" fillId="0" borderId="0" xfId="0" applyFont="1" applyAlignment="1">
      <alignment horizontal="left"/>
    </xf>
    <xf numFmtId="37" fontId="16" fillId="0" borderId="0" xfId="4" applyNumberFormat="1" applyFont="1" applyFill="1" applyBorder="1" applyProtection="1"/>
    <xf numFmtId="173" fontId="39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8" fontId="0" fillId="0" borderId="0" xfId="4" applyNumberFormat="1" applyFont="1" applyBorder="1" applyProtection="1"/>
    <xf numFmtId="168" fontId="0" fillId="0" borderId="0" xfId="4" applyNumberFormat="1" applyFont="1" applyProtection="1"/>
    <xf numFmtId="0" fontId="22" fillId="0" borderId="0" xfId="0" applyFont="1"/>
    <xf numFmtId="176" fontId="22" fillId="0" borderId="0" xfId="4" applyNumberFormat="1" applyFont="1" applyBorder="1" applyProtection="1"/>
    <xf numFmtId="176" fontId="22" fillId="0" borderId="0" xfId="4" applyNumberFormat="1" applyFont="1" applyProtection="1"/>
    <xf numFmtId="0" fontId="22" fillId="0" borderId="1" xfId="0" quotePrefix="1" applyFont="1" applyBorder="1" applyAlignment="1">
      <alignment horizontal="left"/>
    </xf>
    <xf numFmtId="176" fontId="0" fillId="0" borderId="1" xfId="0" applyNumberFormat="1" applyBorder="1"/>
    <xf numFmtId="0" fontId="40" fillId="0" borderId="0" xfId="0" applyFont="1" applyAlignment="1">
      <alignment horizontal="centerContinuous"/>
    </xf>
    <xf numFmtId="0" fontId="41" fillId="0" borderId="0" xfId="0" applyFont="1" applyAlignment="1">
      <alignment horizontal="centerContinuous"/>
    </xf>
    <xf numFmtId="0" fontId="42" fillId="0" borderId="0" xfId="0" applyFont="1" applyAlignment="1">
      <alignment horizontal="centerContinuous"/>
    </xf>
    <xf numFmtId="0" fontId="43" fillId="0" borderId="0" xfId="0" applyFont="1" applyAlignment="1">
      <alignment horizontal="centerContinuous"/>
    </xf>
    <xf numFmtId="0" fontId="36" fillId="0" borderId="0" xfId="0" applyFont="1" applyAlignment="1">
      <alignment horizontal="centerContinuous"/>
    </xf>
    <xf numFmtId="0" fontId="15" fillId="0" borderId="1" xfId="0" applyFont="1" applyBorder="1" applyAlignment="1">
      <alignment horizontal="centerContinuous"/>
    </xf>
    <xf numFmtId="0" fontId="44" fillId="0" borderId="0" xfId="0" applyFont="1" applyAlignment="1">
      <alignment horizontal="right"/>
    </xf>
    <xf numFmtId="0" fontId="45" fillId="0" borderId="0" xfId="0" applyFont="1"/>
    <xf numFmtId="0" fontId="45" fillId="0" borderId="7" xfId="0" applyFont="1" applyBorder="1" applyAlignment="1">
      <alignment horizontal="left" vertical="center"/>
    </xf>
    <xf numFmtId="185" fontId="46" fillId="0" borderId="0" xfId="0" applyNumberFormat="1" applyFont="1"/>
    <xf numFmtId="37" fontId="45" fillId="0" borderId="0" xfId="0" applyNumberFormat="1" applyFont="1"/>
    <xf numFmtId="0" fontId="47" fillId="0" borderId="0" xfId="0" applyFont="1"/>
    <xf numFmtId="0" fontId="45" fillId="0" borderId="10" xfId="0" applyFont="1" applyBorder="1" applyAlignment="1">
      <alignment horizontal="left" vertical="center"/>
    </xf>
    <xf numFmtId="0" fontId="45" fillId="0" borderId="1" xfId="0" quotePrefix="1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188" fontId="0" fillId="0" borderId="0" xfId="0" applyNumberFormat="1"/>
    <xf numFmtId="0" fontId="48" fillId="0" borderId="0" xfId="0" applyFont="1" applyAlignment="1">
      <alignment horizontal="right"/>
    </xf>
    <xf numFmtId="182" fontId="0" fillId="0" borderId="0" xfId="0" applyNumberFormat="1"/>
    <xf numFmtId="172" fontId="0" fillId="0" borderId="5" xfId="0" applyNumberFormat="1" applyBorder="1"/>
    <xf numFmtId="0" fontId="29" fillId="0" borderId="0" xfId="0" applyFont="1" applyAlignment="1">
      <alignment vertical="center"/>
    </xf>
    <xf numFmtId="172" fontId="15" fillId="0" borderId="26" xfId="0" applyNumberFormat="1" applyFont="1" applyBorder="1" applyAlignment="1">
      <alignment vertical="center"/>
    </xf>
    <xf numFmtId="37" fontId="0" fillId="0" borderId="1" xfId="4" applyNumberFormat="1" applyFont="1" applyBorder="1" applyProtection="1"/>
    <xf numFmtId="0" fontId="48" fillId="0" borderId="0" xfId="0" applyFont="1"/>
    <xf numFmtId="0" fontId="15" fillId="0" borderId="13" xfId="0" applyFont="1" applyBorder="1"/>
    <xf numFmtId="0" fontId="0" fillId="0" borderId="14" xfId="0" applyBorder="1"/>
    <xf numFmtId="0" fontId="15" fillId="0" borderId="10" xfId="0" applyFont="1" applyBorder="1"/>
    <xf numFmtId="0" fontId="51" fillId="0" borderId="0" xfId="0" applyFont="1"/>
    <xf numFmtId="37" fontId="26" fillId="0" borderId="1" xfId="0" applyNumberFormat="1" applyFont="1" applyBorder="1"/>
    <xf numFmtId="37" fontId="16" fillId="0" borderId="1" xfId="0" applyNumberFormat="1" applyFont="1" applyBorder="1"/>
    <xf numFmtId="0" fontId="5" fillId="0" borderId="25" xfId="0" applyFont="1" applyBorder="1"/>
    <xf numFmtId="4" fontId="15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167" fontId="45" fillId="0" borderId="0" xfId="4" applyFont="1" applyProtection="1"/>
    <xf numFmtId="182" fontId="16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167" fontId="45" fillId="0" borderId="0" xfId="4" applyFont="1" applyFill="1" applyProtection="1"/>
    <xf numFmtId="182" fontId="16" fillId="0" borderId="0" xfId="4" applyNumberFormat="1" applyFont="1" applyFill="1" applyProtection="1"/>
    <xf numFmtId="4" fontId="15" fillId="0" borderId="0" xfId="4" applyNumberFormat="1" applyFont="1" applyFill="1" applyBorder="1" applyProtection="1"/>
    <xf numFmtId="168" fontId="0" fillId="0" borderId="1" xfId="4" applyNumberFormat="1" applyFont="1" applyBorder="1" applyProtection="1"/>
    <xf numFmtId="177" fontId="17" fillId="0" borderId="0" xfId="0" quotePrefix="1" applyNumberFormat="1" applyFont="1" applyAlignment="1">
      <alignment horizontal="right"/>
    </xf>
    <xf numFmtId="187" fontId="0" fillId="0" borderId="0" xfId="0" applyNumberFormat="1"/>
    <xf numFmtId="164" fontId="0" fillId="0" borderId="0" xfId="0" applyNumberFormat="1"/>
    <xf numFmtId="0" fontId="12" fillId="0" borderId="0" xfId="7" applyFont="1" applyAlignment="1">
      <alignment horizontal="centerContinuous"/>
    </xf>
    <xf numFmtId="0" fontId="55" fillId="0" borderId="0" xfId="7" applyFont="1" applyAlignment="1">
      <alignment horizontal="centerContinuous"/>
    </xf>
    <xf numFmtId="0" fontId="43" fillId="0" borderId="0" xfId="7" applyFont="1" applyAlignment="1">
      <alignment horizontal="centerContinuous"/>
    </xf>
    <xf numFmtId="0" fontId="3" fillId="0" borderId="0" xfId="7"/>
    <xf numFmtId="0" fontId="21" fillId="0" borderId="0" xfId="7" applyFont="1" applyAlignment="1">
      <alignment horizontal="centerContinuous"/>
    </xf>
    <xf numFmtId="0" fontId="56" fillId="0" borderId="0" xfId="7" applyFont="1" applyAlignment="1">
      <alignment horizontal="centerContinuous"/>
    </xf>
    <xf numFmtId="0" fontId="15" fillId="0" borderId="0" xfId="7" applyFont="1" applyAlignment="1">
      <alignment horizontal="centerContinuous"/>
    </xf>
    <xf numFmtId="0" fontId="57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7" fontId="17" fillId="0" borderId="0" xfId="0" applyNumberFormat="1" applyFont="1"/>
    <xf numFmtId="186" fontId="17" fillId="0" borderId="0" xfId="0" quotePrefix="1" applyNumberFormat="1" applyFont="1" applyAlignment="1">
      <alignment horizontal="right"/>
    </xf>
    <xf numFmtId="0" fontId="15" fillId="0" borderId="0" xfId="7" applyFont="1"/>
    <xf numFmtId="0" fontId="5" fillId="0" borderId="0" xfId="7" applyFont="1"/>
    <xf numFmtId="164" fontId="3" fillId="0" borderId="0" xfId="4" applyNumberFormat="1" applyFont="1" applyBorder="1"/>
    <xf numFmtId="0" fontId="51" fillId="0" borderId="0" xfId="7" applyFont="1"/>
    <xf numFmtId="0" fontId="27" fillId="0" borderId="0" xfId="7" applyFont="1"/>
    <xf numFmtId="0" fontId="3" fillId="0" borderId="10" xfId="7" applyBorder="1"/>
    <xf numFmtId="0" fontId="3" fillId="0" borderId="11" xfId="7" applyBorder="1"/>
    <xf numFmtId="0" fontId="22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3" fillId="0" borderId="14" xfId="7" applyFont="1" applyBorder="1" applyAlignment="1">
      <alignment horizontal="centerContinuous" vertical="center"/>
    </xf>
    <xf numFmtId="0" fontId="22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7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16" fillId="0" borderId="0" xfId="0" applyNumberFormat="1" applyFont="1" applyAlignment="1">
      <alignment horizontal="right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0" fillId="0" borderId="35" xfId="0" applyBorder="1"/>
    <xf numFmtId="37" fontId="16" fillId="0" borderId="36" xfId="0" applyNumberFormat="1" applyFont="1" applyBorder="1" applyAlignment="1">
      <alignment horizontal="right"/>
    </xf>
    <xf numFmtId="0" fontId="0" fillId="0" borderId="33" xfId="0" quotePrefix="1" applyBorder="1" applyAlignment="1">
      <alignment horizontal="left"/>
    </xf>
    <xf numFmtId="0" fontId="0" fillId="0" borderId="33" xfId="0" applyBorder="1" applyAlignment="1">
      <alignment horizontal="left" vertical="center"/>
    </xf>
    <xf numFmtId="0" fontId="17" fillId="0" borderId="33" xfId="0" applyFont="1" applyBorder="1"/>
    <xf numFmtId="0" fontId="0" fillId="0" borderId="33" xfId="0" applyBorder="1" applyAlignment="1">
      <alignment horizontal="left"/>
    </xf>
    <xf numFmtId="179" fontId="0" fillId="0" borderId="33" xfId="0" applyNumberFormat="1" applyBorder="1" applyAlignment="1">
      <alignment horizontal="left"/>
    </xf>
    <xf numFmtId="0" fontId="0" fillId="0" borderId="35" xfId="0" quotePrefix="1" applyBorder="1" applyAlignment="1">
      <alignment horizontal="left"/>
    </xf>
    <xf numFmtId="172" fontId="16" fillId="0" borderId="37" xfId="0" applyNumberFormat="1" applyFont="1" applyBorder="1" applyAlignment="1">
      <alignment horizontal="right"/>
    </xf>
    <xf numFmtId="0" fontId="16" fillId="0" borderId="34" xfId="0" applyFont="1" applyBorder="1" applyAlignment="1">
      <alignment horizontal="right"/>
    </xf>
    <xf numFmtId="179" fontId="0" fillId="0" borderId="36" xfId="0" quotePrefix="1" applyNumberFormat="1" applyBorder="1" applyAlignment="1">
      <alignment horizontal="left"/>
    </xf>
    <xf numFmtId="0" fontId="18" fillId="0" borderId="0" xfId="0" applyFont="1" applyAlignment="1">
      <alignment vertical="center"/>
    </xf>
    <xf numFmtId="0" fontId="15" fillId="0" borderId="33" xfId="0" applyFont="1" applyBorder="1"/>
    <xf numFmtId="0" fontId="15" fillId="0" borderId="33" xfId="0" applyFont="1" applyBorder="1" applyAlignment="1">
      <alignment horizontal="left" vertical="center"/>
    </xf>
    <xf numFmtId="174" fontId="16" fillId="0" borderId="36" xfId="0" applyNumberFormat="1" applyFont="1" applyBorder="1"/>
    <xf numFmtId="174" fontId="16" fillId="0" borderId="37" xfId="0" applyNumberFormat="1" applyFont="1" applyBorder="1"/>
    <xf numFmtId="177" fontId="15" fillId="0" borderId="0" xfId="0" quotePrefix="1" applyNumberFormat="1" applyFont="1" applyAlignment="1">
      <alignment horizontal="right"/>
    </xf>
    <xf numFmtId="0" fontId="15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8" xfId="0" quotePrefix="1" applyFont="1" applyBorder="1" applyAlignment="1">
      <alignment horizontal="right"/>
    </xf>
    <xf numFmtId="0" fontId="15" fillId="0" borderId="0" xfId="9" quotePrefix="1" applyFont="1" applyAlignment="1">
      <alignment horizontal="right"/>
    </xf>
    <xf numFmtId="0" fontId="62" fillId="0" borderId="0" xfId="7" applyFont="1"/>
    <xf numFmtId="0" fontId="3" fillId="0" borderId="12" xfId="7" applyBorder="1"/>
    <xf numFmtId="0" fontId="30" fillId="0" borderId="0" xfId="7" applyFont="1"/>
    <xf numFmtId="0" fontId="21" fillId="0" borderId="12" xfId="0" applyFont="1" applyBorder="1" applyAlignment="1">
      <alignment horizontal="centerContinuous"/>
    </xf>
    <xf numFmtId="0" fontId="31" fillId="0" borderId="12" xfId="0" applyFont="1" applyBorder="1" applyAlignment="1">
      <alignment horizontal="centerContinuous"/>
    </xf>
    <xf numFmtId="0" fontId="32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4" fillId="0" borderId="12" xfId="0" applyFont="1" applyBorder="1"/>
    <xf numFmtId="0" fontId="0" fillId="0" borderId="12" xfId="0" applyBorder="1"/>
    <xf numFmtId="0" fontId="61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7" fontId="61" fillId="3" borderId="0" xfId="0" applyNumberFormat="1" applyFont="1" applyFill="1" applyAlignment="1">
      <alignment vertical="center"/>
    </xf>
    <xf numFmtId="0" fontId="61" fillId="3" borderId="0" xfId="0" applyFont="1" applyFill="1" applyAlignment="1">
      <alignment vertical="center"/>
    </xf>
    <xf numFmtId="0" fontId="3" fillId="3" borderId="36" xfId="7" applyFill="1" applyBorder="1" applyAlignment="1">
      <alignment vertical="center"/>
    </xf>
    <xf numFmtId="177" fontId="61" fillId="3" borderId="36" xfId="0" applyNumberFormat="1" applyFont="1" applyFill="1" applyBorder="1" applyAlignment="1">
      <alignment vertical="center"/>
    </xf>
    <xf numFmtId="0" fontId="61" fillId="3" borderId="36" xfId="0" applyFont="1" applyFill="1" applyBorder="1" applyAlignment="1">
      <alignment vertical="center"/>
    </xf>
    <xf numFmtId="0" fontId="61" fillId="3" borderId="30" xfId="0" applyFont="1" applyFill="1" applyBorder="1" applyAlignment="1">
      <alignment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61" fillId="3" borderId="32" xfId="0" applyFont="1" applyFill="1" applyBorder="1" applyAlignment="1">
      <alignment vertical="center"/>
    </xf>
    <xf numFmtId="0" fontId="3" fillId="4" borderId="0" xfId="7" applyFill="1"/>
    <xf numFmtId="177" fontId="17" fillId="4" borderId="0" xfId="0" applyNumberFormat="1" applyFont="1" applyFill="1"/>
    <xf numFmtId="186" fontId="17" fillId="4" borderId="0" xfId="0" quotePrefix="1" applyNumberFormat="1" applyFont="1" applyFill="1" applyAlignment="1">
      <alignment horizontal="right"/>
    </xf>
    <xf numFmtId="0" fontId="17" fillId="4" borderId="0" xfId="0" applyFont="1" applyFill="1"/>
    <xf numFmtId="0" fontId="15" fillId="4" borderId="33" xfId="0" applyFont="1" applyFill="1" applyBorder="1" applyAlignment="1">
      <alignment vertical="center"/>
    </xf>
    <xf numFmtId="0" fontId="0" fillId="4" borderId="0" xfId="0" applyFill="1"/>
    <xf numFmtId="0" fontId="0" fillId="4" borderId="34" xfId="0" applyFill="1" applyBorder="1"/>
    <xf numFmtId="0" fontId="61" fillId="3" borderId="31" xfId="0" applyFont="1" applyFill="1" applyBorder="1" applyAlignment="1">
      <alignment vertical="center"/>
    </xf>
    <xf numFmtId="0" fontId="3" fillId="5" borderId="0" xfId="7" applyFill="1"/>
    <xf numFmtId="177" fontId="17" fillId="5" borderId="0" xfId="0" applyNumberFormat="1" applyFont="1" applyFill="1"/>
    <xf numFmtId="186" fontId="17" fillId="5" borderId="0" xfId="0" quotePrefix="1" applyNumberFormat="1" applyFont="1" applyFill="1" applyAlignment="1">
      <alignment horizontal="right"/>
    </xf>
    <xf numFmtId="0" fontId="17" fillId="5" borderId="0" xfId="0" applyFont="1" applyFill="1"/>
    <xf numFmtId="0" fontId="15" fillId="5" borderId="33" xfId="0" applyFont="1" applyFill="1" applyBorder="1" applyAlignment="1">
      <alignment vertical="center"/>
    </xf>
    <xf numFmtId="0" fontId="0" fillId="5" borderId="0" xfId="0" applyFill="1"/>
    <xf numFmtId="0" fontId="0" fillId="5" borderId="34" xfId="0" applyFill="1" applyBorder="1"/>
    <xf numFmtId="0" fontId="64" fillId="0" borderId="0" xfId="7" applyFont="1"/>
    <xf numFmtId="0" fontId="3" fillId="3" borderId="38" xfId="7" applyFill="1" applyBorder="1" applyAlignment="1">
      <alignment vertical="center"/>
    </xf>
    <xf numFmtId="0" fontId="3" fillId="3" borderId="39" xfId="7" applyFill="1" applyBorder="1" applyAlignment="1">
      <alignment vertical="center"/>
    </xf>
    <xf numFmtId="0" fontId="58" fillId="3" borderId="39" xfId="7" applyFont="1" applyFill="1" applyBorder="1" applyAlignment="1">
      <alignment vertical="center"/>
    </xf>
    <xf numFmtId="0" fontId="59" fillId="3" borderId="40" xfId="7" applyFont="1" applyFill="1" applyBorder="1" applyAlignment="1">
      <alignment horizontal="centerContinuous" vertical="center"/>
    </xf>
    <xf numFmtId="0" fontId="60" fillId="3" borderId="40" xfId="7" applyFont="1" applyFill="1" applyBorder="1" applyAlignment="1">
      <alignment horizontal="centerContinuous" vertical="center"/>
    </xf>
    <xf numFmtId="0" fontId="58" fillId="3" borderId="41" xfId="7" applyFont="1" applyFill="1" applyBorder="1" applyAlignment="1">
      <alignment vertical="center"/>
    </xf>
    <xf numFmtId="0" fontId="3" fillId="3" borderId="42" xfId="7" applyFill="1" applyBorder="1" applyAlignment="1">
      <alignment vertical="center"/>
    </xf>
    <xf numFmtId="0" fontId="58" fillId="3" borderId="43" xfId="7" applyFont="1" applyFill="1" applyBorder="1" applyAlignment="1">
      <alignment vertical="center"/>
    </xf>
    <xf numFmtId="0" fontId="3" fillId="4" borderId="42" xfId="7" applyFill="1" applyBorder="1"/>
    <xf numFmtId="0" fontId="17" fillId="4" borderId="43" xfId="0" applyFont="1" applyFill="1" applyBorder="1"/>
    <xf numFmtId="0" fontId="3" fillId="5" borderId="42" xfId="7" applyFill="1" applyBorder="1"/>
    <xf numFmtId="0" fontId="17" fillId="5" borderId="43" xfId="0" applyFont="1" applyFill="1" applyBorder="1"/>
    <xf numFmtId="0" fontId="3" fillId="0" borderId="42" xfId="7" applyBorder="1"/>
    <xf numFmtId="0" fontId="3" fillId="0" borderId="43" xfId="7" applyBorder="1"/>
    <xf numFmtId="164" fontId="3" fillId="0" borderId="43" xfId="4" applyNumberFormat="1" applyFont="1" applyBorder="1"/>
    <xf numFmtId="189" fontId="22" fillId="0" borderId="43" xfId="0" applyNumberFormat="1" applyFont="1" applyBorder="1"/>
    <xf numFmtId="0" fontId="3" fillId="0" borderId="44" xfId="7" applyBorder="1"/>
    <xf numFmtId="0" fontId="3" fillId="0" borderId="45" xfId="7" applyBorder="1"/>
    <xf numFmtId="0" fontId="3" fillId="0" borderId="45" xfId="7" applyBorder="1" applyAlignment="1">
      <alignment horizontal="left"/>
    </xf>
    <xf numFmtId="0" fontId="3" fillId="0" borderId="46" xfId="7" applyBorder="1"/>
    <xf numFmtId="0" fontId="3" fillId="3" borderId="41" xfId="7" applyFill="1" applyBorder="1" applyAlignment="1">
      <alignment vertical="center"/>
    </xf>
    <xf numFmtId="0" fontId="3" fillId="3" borderId="43" xfId="7" applyFill="1" applyBorder="1" applyAlignment="1">
      <alignment vertical="center"/>
    </xf>
    <xf numFmtId="0" fontId="3" fillId="3" borderId="47" xfId="7" applyFill="1" applyBorder="1" applyAlignment="1">
      <alignment vertical="center"/>
    </xf>
    <xf numFmtId="0" fontId="3" fillId="3" borderId="48" xfId="7" applyFill="1" applyBorder="1" applyAlignment="1">
      <alignment vertical="center"/>
    </xf>
    <xf numFmtId="0" fontId="8" fillId="2" borderId="0" xfId="13" applyFont="1" applyFill="1" applyProtection="1">
      <protection locked="0"/>
    </xf>
    <xf numFmtId="183" fontId="9" fillId="2" borderId="0" xfId="8" applyNumberFormat="1" applyFont="1" applyFill="1" applyAlignment="1" applyProtection="1">
      <alignment horizontal="left" wrapText="1"/>
      <protection locked="0"/>
    </xf>
    <xf numFmtId="0" fontId="10" fillId="2" borderId="0" xfId="13" applyFont="1" applyFill="1" applyProtection="1">
      <protection locked="0"/>
    </xf>
    <xf numFmtId="0" fontId="11" fillId="2" borderId="0" xfId="13" applyFont="1" applyFill="1"/>
    <xf numFmtId="0" fontId="16" fillId="0" borderId="50" xfId="0" applyFont="1" applyBorder="1" applyAlignment="1">
      <alignment horizontal="left"/>
    </xf>
    <xf numFmtId="3" fontId="16" fillId="0" borderId="34" xfId="0" applyNumberFormat="1" applyFont="1" applyBorder="1" applyAlignment="1">
      <alignment horizontal="right"/>
    </xf>
    <xf numFmtId="3" fontId="16" fillId="0" borderId="37" xfId="0" applyNumberFormat="1" applyFont="1" applyBorder="1" applyAlignment="1">
      <alignment horizontal="right"/>
    </xf>
    <xf numFmtId="170" fontId="15" fillId="0" borderId="13" xfId="0" applyNumberFormat="1" applyFont="1" applyBorder="1" applyAlignment="1">
      <alignment vertical="center"/>
    </xf>
    <xf numFmtId="170" fontId="15" fillId="0" borderId="14" xfId="0" applyNumberFormat="1" applyFont="1" applyBorder="1" applyAlignment="1">
      <alignment vertical="center"/>
    </xf>
    <xf numFmtId="170" fontId="15" fillId="0" borderId="15" xfId="0" applyNumberFormat="1" applyFont="1" applyBorder="1" applyAlignment="1">
      <alignment vertical="center"/>
    </xf>
    <xf numFmtId="0" fontId="30" fillId="0" borderId="0" xfId="7" quotePrefix="1" applyFont="1" applyAlignment="1">
      <alignment horizontal="right" vertical="center"/>
    </xf>
    <xf numFmtId="182" fontId="52" fillId="0" borderId="9" xfId="0" applyNumberFormat="1" applyFont="1" applyBorder="1" applyAlignment="1">
      <alignment vertical="center"/>
    </xf>
    <xf numFmtId="182" fontId="52" fillId="0" borderId="11" xfId="0" applyNumberFormat="1" applyFont="1" applyBorder="1" applyAlignment="1">
      <alignment vertical="center"/>
    </xf>
    <xf numFmtId="170" fontId="54" fillId="0" borderId="15" xfId="0" applyNumberFormat="1" applyFont="1" applyBorder="1"/>
    <xf numFmtId="170" fontId="54" fillId="0" borderId="0" xfId="0" applyNumberFormat="1" applyFont="1"/>
    <xf numFmtId="37" fontId="49" fillId="0" borderId="0" xfId="0" applyNumberFormat="1" applyFont="1"/>
    <xf numFmtId="37" fontId="29" fillId="0" borderId="0" xfId="0" applyNumberFormat="1" applyFont="1"/>
    <xf numFmtId="170" fontId="35" fillId="0" borderId="0" xfId="0" applyNumberFormat="1" applyFont="1"/>
    <xf numFmtId="37" fontId="26" fillId="0" borderId="8" xfId="0" applyNumberFormat="1" applyFont="1" applyBorder="1"/>
    <xf numFmtId="37" fontId="16" fillId="0" borderId="8" xfId="0" applyNumberFormat="1" applyFont="1" applyBorder="1"/>
    <xf numFmtId="37" fontId="23" fillId="0" borderId="0" xfId="0" applyNumberFormat="1" applyFont="1"/>
    <xf numFmtId="37" fontId="42" fillId="0" borderId="1" xfId="0" applyNumberFormat="1" applyFont="1" applyBorder="1"/>
    <xf numFmtId="37" fontId="23" fillId="0" borderId="1" xfId="0" applyNumberFormat="1" applyFont="1" applyBorder="1"/>
    <xf numFmtId="37" fontId="29" fillId="0" borderId="1" xfId="0" applyNumberFormat="1" applyFont="1" applyBorder="1"/>
    <xf numFmtId="14" fontId="0" fillId="0" borderId="0" xfId="0" applyNumberFormat="1"/>
    <xf numFmtId="182" fontId="0" fillId="0" borderId="25" xfId="0" applyNumberFormat="1" applyBorder="1"/>
    <xf numFmtId="0" fontId="63" fillId="2" borderId="0" xfId="13" applyFont="1" applyFill="1" applyProtection="1">
      <protection locked="0"/>
    </xf>
    <xf numFmtId="0" fontId="0" fillId="2" borderId="0" xfId="0" applyFill="1"/>
    <xf numFmtId="183" fontId="9" fillId="2" borderId="0" xfId="8" applyNumberFormat="1" applyFont="1" applyFill="1" applyAlignment="1">
      <alignment horizontal="left" wrapText="1"/>
    </xf>
    <xf numFmtId="189" fontId="51" fillId="0" borderId="0" xfId="0" applyNumberFormat="1" applyFont="1"/>
    <xf numFmtId="0" fontId="65" fillId="0" borderId="0" xfId="7" applyFont="1"/>
    <xf numFmtId="189" fontId="66" fillId="0" borderId="0" xfId="0" applyNumberFormat="1" applyFont="1"/>
    <xf numFmtId="0" fontId="65" fillId="0" borderId="49" xfId="7" applyFont="1" applyBorder="1"/>
    <xf numFmtId="0" fontId="67" fillId="0" borderId="0" xfId="7" applyFont="1"/>
    <xf numFmtId="10" fontId="53" fillId="0" borderId="0" xfId="4" applyNumberFormat="1" applyFont="1" applyFill="1" applyBorder="1" applyAlignment="1" applyProtection="1">
      <alignment horizontal="right"/>
    </xf>
    <xf numFmtId="0" fontId="65" fillId="0" borderId="0" xfId="0" applyFont="1"/>
    <xf numFmtId="0" fontId="52" fillId="0" borderId="0" xfId="0" applyFont="1"/>
    <xf numFmtId="190" fontId="16" fillId="0" borderId="0" xfId="0" applyNumberFormat="1" applyFont="1"/>
    <xf numFmtId="190" fontId="16" fillId="0" borderId="34" xfId="0" applyNumberFormat="1" applyFont="1" applyBorder="1"/>
    <xf numFmtId="190" fontId="0" fillId="0" borderId="0" xfId="0" applyNumberFormat="1"/>
    <xf numFmtId="177" fontId="15" fillId="0" borderId="0" xfId="0" applyNumberFormat="1" applyFont="1"/>
    <xf numFmtId="177" fontId="0" fillId="0" borderId="25" xfId="0" applyNumberFormat="1" applyBorder="1"/>
    <xf numFmtId="191" fontId="3" fillId="0" borderId="0" xfId="4" applyNumberFormat="1" applyFont="1" applyFill="1" applyBorder="1"/>
    <xf numFmtId="0" fontId="61" fillId="3" borderId="0" xfId="7" quotePrefix="1" applyFont="1" applyFill="1" applyAlignment="1">
      <alignment vertical="center"/>
    </xf>
    <xf numFmtId="191" fontId="65" fillId="0" borderId="0" xfId="4" applyNumberFormat="1" applyFont="1" applyFill="1" applyBorder="1"/>
    <xf numFmtId="0" fontId="15" fillId="0" borderId="5" xfId="0" applyFont="1" applyBorder="1"/>
    <xf numFmtId="0" fontId="72" fillId="0" borderId="0" xfId="0" applyFont="1" applyAlignment="1">
      <alignment horizontal="centerContinuous"/>
    </xf>
    <xf numFmtId="0" fontId="73" fillId="0" borderId="0" xfId="0" applyFont="1" applyAlignment="1">
      <alignment horizontal="centerContinuous"/>
    </xf>
    <xf numFmtId="0" fontId="74" fillId="0" borderId="0" xfId="0" applyFont="1" applyAlignment="1">
      <alignment horizontal="centerContinuous"/>
    </xf>
    <xf numFmtId="0" fontId="0" fillId="0" borderId="31" xfId="0" applyBorder="1"/>
    <xf numFmtId="0" fontId="30" fillId="0" borderId="0" xfId="0" applyFont="1" applyAlignment="1">
      <alignment horizontal="right"/>
    </xf>
    <xf numFmtId="192" fontId="23" fillId="0" borderId="0" xfId="4" applyNumberFormat="1" applyFont="1" applyFill="1" applyBorder="1" applyProtection="1">
      <protection locked="0"/>
    </xf>
    <xf numFmtId="192" fontId="15" fillId="0" borderId="0" xfId="4" applyNumberFormat="1" applyFont="1" applyFill="1" applyBorder="1" applyAlignment="1" applyProtection="1">
      <alignment horizontal="right"/>
    </xf>
    <xf numFmtId="192" fontId="68" fillId="0" borderId="0" xfId="4" applyNumberFormat="1" applyFont="1" applyBorder="1" applyAlignment="1" applyProtection="1">
      <alignment horizontal="right"/>
    </xf>
    <xf numFmtId="192" fontId="69" fillId="0" borderId="0" xfId="0" applyNumberFormat="1" applyFont="1"/>
    <xf numFmtId="192" fontId="16" fillId="0" borderId="0" xfId="0" applyNumberFormat="1" applyFont="1"/>
    <xf numFmtId="192" fontId="0" fillId="0" borderId="0" xfId="0" applyNumberFormat="1"/>
    <xf numFmtId="192" fontId="16" fillId="0" borderId="0" xfId="4" applyNumberFormat="1" applyFont="1" applyFill="1" applyBorder="1" applyProtection="1">
      <protection locked="0"/>
    </xf>
    <xf numFmtId="192" fontId="3" fillId="0" borderId="0" xfId="4" applyNumberFormat="1" applyFont="1" applyFill="1" applyBorder="1" applyAlignment="1" applyProtection="1">
      <alignment horizontal="right"/>
    </xf>
    <xf numFmtId="192" fontId="70" fillId="0" borderId="8" xfId="4" applyNumberFormat="1" applyFont="1" applyBorder="1" applyAlignment="1" applyProtection="1">
      <alignment horizontal="right"/>
    </xf>
    <xf numFmtId="192" fontId="15" fillId="0" borderId="8" xfId="4" applyNumberFormat="1" applyFont="1" applyBorder="1" applyAlignment="1" applyProtection="1">
      <alignment horizontal="right"/>
    </xf>
    <xf numFmtId="192" fontId="15" fillId="0" borderId="0" xfId="4" applyNumberFormat="1" applyFont="1" applyBorder="1" applyAlignment="1" applyProtection="1">
      <alignment horizontal="right"/>
    </xf>
    <xf numFmtId="192" fontId="15" fillId="0" borderId="8" xfId="4" applyNumberFormat="1" applyFont="1" applyFill="1" applyBorder="1" applyProtection="1"/>
    <xf numFmtId="192" fontId="15" fillId="0" borderId="8" xfId="4" applyNumberFormat="1" applyFont="1" applyFill="1" applyBorder="1" applyAlignment="1" applyProtection="1">
      <alignment horizontal="right"/>
    </xf>
    <xf numFmtId="192" fontId="0" fillId="0" borderId="0" xfId="4" applyNumberFormat="1" applyFont="1" applyBorder="1" applyProtection="1"/>
    <xf numFmtId="192" fontId="0" fillId="0" borderId="0" xfId="4" applyNumberFormat="1" applyFont="1" applyFill="1" applyBorder="1" applyAlignment="1" applyProtection="1">
      <alignment horizontal="right"/>
    </xf>
    <xf numFmtId="192" fontId="16" fillId="0" borderId="1" xfId="4" applyNumberFormat="1" applyFont="1" applyFill="1" applyBorder="1" applyProtection="1">
      <protection locked="0"/>
    </xf>
    <xf numFmtId="192" fontId="0" fillId="0" borderId="1" xfId="4" applyNumberFormat="1" applyFont="1" applyFill="1" applyBorder="1" applyAlignment="1" applyProtection="1">
      <alignment horizontal="right"/>
    </xf>
    <xf numFmtId="192" fontId="15" fillId="0" borderId="0" xfId="4" applyNumberFormat="1" applyFont="1" applyBorder="1" applyProtection="1"/>
    <xf numFmtId="192" fontId="16" fillId="0" borderId="0" xfId="4" applyNumberFormat="1" applyFont="1" applyFill="1" applyBorder="1" applyProtection="1"/>
    <xf numFmtId="192" fontId="15" fillId="0" borderId="8" xfId="4" applyNumberFormat="1" applyFont="1" applyBorder="1" applyProtection="1"/>
    <xf numFmtId="192" fontId="16" fillId="0" borderId="0" xfId="4" applyNumberFormat="1" applyFont="1" applyBorder="1" applyProtection="1"/>
    <xf numFmtId="192" fontId="16" fillId="0" borderId="1" xfId="4" applyNumberFormat="1" applyFont="1" applyBorder="1" applyProtection="1"/>
    <xf numFmtId="192" fontId="15" fillId="0" borderId="0" xfId="0" applyNumberFormat="1" applyFont="1" applyAlignment="1">
      <alignment horizontal="right"/>
    </xf>
    <xf numFmtId="192" fontId="0" fillId="0" borderId="0" xfId="0" applyNumberFormat="1" applyAlignment="1">
      <alignment horizontal="right"/>
    </xf>
    <xf numFmtId="192" fontId="34" fillId="0" borderId="0" xfId="4" applyNumberFormat="1" applyFont="1" applyFill="1" applyProtection="1">
      <protection locked="0"/>
    </xf>
    <xf numFmtId="192" fontId="0" fillId="0" borderId="0" xfId="4" applyNumberFormat="1" applyFont="1" applyFill="1" applyProtection="1"/>
    <xf numFmtId="192" fontId="34" fillId="0" borderId="1" xfId="4" applyNumberFormat="1" applyFont="1" applyFill="1" applyBorder="1" applyAlignment="1" applyProtection="1">
      <alignment horizontal="right"/>
      <protection locked="0"/>
    </xf>
    <xf numFmtId="192" fontId="16" fillId="0" borderId="1" xfId="4" applyNumberFormat="1" applyFont="1" applyFill="1" applyBorder="1" applyAlignment="1" applyProtection="1">
      <alignment horizontal="right"/>
      <protection locked="0"/>
    </xf>
    <xf numFmtId="192" fontId="15" fillId="0" borderId="0" xfId="4" applyNumberFormat="1" applyFont="1" applyProtection="1"/>
    <xf numFmtId="192" fontId="15" fillId="0" borderId="0" xfId="4" applyNumberFormat="1" applyFont="1" applyFill="1" applyAlignment="1" applyProtection="1">
      <alignment horizontal="right"/>
    </xf>
    <xf numFmtId="192" fontId="0" fillId="0" borderId="0" xfId="4" applyNumberFormat="1" applyFont="1" applyProtection="1"/>
    <xf numFmtId="192" fontId="16" fillId="0" borderId="0" xfId="4" applyNumberFormat="1" applyFont="1" applyFill="1" applyProtection="1"/>
    <xf numFmtId="192" fontId="16" fillId="0" borderId="0" xfId="4" applyNumberFormat="1" applyFont="1" applyFill="1" applyProtection="1">
      <protection locked="0"/>
    </xf>
    <xf numFmtId="192" fontId="52" fillId="0" borderId="0" xfId="4" applyNumberFormat="1" applyFont="1" applyFill="1" applyBorder="1" applyProtection="1"/>
    <xf numFmtId="192" fontId="52" fillId="0" borderId="1" xfId="4" applyNumberFormat="1" applyFont="1" applyFill="1" applyBorder="1" applyAlignment="1" applyProtection="1">
      <alignment horizontal="right"/>
    </xf>
    <xf numFmtId="192" fontId="38" fillId="0" borderId="0" xfId="4" applyNumberFormat="1" applyFont="1" applyProtection="1"/>
    <xf numFmtId="192" fontId="0" fillId="0" borderId="0" xfId="4" applyNumberFormat="1" applyFont="1" applyFill="1" applyAlignment="1" applyProtection="1">
      <alignment horizontal="right"/>
    </xf>
    <xf numFmtId="192" fontId="0" fillId="0" borderId="8" xfId="4" applyNumberFormat="1" applyFont="1" applyBorder="1" applyProtection="1"/>
    <xf numFmtId="192" fontId="0" fillId="0" borderId="8" xfId="4" applyNumberFormat="1" applyFont="1" applyFill="1" applyBorder="1" applyAlignment="1" applyProtection="1">
      <alignment horizontal="right"/>
    </xf>
    <xf numFmtId="192" fontId="0" fillId="0" borderId="9" xfId="4" applyNumberFormat="1" applyFont="1" applyFill="1" applyBorder="1" applyAlignment="1" applyProtection="1">
      <alignment horizontal="right"/>
    </xf>
    <xf numFmtId="192" fontId="0" fillId="0" borderId="1" xfId="4" applyNumberFormat="1" applyFont="1" applyBorder="1" applyProtection="1"/>
    <xf numFmtId="192" fontId="0" fillId="0" borderId="11" xfId="4" applyNumberFormat="1" applyFont="1" applyFill="1" applyBorder="1" applyAlignment="1" applyProtection="1">
      <alignment horizontal="right"/>
    </xf>
    <xf numFmtId="192" fontId="0" fillId="0" borderId="0" xfId="4" applyNumberFormat="1" applyFont="1" applyFill="1" applyBorder="1" applyProtection="1"/>
    <xf numFmtId="192" fontId="0" fillId="0" borderId="1" xfId="4" applyNumberFormat="1" applyFont="1" applyFill="1" applyBorder="1" applyProtection="1"/>
    <xf numFmtId="192" fontId="0" fillId="0" borderId="0" xfId="4" applyNumberFormat="1" applyFont="1" applyFill="1" applyProtection="1">
      <protection locked="0"/>
    </xf>
    <xf numFmtId="192" fontId="34" fillId="0" borderId="0" xfId="4" applyNumberFormat="1" applyFont="1" applyFill="1" applyBorder="1" applyProtection="1">
      <protection locked="0"/>
    </xf>
    <xf numFmtId="192" fontId="15" fillId="0" borderId="0" xfId="4" applyNumberFormat="1" applyFont="1" applyFill="1" applyBorder="1" applyProtection="1"/>
    <xf numFmtId="192" fontId="15" fillId="0" borderId="0" xfId="4" applyNumberFormat="1" applyFont="1" applyFill="1" applyProtection="1"/>
    <xf numFmtId="190" fontId="15" fillId="0" borderId="26" xfId="0" applyNumberFormat="1" applyFont="1" applyBorder="1" applyAlignment="1">
      <alignment vertical="center"/>
    </xf>
    <xf numFmtId="190" fontId="29" fillId="0" borderId="1" xfId="0" applyNumberFormat="1" applyFont="1" applyBorder="1"/>
    <xf numFmtId="190" fontId="29" fillId="0" borderId="11" xfId="0" applyNumberFormat="1" applyFont="1" applyBorder="1"/>
    <xf numFmtId="175" fontId="0" fillId="0" borderId="0" xfId="4" applyNumberFormat="1" applyFont="1" applyFill="1" applyProtection="1"/>
    <xf numFmtId="175" fontId="0" fillId="0" borderId="0" xfId="0" applyNumberFormat="1"/>
    <xf numFmtId="175" fontId="52" fillId="0" borderId="0" xfId="4" applyNumberFormat="1" applyFont="1" applyFill="1" applyProtection="1"/>
    <xf numFmtId="175" fontId="0" fillId="0" borderId="0" xfId="4" applyNumberFormat="1" applyFont="1" applyFill="1" applyBorder="1" applyProtection="1"/>
    <xf numFmtId="175" fontId="0" fillId="0" borderId="1" xfId="4" applyNumberFormat="1" applyFont="1" applyFill="1" applyBorder="1" applyProtection="1"/>
    <xf numFmtId="175" fontId="15" fillId="0" borderId="8" xfId="0" applyNumberFormat="1" applyFont="1" applyBorder="1"/>
    <xf numFmtId="175" fontId="15" fillId="0" borderId="0" xfId="0" applyNumberFormat="1" applyFont="1"/>
    <xf numFmtId="175" fontId="15" fillId="0" borderId="26" xfId="0" applyNumberFormat="1" applyFont="1" applyBorder="1"/>
    <xf numFmtId="192" fontId="0" fillId="0" borderId="1" xfId="0" applyNumberFormat="1" applyBorder="1"/>
    <xf numFmtId="192" fontId="52" fillId="0" borderId="1" xfId="0" applyNumberFormat="1" applyFont="1" applyBorder="1"/>
    <xf numFmtId="192" fontId="15" fillId="0" borderId="14" xfId="0" applyNumberFormat="1" applyFont="1" applyBorder="1"/>
    <xf numFmtId="192" fontId="52" fillId="0" borderId="0" xfId="0" applyNumberFormat="1" applyFont="1"/>
    <xf numFmtId="190" fontId="15" fillId="0" borderId="0" xfId="0" applyNumberFormat="1" applyFont="1"/>
    <xf numFmtId="190" fontId="0" fillId="0" borderId="1" xfId="0" applyNumberFormat="1" applyBorder="1"/>
    <xf numFmtId="10" fontId="52" fillId="0" borderId="1" xfId="0" applyNumberFormat="1" applyFont="1" applyBorder="1"/>
    <xf numFmtId="10" fontId="52" fillId="0" borderId="0" xfId="0" applyNumberFormat="1" applyFont="1"/>
    <xf numFmtId="10" fontId="16" fillId="0" borderId="34" xfId="0" applyNumberFormat="1" applyFont="1" applyBorder="1" applyAlignment="1">
      <alignment horizontal="right"/>
    </xf>
    <xf numFmtId="10" fontId="16" fillId="0" borderId="34" xfId="0" quotePrefix="1" applyNumberFormat="1" applyFont="1" applyBorder="1" applyAlignment="1">
      <alignment horizontal="right"/>
    </xf>
    <xf numFmtId="190" fontId="16" fillId="0" borderId="51" xfId="0" applyNumberFormat="1" applyFont="1" applyBorder="1" applyAlignment="1">
      <alignment horizontal="right"/>
    </xf>
    <xf numFmtId="10" fontId="16" fillId="0" borderId="53" xfId="0" quotePrefix="1" applyNumberFormat="1" applyFont="1" applyBorder="1" applyAlignment="1">
      <alignment horizontal="right"/>
    </xf>
    <xf numFmtId="177" fontId="1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93" fontId="0" fillId="0" borderId="0" xfId="0" applyNumberFormat="1" applyAlignment="1">
      <alignment horizontal="right"/>
    </xf>
    <xf numFmtId="10" fontId="3" fillId="0" borderId="0" xfId="4" applyNumberFormat="1" applyFont="1" applyBorder="1" applyProtection="1"/>
    <xf numFmtId="10" fontId="3" fillId="0" borderId="6" xfId="4" applyNumberFormat="1" applyFont="1" applyBorder="1" applyProtection="1"/>
    <xf numFmtId="10" fontId="0" fillId="0" borderId="6" xfId="0" applyNumberFormat="1" applyBorder="1"/>
    <xf numFmtId="10" fontId="0" fillId="0" borderId="1" xfId="0" applyNumberFormat="1" applyBorder="1"/>
    <xf numFmtId="10" fontId="0" fillId="0" borderId="11" xfId="0" applyNumberFormat="1" applyBorder="1"/>
    <xf numFmtId="192" fontId="34" fillId="0" borderId="0" xfId="4" applyNumberFormat="1" applyFont="1" applyBorder="1" applyProtection="1"/>
    <xf numFmtId="192" fontId="3" fillId="0" borderId="0" xfId="4" applyNumberFormat="1" applyFont="1" applyBorder="1" applyProtection="1"/>
    <xf numFmtId="192" fontId="3" fillId="0" borderId="6" xfId="4" applyNumberFormat="1" applyFont="1" applyFill="1" applyBorder="1" applyAlignment="1" applyProtection="1">
      <alignment horizontal="right"/>
    </xf>
    <xf numFmtId="190" fontId="15" fillId="0" borderId="26" xfId="0" applyNumberFormat="1" applyFont="1" applyBorder="1"/>
    <xf numFmtId="190" fontId="15" fillId="0" borderId="26" xfId="0" applyNumberFormat="1" applyFont="1" applyBorder="1" applyAlignment="1">
      <alignment horizontal="right"/>
    </xf>
    <xf numFmtId="190" fontId="15" fillId="0" borderId="26" xfId="4" applyNumberFormat="1" applyFont="1" applyBorder="1" applyProtection="1"/>
    <xf numFmtId="190" fontId="15" fillId="0" borderId="26" xfId="4" applyNumberFormat="1" applyFont="1" applyFill="1" applyBorder="1" applyProtection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0" xfId="0" applyNumberFormat="1"/>
    <xf numFmtId="2" fontId="45" fillId="0" borderId="0" xfId="0" applyNumberFormat="1" applyFont="1"/>
    <xf numFmtId="2" fontId="29" fillId="0" borderId="0" xfId="0" applyNumberFormat="1" applyFont="1"/>
    <xf numFmtId="2" fontId="16" fillId="0" borderId="0" xfId="0" applyNumberFormat="1" applyFont="1"/>
    <xf numFmtId="2" fontId="52" fillId="0" borderId="1" xfId="4" applyNumberFormat="1" applyFont="1" applyFill="1" applyBorder="1" applyProtection="1"/>
    <xf numFmtId="2" fontId="16" fillId="0" borderId="8" xfId="0" applyNumberFormat="1" applyFont="1" applyBorder="1"/>
    <xf numFmtId="2" fontId="16" fillId="0" borderId="9" xfId="0" applyNumberFormat="1" applyFont="1" applyBorder="1"/>
    <xf numFmtId="2" fontId="45" fillId="0" borderId="6" xfId="0" applyNumberFormat="1" applyFont="1" applyBorder="1"/>
    <xf numFmtId="2" fontId="45" fillId="0" borderId="1" xfId="0" applyNumberFormat="1" applyFont="1" applyBorder="1"/>
    <xf numFmtId="2" fontId="45" fillId="0" borderId="11" xfId="0" applyNumberFormat="1" applyFont="1" applyBorder="1"/>
    <xf numFmtId="2" fontId="16" fillId="0" borderId="34" xfId="0" applyNumberFormat="1" applyFont="1" applyBorder="1"/>
    <xf numFmtId="2" fontId="0" fillId="0" borderId="0" xfId="0" quotePrefix="1" applyNumberFormat="1"/>
    <xf numFmtId="2" fontId="0" fillId="0" borderId="34" xfId="0" applyNumberFormat="1" applyBorder="1"/>
    <xf numFmtId="194" fontId="15" fillId="0" borderId="26" xfId="0" applyNumberFormat="1" applyFont="1" applyBorder="1"/>
    <xf numFmtId="0" fontId="16" fillId="0" borderId="0" xfId="0" applyFont="1" applyAlignment="1">
      <alignment horizontal="left"/>
    </xf>
    <xf numFmtId="2" fontId="16" fillId="0" borderId="52" xfId="0" applyNumberFormat="1" applyFont="1" applyBorder="1" applyAlignment="1">
      <alignment horizontal="right"/>
    </xf>
    <xf numFmtId="10" fontId="34" fillId="0" borderId="0" xfId="4" applyNumberFormat="1" applyFont="1" applyFill="1" applyProtection="1">
      <protection locked="0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175" fontId="16" fillId="0" borderId="0" xfId="0" applyNumberFormat="1" applyFont="1"/>
    <xf numFmtId="175" fontId="16" fillId="0" borderId="34" xfId="0" applyNumberFormat="1" applyFont="1" applyBorder="1"/>
    <xf numFmtId="10" fontId="71" fillId="0" borderId="0" xfId="4" applyNumberFormat="1" applyFont="1" applyFill="1" applyBorder="1" applyProtection="1">
      <protection locked="0"/>
    </xf>
    <xf numFmtId="10" fontId="71" fillId="0" borderId="0" xfId="4" applyNumberFormat="1" applyFont="1" applyFill="1" applyBorder="1" applyProtection="1"/>
    <xf numFmtId="192" fontId="15" fillId="0" borderId="0" xfId="0" applyNumberFormat="1" applyFont="1"/>
    <xf numFmtId="0" fontId="0" fillId="0" borderId="33" xfId="0" applyBorder="1" applyAlignment="1">
      <alignment horizontal="left" wrapText="1"/>
    </xf>
    <xf numFmtId="0" fontId="0" fillId="0" borderId="0" xfId="0" applyAlignment="1">
      <alignment horizontal="left" wrapText="1"/>
    </xf>
    <xf numFmtId="39" fontId="16" fillId="0" borderId="52" xfId="0" applyNumberFormat="1" applyFont="1" applyBorder="1" applyAlignment="1">
      <alignment horizontal="right" vertical="center"/>
    </xf>
  </cellXfs>
  <cellStyles count="14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009B73"/>
      <color rgb="FF002F6C"/>
      <color rgb="FF008ED6"/>
      <color rgb="FF5B77CC"/>
      <color rgb="FFFFFF99"/>
      <color rgb="FF009966"/>
      <color rgb="FF6B72A9"/>
      <color rgb="FF6B729F"/>
      <color rgb="FF4586BB"/>
      <color rgb="FF827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31" fmlaLink="$D$6" fmlaRange="$C$14:$C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1174750</xdr:colOff>
          <xdr:row>4</xdr:row>
          <xdr:rowOff>50800</xdr:rowOff>
        </xdr:from>
        <xdr:to>
          <xdr:col>4</xdr:col>
          <xdr:colOff>69850</xdr:colOff>
          <xdr:row>6</xdr:row>
          <xdr:rowOff>44450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F473-1E0F-4968-AD6B-851D93C7498F}">
  <dimension ref="B4:M14"/>
  <sheetViews>
    <sheetView tabSelected="1" workbookViewId="0">
      <selection activeCell="G15" sqref="G15"/>
    </sheetView>
  </sheetViews>
  <sheetFormatPr defaultRowHeight="12.5"/>
  <cols>
    <col min="1" max="1" width="8.7265625" style="341"/>
    <col min="2" max="2" width="23.54296875" style="341" customWidth="1"/>
    <col min="3" max="16384" width="8.7265625" style="341"/>
  </cols>
  <sheetData>
    <row r="4" spans="2:13" ht="35">
      <c r="B4" s="340" t="s">
        <v>135</v>
      </c>
      <c r="C4" s="314"/>
      <c r="D4" s="314"/>
      <c r="E4" s="314"/>
      <c r="F4" s="314"/>
    </row>
    <row r="5" spans="2:13" ht="35">
      <c r="B5" s="340"/>
      <c r="C5" s="314"/>
      <c r="D5" s="314"/>
      <c r="E5" s="314"/>
      <c r="F5" s="314"/>
    </row>
    <row r="6" spans="2:13" ht="17.5">
      <c r="B6" s="342">
        <f ca="1">TODAY()</f>
        <v>45724</v>
      </c>
      <c r="C6" s="315"/>
      <c r="D6" s="315"/>
      <c r="E6" s="314"/>
      <c r="F6" s="314"/>
    </row>
    <row r="7" spans="2:13" ht="15.5">
      <c r="B7" s="314"/>
      <c r="C7" s="314"/>
      <c r="D7" s="314"/>
      <c r="E7" s="314"/>
      <c r="F7" s="314"/>
    </row>
    <row r="8" spans="2:13" ht="17.5">
      <c r="B8" s="317" t="s">
        <v>134</v>
      </c>
      <c r="C8" s="314"/>
      <c r="D8" s="314"/>
      <c r="E8" s="314"/>
      <c r="F8" s="314"/>
    </row>
    <row r="9" spans="2:13" ht="15.5">
      <c r="B9" s="314"/>
      <c r="C9" s="314"/>
      <c r="D9" s="314"/>
      <c r="E9" s="314"/>
      <c r="F9" s="314"/>
    </row>
    <row r="10" spans="2:13" ht="15.5">
      <c r="B10" s="314"/>
      <c r="C10" s="314"/>
      <c r="D10" s="314"/>
      <c r="E10" s="314"/>
      <c r="F10" s="314"/>
      <c r="K10" s="314"/>
      <c r="L10" s="314"/>
      <c r="M10" s="314"/>
    </row>
    <row r="11" spans="2:13" ht="15.5">
      <c r="B11" s="314"/>
      <c r="C11" s="314"/>
      <c r="D11" s="314"/>
      <c r="E11" s="314"/>
      <c r="F11" s="314"/>
      <c r="K11" s="314"/>
      <c r="L11" s="314"/>
      <c r="M11" s="314"/>
    </row>
    <row r="12" spans="2:13" ht="15.5">
      <c r="B12" s="314"/>
      <c r="C12" s="314"/>
      <c r="D12" s="314"/>
      <c r="E12" s="314"/>
      <c r="F12" s="314"/>
      <c r="K12" s="314"/>
      <c r="L12" s="314"/>
      <c r="M12" s="314"/>
    </row>
    <row r="13" spans="2:13" ht="15.5">
      <c r="B13" s="314"/>
      <c r="C13" s="314"/>
      <c r="D13" s="314"/>
      <c r="E13" s="314"/>
      <c r="F13" s="314"/>
      <c r="K13" s="314"/>
      <c r="L13" s="314"/>
      <c r="M13" s="314"/>
    </row>
    <row r="14" spans="2:13" ht="15.5">
      <c r="C14" s="314"/>
      <c r="D14" s="316"/>
      <c r="E14" s="314"/>
      <c r="F14" s="3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zoomScaleNormal="100" workbookViewId="0">
      <selection activeCell="V43" sqref="V43"/>
    </sheetView>
  </sheetViews>
  <sheetFormatPr defaultColWidth="10.7265625" defaultRowHeight="12.5"/>
  <cols>
    <col min="1" max="1" width="2.54296875" style="192" customWidth="1"/>
    <col min="2" max="2" width="4.7265625" style="192" customWidth="1"/>
    <col min="3" max="4" width="1.7265625" style="192" customWidth="1"/>
    <col min="5" max="5" width="20.7265625" style="192" customWidth="1"/>
    <col min="6" max="6" width="9.26953125" style="192" customWidth="1"/>
    <col min="7" max="7" width="1.81640625" style="192" customWidth="1"/>
    <col min="8" max="15" width="9.26953125" style="192" customWidth="1"/>
    <col min="16" max="16" width="1.7265625" style="192" customWidth="1"/>
    <col min="17" max="17" width="4.7265625" style="192" customWidth="1"/>
    <col min="18" max="19" width="2.7265625" style="192" customWidth="1"/>
    <col min="20" max="21" width="1.7265625" style="192" customWidth="1"/>
    <col min="22" max="22" width="20.7265625" style="192" customWidth="1"/>
    <col min="23" max="31" width="9.26953125" style="192" customWidth="1"/>
    <col min="32" max="32" width="1.7265625" style="192" customWidth="1"/>
    <col min="33" max="16384" width="10.7265625" style="192"/>
  </cols>
  <sheetData>
    <row r="1" spans="2:32" ht="22.75" customHeight="1">
      <c r="B1" s="189" t="str">
        <f>Cover!B4</f>
        <v>Asian Paints</v>
      </c>
      <c r="C1" s="190"/>
      <c r="D1" s="190"/>
      <c r="E1" s="190"/>
      <c r="F1" s="190"/>
      <c r="G1" s="190"/>
      <c r="H1" s="191"/>
      <c r="I1" s="191"/>
      <c r="J1" s="191"/>
      <c r="K1" s="191"/>
      <c r="L1" s="191"/>
      <c r="M1" s="191"/>
      <c r="N1" s="191"/>
      <c r="O1" s="191"/>
      <c r="P1" s="191"/>
      <c r="Q1" s="191"/>
      <c r="T1" s="190"/>
      <c r="U1" s="190"/>
      <c r="V1" s="190"/>
      <c r="W1" s="190"/>
      <c r="X1" s="191"/>
      <c r="Y1" s="191"/>
      <c r="Z1" s="191"/>
      <c r="AA1" s="191"/>
      <c r="AB1" s="191"/>
      <c r="AC1" s="191"/>
      <c r="AD1" s="191"/>
      <c r="AE1" s="191"/>
    </row>
    <row r="2" spans="2:32" ht="18">
      <c r="B2" s="193" t="s">
        <v>123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</row>
    <row r="3" spans="2:32" ht="3" customHeight="1" thickBot="1"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</row>
    <row r="4" spans="2:32" ht="10" customHeight="1"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</row>
    <row r="5" spans="2:32" ht="15" customHeight="1">
      <c r="C5" s="195" t="s">
        <v>103</v>
      </c>
      <c r="D5" s="196"/>
      <c r="E5" s="196"/>
      <c r="F5" s="196"/>
      <c r="G5" s="196"/>
      <c r="H5" s="194"/>
      <c r="I5" s="194"/>
      <c r="J5" s="194"/>
      <c r="K5" s="194"/>
      <c r="L5" s="194"/>
      <c r="M5" s="194"/>
      <c r="N5" s="194"/>
      <c r="O5" s="194"/>
      <c r="P5" s="194"/>
      <c r="T5" s="195" t="str">
        <f>"SUMMMARY VALUES - "&amp;UPPER(CHOOSE(Scenarios!$D$6,Scenarios!C14,Scenarios!C15,Scenarios!C16))</f>
        <v>SUMMMARY VALUES - BASE CASE</v>
      </c>
      <c r="U5" s="196"/>
      <c r="V5" s="196"/>
      <c r="W5" s="196"/>
      <c r="X5" s="194"/>
      <c r="Y5" s="194"/>
      <c r="Z5" s="194"/>
      <c r="AA5" s="194"/>
      <c r="AB5" s="194"/>
      <c r="AC5" s="194"/>
      <c r="AD5" s="194"/>
      <c r="AE5" s="194"/>
    </row>
    <row r="6" spans="2:32" s="211" customFormat="1" ht="15" customHeight="1">
      <c r="C6" s="290"/>
      <c r="D6" s="291"/>
      <c r="E6" s="291"/>
      <c r="F6" s="291"/>
      <c r="G6" s="291"/>
      <c r="H6" s="292"/>
      <c r="I6" s="292"/>
      <c r="J6" s="292"/>
      <c r="K6" s="293" t="s">
        <v>0</v>
      </c>
      <c r="L6" s="294"/>
      <c r="M6" s="294"/>
      <c r="N6" s="294"/>
      <c r="O6" s="294"/>
      <c r="P6" s="295"/>
      <c r="T6" s="212"/>
      <c r="U6" s="213"/>
      <c r="V6" s="213"/>
      <c r="W6" s="213"/>
      <c r="X6" s="213"/>
      <c r="Y6" s="213"/>
      <c r="Z6" s="213"/>
      <c r="AA6" s="214" t="s">
        <v>0</v>
      </c>
      <c r="AB6" s="215"/>
      <c r="AC6" s="215"/>
      <c r="AD6" s="215"/>
      <c r="AE6" s="215"/>
      <c r="AF6" s="216"/>
    </row>
    <row r="7" spans="2:32" s="211" customFormat="1" ht="15" customHeight="1">
      <c r="C7" s="296"/>
      <c r="D7" s="357" t="s">
        <v>143</v>
      </c>
      <c r="E7" s="262"/>
      <c r="F7" s="261" t="s">
        <v>132</v>
      </c>
      <c r="G7" s="262"/>
      <c r="H7" s="263">
        <f>X7</f>
        <v>2022</v>
      </c>
      <c r="I7" s="263">
        <f t="shared" ref="I7:O7" si="0">Y7</f>
        <v>2023</v>
      </c>
      <c r="J7" s="263">
        <f t="shared" si="0"/>
        <v>2024</v>
      </c>
      <c r="K7" s="264">
        <f t="shared" si="0"/>
        <v>2025</v>
      </c>
      <c r="L7" s="264">
        <f t="shared" si="0"/>
        <v>2026</v>
      </c>
      <c r="M7" s="264">
        <f t="shared" si="0"/>
        <v>2027</v>
      </c>
      <c r="N7" s="264">
        <f t="shared" si="0"/>
        <v>2028</v>
      </c>
      <c r="O7" s="264">
        <f t="shared" si="0"/>
        <v>2029</v>
      </c>
      <c r="P7" s="297"/>
      <c r="T7" s="217"/>
      <c r="U7" s="218"/>
      <c r="V7" s="218"/>
      <c r="W7" s="218"/>
      <c r="X7" s="219">
        <f>Y7-1</f>
        <v>2022</v>
      </c>
      <c r="Y7" s="219">
        <f>Z7-1</f>
        <v>2023</v>
      </c>
      <c r="Z7" s="219">
        <f>AA7-1</f>
        <v>2024</v>
      </c>
      <c r="AA7" s="220">
        <f>Model!K14</f>
        <v>2025</v>
      </c>
      <c r="AB7" s="220">
        <f>Model!L14</f>
        <v>2026</v>
      </c>
      <c r="AC7" s="220">
        <f>Model!M14</f>
        <v>2027</v>
      </c>
      <c r="AD7" s="220">
        <f>Model!N14</f>
        <v>2028</v>
      </c>
      <c r="AE7" s="220">
        <f>Model!O14</f>
        <v>2029</v>
      </c>
      <c r="AF7" s="221"/>
    </row>
    <row r="8" spans="2:32" ht="3" customHeight="1">
      <c r="C8" s="298"/>
      <c r="D8" s="274"/>
      <c r="E8" s="274"/>
      <c r="F8" s="274"/>
      <c r="G8" s="274"/>
      <c r="H8" s="275"/>
      <c r="I8" s="275"/>
      <c r="J8" s="276"/>
      <c r="K8" s="277"/>
      <c r="L8" s="277"/>
      <c r="M8" s="277"/>
      <c r="N8" s="277"/>
      <c r="O8" s="277"/>
      <c r="P8" s="299"/>
      <c r="T8" s="197"/>
      <c r="X8" s="200"/>
      <c r="Y8" s="200"/>
      <c r="Z8" s="201"/>
      <c r="AA8" s="16"/>
      <c r="AB8" s="16"/>
      <c r="AC8" s="16"/>
      <c r="AD8" s="16"/>
      <c r="AE8" s="16"/>
      <c r="AF8" s="199"/>
    </row>
    <row r="9" spans="2:32" ht="3" customHeight="1">
      <c r="C9" s="300"/>
      <c r="D9" s="282"/>
      <c r="E9" s="282"/>
      <c r="F9" s="282"/>
      <c r="G9" s="282"/>
      <c r="H9" s="283"/>
      <c r="I9" s="283"/>
      <c r="J9" s="284"/>
      <c r="K9" s="285"/>
      <c r="L9" s="285"/>
      <c r="M9" s="285"/>
      <c r="N9" s="285"/>
      <c r="O9" s="285"/>
      <c r="P9" s="301"/>
      <c r="T9" s="197"/>
      <c r="X9" s="200"/>
      <c r="Y9" s="200"/>
      <c r="Z9" s="201"/>
      <c r="AA9" s="16"/>
      <c r="AB9" s="16"/>
      <c r="AC9" s="16"/>
      <c r="AD9" s="16"/>
      <c r="AE9" s="16"/>
      <c r="AF9" s="199"/>
    </row>
    <row r="10" spans="2:32" ht="13" customHeight="1">
      <c r="C10" s="302"/>
      <c r="D10" s="202" t="s">
        <v>99</v>
      </c>
      <c r="P10" s="303"/>
      <c r="T10" s="197"/>
      <c r="U10" s="202" t="s">
        <v>99</v>
      </c>
      <c r="AF10" s="199"/>
    </row>
    <row r="11" spans="2:32" ht="3" customHeight="1">
      <c r="C11" s="302"/>
      <c r="D11" s="202"/>
      <c r="P11" s="303"/>
      <c r="T11" s="197"/>
      <c r="U11" s="202"/>
      <c r="AF11" s="199"/>
    </row>
    <row r="12" spans="2:32">
      <c r="C12" s="302"/>
      <c r="E12" s="192" t="s">
        <v>1</v>
      </c>
      <c r="F12" s="289"/>
      <c r="H12" s="358">
        <v>291</v>
      </c>
      <c r="I12" s="358">
        <v>344.9</v>
      </c>
      <c r="J12" s="358">
        <v>354.9</v>
      </c>
      <c r="K12" s="358">
        <v>365.54699999999997</v>
      </c>
      <c r="L12" s="358">
        <v>380.16888</v>
      </c>
      <c r="M12" s="358">
        <v>399.177324</v>
      </c>
      <c r="N12" s="358">
        <v>419.13619020000004</v>
      </c>
      <c r="O12" s="358">
        <v>440.09299971000007</v>
      </c>
      <c r="P12" s="303"/>
      <c r="T12" s="197"/>
      <c r="V12" s="192" t="s">
        <v>1</v>
      </c>
      <c r="W12" s="203" t="s">
        <v>150</v>
      </c>
      <c r="X12" s="356">
        <f>Model!H17</f>
        <v>291</v>
      </c>
      <c r="Y12" s="356">
        <f>Model!I17</f>
        <v>344.9</v>
      </c>
      <c r="Z12" s="356">
        <f>Model!J17</f>
        <v>354.9</v>
      </c>
      <c r="AA12" s="356">
        <f>Model!K17</f>
        <v>365.54699999999997</v>
      </c>
      <c r="AB12" s="356">
        <f>Model!L17</f>
        <v>380.16888</v>
      </c>
      <c r="AC12" s="356">
        <f>Model!M17</f>
        <v>399.177324</v>
      </c>
      <c r="AD12" s="356">
        <f>Model!N17</f>
        <v>419.13619020000004</v>
      </c>
      <c r="AE12" s="356">
        <f>Model!O17</f>
        <v>440.09299971000007</v>
      </c>
      <c r="AF12" s="199"/>
    </row>
    <row r="13" spans="2:32" ht="13">
      <c r="C13" s="302"/>
      <c r="E13" s="205" t="s">
        <v>104</v>
      </c>
      <c r="F13" s="206"/>
      <c r="G13" s="205"/>
      <c r="H13" s="344"/>
      <c r="I13" s="345">
        <v>0.18522336769759451</v>
      </c>
      <c r="J13" s="345">
        <v>2.899391127863149E-2</v>
      </c>
      <c r="K13" s="345">
        <v>3.0000000000000027E-2</v>
      </c>
      <c r="L13" s="345">
        <v>4.0000000000000036E-2</v>
      </c>
      <c r="M13" s="345">
        <v>5.0000000000000044E-2</v>
      </c>
      <c r="N13" s="345">
        <v>5.0000000000000044E-2</v>
      </c>
      <c r="O13" s="345">
        <v>5.0000000000000044E-2</v>
      </c>
      <c r="P13" s="303"/>
      <c r="T13" s="197"/>
      <c r="V13" s="205" t="s">
        <v>104</v>
      </c>
      <c r="W13" s="206" t="s">
        <v>79</v>
      </c>
      <c r="Y13" s="343">
        <f>Y12/X12-1</f>
        <v>0.18522336769759451</v>
      </c>
      <c r="Z13" s="343">
        <f t="shared" ref="Z13:AE13" si="1">Z12/Y12-1</f>
        <v>2.899391127863149E-2</v>
      </c>
      <c r="AA13" s="343">
        <f t="shared" si="1"/>
        <v>3.0000000000000027E-2</v>
      </c>
      <c r="AB13" s="343">
        <f t="shared" si="1"/>
        <v>4.0000000000000036E-2</v>
      </c>
      <c r="AC13" s="343">
        <f t="shared" si="1"/>
        <v>5.0000000000000044E-2</v>
      </c>
      <c r="AD13" s="343">
        <f t="shared" si="1"/>
        <v>5.0000000000000044E-2</v>
      </c>
      <c r="AE13" s="343">
        <f t="shared" si="1"/>
        <v>5.0000000000000044E-2</v>
      </c>
      <c r="AF13" s="199"/>
    </row>
    <row r="14" spans="2:32" ht="3" customHeight="1">
      <c r="C14" s="302"/>
      <c r="E14" s="251"/>
      <c r="F14" s="251"/>
      <c r="G14" s="251"/>
      <c r="H14" s="346"/>
      <c r="I14" s="346"/>
      <c r="J14" s="346"/>
      <c r="K14" s="346"/>
      <c r="L14" s="346"/>
      <c r="M14" s="346"/>
      <c r="N14" s="346"/>
      <c r="O14" s="346"/>
      <c r="P14" s="303"/>
      <c r="T14" s="197"/>
      <c r="AF14" s="199"/>
    </row>
    <row r="15" spans="2:32" ht="3" customHeight="1">
      <c r="C15" s="302"/>
      <c r="H15" s="344"/>
      <c r="I15" s="344"/>
      <c r="J15" s="344"/>
      <c r="K15" s="344"/>
      <c r="L15" s="344"/>
      <c r="M15" s="344"/>
      <c r="N15" s="344"/>
      <c r="O15" s="344"/>
      <c r="P15" s="303"/>
      <c r="T15" s="197"/>
      <c r="AF15" s="199"/>
    </row>
    <row r="16" spans="2:32">
      <c r="C16" s="302"/>
      <c r="E16" s="192" t="s">
        <v>2</v>
      </c>
      <c r="F16" s="289"/>
      <c r="H16" s="358">
        <v>48</v>
      </c>
      <c r="I16" s="358">
        <v>62.59999999999998</v>
      </c>
      <c r="J16" s="358">
        <v>75.799999999999969</v>
      </c>
      <c r="K16" s="358">
        <v>74.055999999999941</v>
      </c>
      <c r="L16" s="358">
        <v>74.908789999999954</v>
      </c>
      <c r="M16" s="358">
        <v>78.654229499999943</v>
      </c>
      <c r="N16" s="358">
        <v>84.912609599999954</v>
      </c>
      <c r="O16" s="358">
        <v>91.576935449999965</v>
      </c>
      <c r="P16" s="304"/>
      <c r="T16" s="197"/>
      <c r="V16" s="192" t="s">
        <v>2</v>
      </c>
      <c r="W16" s="203" t="s">
        <v>150</v>
      </c>
      <c r="X16" s="356">
        <f>Model!H26</f>
        <v>48</v>
      </c>
      <c r="Y16" s="356">
        <f>Model!I26</f>
        <v>62.59999999999998</v>
      </c>
      <c r="Z16" s="356">
        <f>Model!J26</f>
        <v>75.799999999999969</v>
      </c>
      <c r="AA16" s="356">
        <f>Model!K26</f>
        <v>74.055999999999941</v>
      </c>
      <c r="AB16" s="356">
        <f>Model!L26</f>
        <v>74.908789999999954</v>
      </c>
      <c r="AC16" s="356">
        <f>Model!M26</f>
        <v>78.654229499999943</v>
      </c>
      <c r="AD16" s="356">
        <f>Model!N26</f>
        <v>84.912609599999954</v>
      </c>
      <c r="AE16" s="356">
        <f>Model!O26</f>
        <v>91.576935449999965</v>
      </c>
      <c r="AF16" s="199"/>
    </row>
    <row r="17" spans="3:32" ht="13">
      <c r="C17" s="302"/>
      <c r="E17" s="205" t="s">
        <v>105</v>
      </c>
      <c r="F17" s="206"/>
      <c r="G17" s="205"/>
      <c r="H17" s="345">
        <v>0.16494845360824742</v>
      </c>
      <c r="I17" s="345">
        <v>0.18150188460423305</v>
      </c>
      <c r="J17" s="345">
        <v>0.21358129050436736</v>
      </c>
      <c r="K17" s="345">
        <v>0.20258954388902098</v>
      </c>
      <c r="L17" s="345">
        <v>0.19704082564569714</v>
      </c>
      <c r="M17" s="345">
        <v>0.19704082564569711</v>
      </c>
      <c r="N17" s="345">
        <v>0.20258954388902098</v>
      </c>
      <c r="O17" s="345">
        <v>0.20808541719669416</v>
      </c>
      <c r="P17" s="305"/>
      <c r="T17" s="197"/>
      <c r="V17" s="205" t="s">
        <v>105</v>
      </c>
      <c r="W17" s="206" t="s">
        <v>79</v>
      </c>
      <c r="X17" s="343">
        <f>X16/X12</f>
        <v>0.16494845360824742</v>
      </c>
      <c r="Y17" s="343">
        <f t="shared" ref="Y17:AE17" si="2">Y16/Y12</f>
        <v>0.18150188460423305</v>
      </c>
      <c r="Z17" s="343">
        <f t="shared" si="2"/>
        <v>0.21358129050436736</v>
      </c>
      <c r="AA17" s="343">
        <f t="shared" si="2"/>
        <v>0.20258954388902098</v>
      </c>
      <c r="AB17" s="343">
        <f t="shared" si="2"/>
        <v>0.19704082564569714</v>
      </c>
      <c r="AC17" s="343">
        <f t="shared" si="2"/>
        <v>0.19704082564569711</v>
      </c>
      <c r="AD17" s="343">
        <f t="shared" si="2"/>
        <v>0.20258954388902098</v>
      </c>
      <c r="AE17" s="343">
        <f t="shared" si="2"/>
        <v>0.20808541719669416</v>
      </c>
      <c r="AF17" s="199"/>
    </row>
    <row r="18" spans="3:32" ht="13">
      <c r="C18" s="302"/>
      <c r="E18" s="205" t="s">
        <v>104</v>
      </c>
      <c r="F18" s="206"/>
      <c r="G18" s="205"/>
      <c r="H18" s="347"/>
      <c r="I18" s="345">
        <v>0.30416666666666625</v>
      </c>
      <c r="J18" s="345">
        <v>0.21086261980830656</v>
      </c>
      <c r="K18" s="345">
        <v>-2.3007915567282655E-2</v>
      </c>
      <c r="L18" s="345">
        <v>1.1515474775845469E-2</v>
      </c>
      <c r="M18" s="345">
        <v>4.9999999999999822E-2</v>
      </c>
      <c r="N18" s="345">
        <v>7.9568258945312165E-2</v>
      </c>
      <c r="O18" s="345">
        <v>7.8484525224154833E-2</v>
      </c>
      <c r="P18" s="305"/>
      <c r="T18" s="197"/>
      <c r="V18" s="205" t="s">
        <v>104</v>
      </c>
      <c r="W18" s="206" t="s">
        <v>79</v>
      </c>
      <c r="X18" s="206"/>
      <c r="Y18" s="343">
        <f>Y16/X16-1</f>
        <v>0.30416666666666625</v>
      </c>
      <c r="Z18" s="343">
        <f t="shared" ref="Z18:AE18" si="3">Z16/Y16-1</f>
        <v>0.21086261980830656</v>
      </c>
      <c r="AA18" s="343">
        <f t="shared" si="3"/>
        <v>-2.3007915567282655E-2</v>
      </c>
      <c r="AB18" s="343">
        <f t="shared" si="3"/>
        <v>1.1515474775845469E-2</v>
      </c>
      <c r="AC18" s="343">
        <f t="shared" si="3"/>
        <v>4.9999999999999822E-2</v>
      </c>
      <c r="AD18" s="343">
        <f t="shared" si="3"/>
        <v>7.9568258945312165E-2</v>
      </c>
      <c r="AE18" s="343">
        <f t="shared" si="3"/>
        <v>7.8484525224154833E-2</v>
      </c>
      <c r="AF18" s="199"/>
    </row>
    <row r="19" spans="3:32" ht="3" customHeight="1">
      <c r="C19" s="302"/>
      <c r="E19" s="251"/>
      <c r="F19" s="251"/>
      <c r="G19" s="251"/>
      <c r="H19" s="346"/>
      <c r="I19" s="346"/>
      <c r="J19" s="346"/>
      <c r="K19" s="346"/>
      <c r="L19" s="346"/>
      <c r="M19" s="346"/>
      <c r="N19" s="346"/>
      <c r="O19" s="346"/>
      <c r="P19" s="303"/>
      <c r="T19" s="197"/>
      <c r="AF19" s="199"/>
    </row>
    <row r="20" spans="3:32" ht="3" customHeight="1">
      <c r="C20" s="302"/>
      <c r="H20" s="344"/>
      <c r="I20" s="344"/>
      <c r="J20" s="344"/>
      <c r="K20" s="344"/>
      <c r="L20" s="344"/>
      <c r="M20" s="344"/>
      <c r="N20" s="344"/>
      <c r="O20" s="344"/>
      <c r="P20" s="303"/>
      <c r="T20" s="197"/>
      <c r="AF20" s="199"/>
    </row>
    <row r="21" spans="3:32">
      <c r="C21" s="302"/>
      <c r="E21" s="192" t="s">
        <v>5</v>
      </c>
      <c r="F21" s="289"/>
      <c r="H21" s="358">
        <v>31.599999999999994</v>
      </c>
      <c r="I21" s="358">
        <v>41.59999999999998</v>
      </c>
      <c r="J21" s="358">
        <v>54.199999999999974</v>
      </c>
      <c r="K21" s="358">
        <v>53.373199999999954</v>
      </c>
      <c r="L21" s="358">
        <v>54.398878593150641</v>
      </c>
      <c r="M21" s="358">
        <v>57.649612063649286</v>
      </c>
      <c r="N21" s="358">
        <v>62.985519629836062</v>
      </c>
      <c r="O21" s="358">
        <v>68.686759195446314</v>
      </c>
      <c r="P21" s="304"/>
      <c r="T21" s="197"/>
      <c r="V21" s="192" t="s">
        <v>5</v>
      </c>
      <c r="W21" s="203" t="s">
        <v>150</v>
      </c>
      <c r="X21" s="356">
        <f>Model!H41</f>
        <v>31.599999999999994</v>
      </c>
      <c r="Y21" s="356">
        <f>Model!I41</f>
        <v>41.59999999999998</v>
      </c>
      <c r="Z21" s="356">
        <f>Model!J41</f>
        <v>54.199999999999974</v>
      </c>
      <c r="AA21" s="356">
        <f>Model!K41</f>
        <v>53.373199999999954</v>
      </c>
      <c r="AB21" s="356">
        <f>Model!L41</f>
        <v>54.278788893150647</v>
      </c>
      <c r="AC21" s="356">
        <f>Model!M41</f>
        <v>57.40523347403969</v>
      </c>
      <c r="AD21" s="356">
        <f>Model!N41</f>
        <v>62.607580450296915</v>
      </c>
      <c r="AE21" s="356">
        <f>Model!O41</f>
        <v>68.161150054662301</v>
      </c>
      <c r="AF21" s="199"/>
    </row>
    <row r="22" spans="3:32" ht="13">
      <c r="C22" s="302"/>
      <c r="E22" s="205" t="s">
        <v>105</v>
      </c>
      <c r="F22" s="253"/>
      <c r="G22" s="205"/>
      <c r="H22" s="345">
        <v>0.10859106529209619</v>
      </c>
      <c r="I22" s="345">
        <v>0.12061467091910694</v>
      </c>
      <c r="J22" s="345">
        <v>0.1527190757959988</v>
      </c>
      <c r="K22" s="345">
        <v>0.14600913152070721</v>
      </c>
      <c r="L22" s="345">
        <v>0.14309135085741537</v>
      </c>
      <c r="M22" s="345">
        <v>0.14442105950800274</v>
      </c>
      <c r="N22" s="345">
        <v>0.15027459117710915</v>
      </c>
      <c r="O22" s="345">
        <v>0.15607328278501942</v>
      </c>
      <c r="P22" s="304"/>
      <c r="T22" s="197"/>
      <c r="V22" s="205" t="s">
        <v>105</v>
      </c>
      <c r="W22" s="206" t="s">
        <v>79</v>
      </c>
      <c r="X22" s="343">
        <f>X21/X12</f>
        <v>0.10859106529209619</v>
      </c>
      <c r="Y22" s="343">
        <f t="shared" ref="Y22:AE22" si="4">Y21/Y12</f>
        <v>0.12061467091910694</v>
      </c>
      <c r="Z22" s="343">
        <f t="shared" si="4"/>
        <v>0.1527190757959988</v>
      </c>
      <c r="AA22" s="343">
        <f t="shared" si="4"/>
        <v>0.14600913152070721</v>
      </c>
      <c r="AB22" s="343">
        <f t="shared" si="4"/>
        <v>0.14277546571710617</v>
      </c>
      <c r="AC22" s="343">
        <f t="shared" si="4"/>
        <v>0.14380885391686149</v>
      </c>
      <c r="AD22" s="343">
        <f t="shared" si="4"/>
        <v>0.1493728814503523</v>
      </c>
      <c r="AE22" s="343">
        <f t="shared" si="4"/>
        <v>0.15487896898968442</v>
      </c>
      <c r="AF22" s="199"/>
    </row>
    <row r="23" spans="3:32" ht="13">
      <c r="C23" s="302"/>
      <c r="E23" s="205" t="s">
        <v>104</v>
      </c>
      <c r="F23" s="253"/>
      <c r="G23" s="205"/>
      <c r="H23" s="347"/>
      <c r="I23" s="345">
        <v>0.31645569620253133</v>
      </c>
      <c r="J23" s="345">
        <v>0.30288461538461542</v>
      </c>
      <c r="K23" s="345">
        <v>-1.5254612546125812E-2</v>
      </c>
      <c r="L23" s="345">
        <v>1.9217108832722873E-2</v>
      </c>
      <c r="M23" s="345">
        <v>5.9757361816424437E-2</v>
      </c>
      <c r="N23" s="345">
        <v>9.2557562404679494E-2</v>
      </c>
      <c r="O23" s="345">
        <v>9.0516671119270864E-2</v>
      </c>
      <c r="P23" s="304"/>
      <c r="T23" s="197"/>
      <c r="V23" s="205" t="s">
        <v>104</v>
      </c>
      <c r="W23" s="206" t="s">
        <v>79</v>
      </c>
      <c r="X23" s="206"/>
      <c r="Y23" s="343">
        <f>Y21/X21-1</f>
        <v>0.31645569620253133</v>
      </c>
      <c r="Z23" s="343">
        <f t="shared" ref="Z23:AE23" si="5">Z21/Y21-1</f>
        <v>0.30288461538461542</v>
      </c>
      <c r="AA23" s="343">
        <f t="shared" si="5"/>
        <v>-1.5254612546125812E-2</v>
      </c>
      <c r="AB23" s="343">
        <f t="shared" si="5"/>
        <v>1.696710883272301E-2</v>
      </c>
      <c r="AC23" s="343">
        <f t="shared" si="5"/>
        <v>5.7599748348172275E-2</v>
      </c>
      <c r="AD23" s="343">
        <f t="shared" si="5"/>
        <v>9.062495980631935E-2</v>
      </c>
      <c r="AE23" s="343">
        <f t="shared" si="5"/>
        <v>8.8704427873143477E-2</v>
      </c>
      <c r="AF23" s="199"/>
    </row>
    <row r="24" spans="3:32" ht="4" customHeight="1">
      <c r="C24" s="306"/>
      <c r="D24" s="307"/>
      <c r="E24" s="308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9"/>
      <c r="T24" s="207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208"/>
    </row>
    <row r="25" spans="3:32" ht="10" customHeight="1"/>
    <row r="26" spans="3:32" ht="15" customHeight="1">
      <c r="C26" s="195" t="s">
        <v>124</v>
      </c>
      <c r="D26" s="196"/>
      <c r="E26" s="196"/>
      <c r="F26" s="196"/>
      <c r="G26" s="196"/>
      <c r="H26" s="194"/>
      <c r="I26" s="194"/>
      <c r="J26" s="194"/>
      <c r="K26" s="194"/>
      <c r="L26" s="194"/>
      <c r="M26" s="194"/>
      <c r="N26" s="194"/>
      <c r="O26" s="194"/>
      <c r="P26" s="194"/>
    </row>
    <row r="27" spans="3:32" s="211" customFormat="1" ht="15" customHeight="1">
      <c r="C27" s="290"/>
      <c r="D27" s="291"/>
      <c r="E27" s="291"/>
      <c r="F27" s="291"/>
      <c r="G27" s="291"/>
      <c r="H27" s="292"/>
      <c r="I27" s="292"/>
      <c r="J27" s="292"/>
      <c r="K27" s="293" t="s">
        <v>0</v>
      </c>
      <c r="L27" s="294"/>
      <c r="M27" s="294"/>
      <c r="N27" s="294"/>
      <c r="O27" s="294"/>
      <c r="P27" s="310"/>
    </row>
    <row r="28" spans="3:32" s="211" customFormat="1" ht="15" customHeight="1">
      <c r="C28" s="296"/>
      <c r="D28" s="357" t="s">
        <v>143</v>
      </c>
      <c r="E28" s="262"/>
      <c r="F28" s="261" t="s">
        <v>132</v>
      </c>
      <c r="G28" s="262"/>
      <c r="H28" s="263">
        <f t="shared" ref="H28:O28" si="6">H7</f>
        <v>2022</v>
      </c>
      <c r="I28" s="263">
        <f t="shared" si="6"/>
        <v>2023</v>
      </c>
      <c r="J28" s="263">
        <f t="shared" si="6"/>
        <v>2024</v>
      </c>
      <c r="K28" s="264">
        <f t="shared" si="6"/>
        <v>2025</v>
      </c>
      <c r="L28" s="264">
        <f t="shared" si="6"/>
        <v>2026</v>
      </c>
      <c r="M28" s="264">
        <f t="shared" si="6"/>
        <v>2027</v>
      </c>
      <c r="N28" s="264">
        <f t="shared" si="6"/>
        <v>2028</v>
      </c>
      <c r="O28" s="264">
        <f t="shared" si="6"/>
        <v>2029</v>
      </c>
      <c r="P28" s="311"/>
    </row>
    <row r="29" spans="3:32" ht="3" customHeight="1">
      <c r="C29" s="298"/>
      <c r="D29" s="274"/>
      <c r="E29" s="274"/>
      <c r="F29" s="274"/>
      <c r="G29" s="274"/>
      <c r="H29" s="275"/>
      <c r="I29" s="275"/>
      <c r="J29" s="276"/>
      <c r="K29" s="277"/>
      <c r="L29" s="277"/>
      <c r="M29" s="277"/>
      <c r="N29" s="277"/>
      <c r="O29" s="277"/>
      <c r="P29" s="299"/>
    </row>
    <row r="30" spans="3:32" ht="3" customHeight="1">
      <c r="C30" s="300"/>
      <c r="D30" s="282"/>
      <c r="E30" s="282"/>
      <c r="F30" s="282"/>
      <c r="G30" s="282"/>
      <c r="H30" s="283"/>
      <c r="I30" s="283"/>
      <c r="J30" s="284"/>
      <c r="K30" s="285"/>
      <c r="L30" s="285"/>
      <c r="M30" s="285"/>
      <c r="N30" s="285"/>
      <c r="O30" s="285"/>
      <c r="P30" s="301"/>
    </row>
    <row r="31" spans="3:32" ht="13" customHeight="1">
      <c r="C31" s="302"/>
      <c r="D31" s="202" t="s">
        <v>99</v>
      </c>
      <c r="P31" s="303"/>
    </row>
    <row r="32" spans="3:32" ht="3" customHeight="1">
      <c r="C32" s="302"/>
      <c r="D32" s="202"/>
      <c r="P32" s="303"/>
    </row>
    <row r="33" spans="3:31">
      <c r="C33" s="302"/>
      <c r="E33" s="192" t="s">
        <v>1</v>
      </c>
      <c r="F33" s="289"/>
      <c r="H33" s="358">
        <v>291</v>
      </c>
      <c r="I33" s="358">
        <v>344.9</v>
      </c>
      <c r="J33" s="358">
        <v>354.9</v>
      </c>
      <c r="K33" s="358">
        <v>376.19400000000002</v>
      </c>
      <c r="L33" s="358">
        <v>402.52758000000006</v>
      </c>
      <c r="M33" s="358">
        <v>434.72978640000008</v>
      </c>
      <c r="N33" s="358">
        <v>469.50816931200012</v>
      </c>
      <c r="O33" s="358">
        <v>507.06882285696014</v>
      </c>
      <c r="P33" s="303"/>
      <c r="W33" s="203"/>
      <c r="X33" s="204"/>
      <c r="Y33" s="204"/>
      <c r="Z33" s="204"/>
      <c r="AA33" s="204"/>
      <c r="AB33" s="204"/>
      <c r="AC33" s="204"/>
      <c r="AD33" s="204"/>
      <c r="AE33" s="204"/>
    </row>
    <row r="34" spans="3:31" ht="13">
      <c r="C34" s="302"/>
      <c r="E34" s="205" t="s">
        <v>104</v>
      </c>
      <c r="F34" s="206"/>
      <c r="G34" s="205"/>
      <c r="H34" s="344"/>
      <c r="I34" s="345">
        <v>0.18522336769759451</v>
      </c>
      <c r="J34" s="345">
        <v>2.899391127863149E-2</v>
      </c>
      <c r="K34" s="345">
        <v>6.0000000000000053E-2</v>
      </c>
      <c r="L34" s="345">
        <v>7.0000000000000062E-2</v>
      </c>
      <c r="M34" s="345">
        <v>8.0000000000000071E-2</v>
      </c>
      <c r="N34" s="345">
        <v>8.0000000000000071E-2</v>
      </c>
      <c r="O34" s="345">
        <v>8.0000000000000071E-2</v>
      </c>
      <c r="P34" s="303"/>
      <c r="V34" s="209"/>
      <c r="W34" s="203"/>
      <c r="Y34" s="117"/>
      <c r="Z34" s="117"/>
      <c r="AA34" s="117"/>
      <c r="AB34" s="117"/>
      <c r="AC34" s="117"/>
      <c r="AD34" s="117"/>
      <c r="AE34" s="117"/>
    </row>
    <row r="35" spans="3:31" ht="3" customHeight="1">
      <c r="C35" s="302"/>
      <c r="H35" s="346"/>
      <c r="I35" s="346"/>
      <c r="J35" s="346"/>
      <c r="K35" s="346"/>
      <c r="L35" s="346"/>
      <c r="M35" s="346"/>
      <c r="N35" s="346"/>
      <c r="O35" s="346"/>
      <c r="P35" s="303"/>
    </row>
    <row r="36" spans="3:31" ht="3" customHeight="1">
      <c r="C36" s="302"/>
      <c r="H36" s="344"/>
      <c r="I36" s="344"/>
      <c r="J36" s="344"/>
      <c r="K36" s="344"/>
      <c r="L36" s="344"/>
      <c r="M36" s="344"/>
      <c r="N36" s="344"/>
      <c r="O36" s="344"/>
      <c r="P36" s="303"/>
    </row>
    <row r="37" spans="3:31">
      <c r="C37" s="302"/>
      <c r="E37" s="192" t="s">
        <v>2</v>
      </c>
      <c r="F37" s="289"/>
      <c r="H37" s="358">
        <v>48</v>
      </c>
      <c r="I37" s="358">
        <v>62.59999999999998</v>
      </c>
      <c r="J37" s="358">
        <v>75.799999999999969</v>
      </c>
      <c r="K37" s="358">
        <v>88.384</v>
      </c>
      <c r="L37" s="358">
        <v>104.81678000000001</v>
      </c>
      <c r="M37" s="358">
        <v>125.74310400000003</v>
      </c>
      <c r="N37" s="358">
        <v>148.59435355200003</v>
      </c>
      <c r="O37" s="358">
        <v>173.52953909280004</v>
      </c>
      <c r="P37" s="304"/>
      <c r="W37" s="203"/>
      <c r="X37" s="204"/>
      <c r="Y37" s="204"/>
      <c r="Z37" s="204"/>
      <c r="AA37" s="204"/>
      <c r="AB37" s="204"/>
      <c r="AC37" s="204"/>
      <c r="AD37" s="204"/>
      <c r="AE37" s="204"/>
    </row>
    <row r="38" spans="3:31" ht="13">
      <c r="C38" s="302"/>
      <c r="E38" s="205" t="s">
        <v>105</v>
      </c>
      <c r="F38" s="206"/>
      <c r="G38" s="205"/>
      <c r="H38" s="345">
        <v>0.16494845360824742</v>
      </c>
      <c r="I38" s="345">
        <v>0.18150188460423305</v>
      </c>
      <c r="J38" s="345">
        <v>0.21358129050436736</v>
      </c>
      <c r="K38" s="345">
        <v>0.23494260939834233</v>
      </c>
      <c r="L38" s="345">
        <v>0.26039651742620962</v>
      </c>
      <c r="M38" s="345">
        <v>0.28924427985779261</v>
      </c>
      <c r="N38" s="345">
        <v>0.31648938882095423</v>
      </c>
      <c r="O38" s="345">
        <v>0.34222088061949585</v>
      </c>
      <c r="P38" s="305"/>
      <c r="V38" s="209"/>
      <c r="W38" s="203"/>
      <c r="X38" s="117"/>
      <c r="Y38" s="117"/>
      <c r="Z38" s="117"/>
      <c r="AA38" s="117"/>
      <c r="AB38" s="117"/>
      <c r="AC38" s="117"/>
      <c r="AD38" s="117"/>
      <c r="AE38" s="117"/>
    </row>
    <row r="39" spans="3:31" ht="13">
      <c r="C39" s="302"/>
      <c r="E39" s="205" t="s">
        <v>104</v>
      </c>
      <c r="F39" s="206"/>
      <c r="G39" s="205"/>
      <c r="H39" s="347"/>
      <c r="I39" s="345">
        <v>0.30416666666666625</v>
      </c>
      <c r="J39" s="345">
        <v>0.21086261980830656</v>
      </c>
      <c r="K39" s="345">
        <v>0.16601583113456519</v>
      </c>
      <c r="L39" s="345">
        <v>0.18592482802317178</v>
      </c>
      <c r="M39" s="345">
        <v>0.19964669779018229</v>
      </c>
      <c r="N39" s="345">
        <v>0.18172964421174131</v>
      </c>
      <c r="O39" s="345">
        <v>0.16780708650597576</v>
      </c>
      <c r="P39" s="305"/>
      <c r="V39" s="209"/>
      <c r="W39" s="203"/>
      <c r="Y39" s="117"/>
      <c r="Z39" s="117"/>
      <c r="AA39" s="117"/>
      <c r="AB39" s="117"/>
      <c r="AC39" s="117"/>
      <c r="AD39" s="117"/>
      <c r="AE39" s="117"/>
    </row>
    <row r="40" spans="3:31" ht="3" customHeight="1">
      <c r="C40" s="302"/>
      <c r="H40" s="346"/>
      <c r="I40" s="346"/>
      <c r="J40" s="346"/>
      <c r="K40" s="346"/>
      <c r="L40" s="346"/>
      <c r="M40" s="346"/>
      <c r="N40" s="346"/>
      <c r="O40" s="346"/>
      <c r="P40" s="303"/>
    </row>
    <row r="41" spans="3:31" ht="3" customHeight="1">
      <c r="C41" s="302"/>
      <c r="H41" s="344"/>
      <c r="I41" s="344"/>
      <c r="J41" s="344"/>
      <c r="K41" s="344"/>
      <c r="L41" s="344"/>
      <c r="M41" s="344"/>
      <c r="N41" s="344"/>
      <c r="O41" s="344"/>
      <c r="P41" s="303"/>
    </row>
    <row r="42" spans="3:31">
      <c r="C42" s="302"/>
      <c r="E42" s="192" t="s">
        <v>5</v>
      </c>
      <c r="F42" s="289"/>
      <c r="H42" s="358">
        <v>31.599999999999994</v>
      </c>
      <c r="I42" s="358">
        <v>41.59999999999998</v>
      </c>
      <c r="J42" s="358">
        <v>54.199999999999974</v>
      </c>
      <c r="K42" s="358">
        <v>64.274450000000002</v>
      </c>
      <c r="L42" s="358">
        <v>77.290201675342473</v>
      </c>
      <c r="M42" s="358">
        <v>93.947426834265784</v>
      </c>
      <c r="N42" s="358">
        <v>112.52183307783051</v>
      </c>
      <c r="O42" s="358">
        <v>132.9423860066382</v>
      </c>
      <c r="P42" s="304"/>
      <c r="W42" s="203"/>
      <c r="X42" s="210"/>
      <c r="Y42" s="210"/>
      <c r="Z42" s="210"/>
      <c r="AA42" s="204"/>
      <c r="AB42" s="204"/>
      <c r="AC42" s="204"/>
      <c r="AD42" s="204"/>
      <c r="AE42" s="204"/>
    </row>
    <row r="43" spans="3:31" ht="13">
      <c r="C43" s="302"/>
      <c r="E43" s="205" t="s">
        <v>105</v>
      </c>
      <c r="F43" s="206"/>
      <c r="G43" s="205"/>
      <c r="H43" s="345">
        <v>0.10859106529209619</v>
      </c>
      <c r="I43" s="345">
        <v>0.12061467091910694</v>
      </c>
      <c r="J43" s="345">
        <v>0.1527190757959988</v>
      </c>
      <c r="K43" s="345">
        <v>0.17085453250184746</v>
      </c>
      <c r="L43" s="345">
        <v>0.19201218876813972</v>
      </c>
      <c r="M43" s="345">
        <v>0.21610533663277362</v>
      </c>
      <c r="N43" s="345">
        <v>0.23965894617492137</v>
      </c>
      <c r="O43" s="345">
        <v>0.26217818965403072</v>
      </c>
      <c r="P43" s="304"/>
      <c r="W43" s="203"/>
      <c r="X43" s="210"/>
      <c r="Y43" s="210"/>
      <c r="Z43" s="210"/>
      <c r="AA43" s="204"/>
      <c r="AB43" s="204"/>
      <c r="AC43" s="204"/>
      <c r="AD43" s="204"/>
      <c r="AE43" s="204"/>
    </row>
    <row r="44" spans="3:31" ht="13">
      <c r="C44" s="302"/>
      <c r="E44" s="205" t="s">
        <v>104</v>
      </c>
      <c r="F44" s="206"/>
      <c r="G44" s="205"/>
      <c r="H44" s="347"/>
      <c r="I44" s="345">
        <v>0.31645569620253133</v>
      </c>
      <c r="J44" s="345">
        <v>0.30288461538461542</v>
      </c>
      <c r="K44" s="345">
        <v>0.18587546125461318</v>
      </c>
      <c r="L44" s="345">
        <v>0.20250273126168294</v>
      </c>
      <c r="M44" s="345">
        <v>0.21551535379467612</v>
      </c>
      <c r="N44" s="345">
        <v>0.19771064380860737</v>
      </c>
      <c r="O44" s="345">
        <v>0.18148080572668013</v>
      </c>
      <c r="P44" s="304"/>
      <c r="W44" s="203"/>
      <c r="X44" s="210"/>
      <c r="Y44" s="210"/>
      <c r="Z44" s="210"/>
      <c r="AA44" s="204"/>
      <c r="AB44" s="204"/>
      <c r="AC44" s="204"/>
      <c r="AD44" s="204"/>
      <c r="AE44" s="204"/>
    </row>
    <row r="45" spans="3:31" ht="4" customHeight="1">
      <c r="C45" s="306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9"/>
    </row>
    <row r="46" spans="3:31" ht="10" customHeight="1"/>
    <row r="47" spans="3:31" ht="15" customHeight="1">
      <c r="C47" s="195" t="s">
        <v>106</v>
      </c>
      <c r="D47" s="196"/>
      <c r="E47" s="196"/>
      <c r="F47" s="196"/>
      <c r="G47" s="196"/>
      <c r="H47" s="194"/>
      <c r="I47" s="194"/>
      <c r="J47" s="194"/>
      <c r="K47" s="194"/>
      <c r="L47" s="194"/>
      <c r="M47" s="194"/>
      <c r="N47" s="194"/>
      <c r="O47" s="194"/>
      <c r="P47" s="194"/>
    </row>
    <row r="48" spans="3:31" s="211" customFormat="1" ht="15" customHeight="1">
      <c r="C48" s="290"/>
      <c r="D48" s="291"/>
      <c r="E48" s="291"/>
      <c r="F48" s="291"/>
      <c r="G48" s="291"/>
      <c r="H48" s="292"/>
      <c r="I48" s="292"/>
      <c r="J48" s="292"/>
      <c r="K48" s="293" t="s">
        <v>0</v>
      </c>
      <c r="L48" s="294"/>
      <c r="M48" s="294"/>
      <c r="N48" s="294"/>
      <c r="O48" s="294"/>
      <c r="P48" s="310"/>
    </row>
    <row r="49" spans="3:31" s="211" customFormat="1" ht="15" customHeight="1">
      <c r="C49" s="312"/>
      <c r="D49" s="357" t="s">
        <v>143</v>
      </c>
      <c r="E49" s="265"/>
      <c r="F49" s="261" t="s">
        <v>132</v>
      </c>
      <c r="G49" s="265"/>
      <c r="H49" s="266">
        <f>H28</f>
        <v>2022</v>
      </c>
      <c r="I49" s="266">
        <f t="shared" ref="I49:O49" si="7">I28</f>
        <v>2023</v>
      </c>
      <c r="J49" s="266">
        <f t="shared" si="7"/>
        <v>2024</v>
      </c>
      <c r="K49" s="267">
        <f t="shared" si="7"/>
        <v>2025</v>
      </c>
      <c r="L49" s="267">
        <f t="shared" si="7"/>
        <v>2026</v>
      </c>
      <c r="M49" s="267">
        <f t="shared" si="7"/>
        <v>2027</v>
      </c>
      <c r="N49" s="267">
        <f t="shared" si="7"/>
        <v>2028</v>
      </c>
      <c r="O49" s="267">
        <f t="shared" si="7"/>
        <v>2029</v>
      </c>
      <c r="P49" s="313"/>
    </row>
    <row r="50" spans="3:31" ht="3" customHeight="1">
      <c r="C50" s="298"/>
      <c r="D50" s="274"/>
      <c r="E50" s="274"/>
      <c r="F50" s="274"/>
      <c r="G50" s="274"/>
      <c r="H50" s="275"/>
      <c r="I50" s="275"/>
      <c r="J50" s="276"/>
      <c r="K50" s="277"/>
      <c r="L50" s="277"/>
      <c r="M50" s="277"/>
      <c r="N50" s="277"/>
      <c r="O50" s="277"/>
      <c r="P50" s="299"/>
      <c r="X50" s="211"/>
      <c r="Y50" s="211"/>
      <c r="Z50" s="211"/>
      <c r="AA50" s="211"/>
      <c r="AB50" s="211"/>
      <c r="AC50" s="211"/>
      <c r="AD50" s="211"/>
      <c r="AE50" s="211"/>
    </row>
    <row r="51" spans="3:31" ht="3" customHeight="1">
      <c r="C51" s="300"/>
      <c r="D51" s="282"/>
      <c r="E51" s="282"/>
      <c r="F51" s="282"/>
      <c r="G51" s="282"/>
      <c r="H51" s="283"/>
      <c r="I51" s="283"/>
      <c r="J51" s="284"/>
      <c r="K51" s="285"/>
      <c r="L51" s="285"/>
      <c r="M51" s="285"/>
      <c r="N51" s="285"/>
      <c r="O51" s="285"/>
      <c r="P51" s="301"/>
      <c r="X51" s="211"/>
      <c r="Y51" s="211"/>
      <c r="Z51" s="211"/>
      <c r="AA51" s="211"/>
      <c r="AB51" s="211"/>
      <c r="AC51" s="211"/>
      <c r="AD51" s="211"/>
      <c r="AE51" s="211"/>
    </row>
    <row r="52" spans="3:31" ht="13" customHeight="1">
      <c r="C52" s="302"/>
      <c r="D52" s="202" t="s">
        <v>99</v>
      </c>
      <c r="P52" s="303"/>
      <c r="X52" s="211"/>
      <c r="Y52" s="211"/>
      <c r="Z52" s="211"/>
      <c r="AA52" s="211"/>
      <c r="AB52" s="211"/>
      <c r="AC52" s="211"/>
      <c r="AD52" s="211"/>
      <c r="AE52" s="211"/>
    </row>
    <row r="53" spans="3:31">
      <c r="C53" s="302"/>
      <c r="E53" s="192" t="s">
        <v>1</v>
      </c>
      <c r="F53" s="289"/>
      <c r="H53" s="358">
        <v>291</v>
      </c>
      <c r="I53" s="358">
        <v>344.9</v>
      </c>
      <c r="J53" s="358">
        <v>354.9</v>
      </c>
      <c r="K53" s="358">
        <v>365.54699999999997</v>
      </c>
      <c r="L53" s="358">
        <v>376.51340999999996</v>
      </c>
      <c r="M53" s="358">
        <v>387.8088123</v>
      </c>
      <c r="N53" s="358">
        <v>399.44307666899999</v>
      </c>
      <c r="O53" s="358">
        <v>411.42636896906998</v>
      </c>
      <c r="P53" s="303"/>
      <c r="W53" s="203"/>
      <c r="X53" s="211"/>
      <c r="Y53" s="211"/>
      <c r="Z53" s="211"/>
      <c r="AA53" s="211"/>
      <c r="AB53" s="211"/>
      <c r="AC53" s="211"/>
      <c r="AD53" s="211"/>
      <c r="AE53" s="211"/>
    </row>
    <row r="54" spans="3:31" ht="13">
      <c r="C54" s="302"/>
      <c r="E54" s="205" t="s">
        <v>104</v>
      </c>
      <c r="F54" s="206"/>
      <c r="G54" s="205"/>
      <c r="H54" s="344"/>
      <c r="I54" s="345">
        <v>0.18522336769759451</v>
      </c>
      <c r="J54" s="345">
        <v>2.899391127863149E-2</v>
      </c>
      <c r="K54" s="345">
        <v>3.0000000000000027E-2</v>
      </c>
      <c r="L54" s="345">
        <v>3.0000000000000027E-2</v>
      </c>
      <c r="M54" s="345">
        <v>3.0000000000000027E-2</v>
      </c>
      <c r="N54" s="345">
        <v>3.0000000000000027E-2</v>
      </c>
      <c r="O54" s="345">
        <v>3.0000000000000027E-2</v>
      </c>
      <c r="P54" s="303"/>
      <c r="V54" s="209"/>
      <c r="W54" s="203"/>
      <c r="X54" s="211"/>
      <c r="Y54" s="211"/>
      <c r="Z54" s="211"/>
      <c r="AA54" s="211"/>
      <c r="AB54" s="211"/>
      <c r="AC54" s="211"/>
      <c r="AD54" s="211"/>
      <c r="AE54" s="211"/>
    </row>
    <row r="55" spans="3:31" ht="3" customHeight="1">
      <c r="C55" s="302"/>
      <c r="H55" s="346"/>
      <c r="I55" s="346"/>
      <c r="J55" s="346"/>
      <c r="K55" s="346"/>
      <c r="L55" s="346"/>
      <c r="M55" s="346"/>
      <c r="N55" s="346"/>
      <c r="O55" s="346"/>
      <c r="P55" s="303"/>
      <c r="X55" s="211"/>
      <c r="Y55" s="211"/>
      <c r="Z55" s="211"/>
      <c r="AA55" s="211"/>
      <c r="AB55" s="211"/>
      <c r="AC55" s="211"/>
      <c r="AD55" s="211"/>
      <c r="AE55" s="211"/>
    </row>
    <row r="56" spans="3:31" ht="3" customHeight="1">
      <c r="C56" s="302"/>
      <c r="H56" s="344"/>
      <c r="I56" s="344"/>
      <c r="J56" s="344"/>
      <c r="K56" s="344"/>
      <c r="L56" s="344"/>
      <c r="M56" s="344"/>
      <c r="N56" s="344"/>
      <c r="O56" s="344"/>
      <c r="P56" s="303"/>
      <c r="X56" s="211"/>
      <c r="Y56" s="211"/>
      <c r="Z56" s="211"/>
      <c r="AA56" s="211"/>
      <c r="AB56" s="211"/>
      <c r="AC56" s="211"/>
      <c r="AD56" s="211"/>
      <c r="AE56" s="211"/>
    </row>
    <row r="57" spans="3:31">
      <c r="C57" s="302"/>
      <c r="E57" s="192" t="s">
        <v>2</v>
      </c>
      <c r="F57" s="289"/>
      <c r="H57" s="358">
        <v>48</v>
      </c>
      <c r="I57" s="358">
        <v>62.59999999999998</v>
      </c>
      <c r="J57" s="358">
        <v>75.799999999999969</v>
      </c>
      <c r="K57" s="358">
        <v>74.055999999999941</v>
      </c>
      <c r="L57" s="358">
        <v>72.058779999999913</v>
      </c>
      <c r="M57" s="358">
        <v>69.79069839999994</v>
      </c>
      <c r="N57" s="358">
        <v>69.558750726999918</v>
      </c>
      <c r="O57" s="358">
        <v>69.226817878809896</v>
      </c>
      <c r="P57" s="304"/>
      <c r="W57" s="203"/>
      <c r="X57" s="211"/>
      <c r="Y57" s="211"/>
      <c r="Z57" s="211"/>
      <c r="AA57" s="211"/>
      <c r="AB57" s="211"/>
      <c r="AC57" s="211"/>
      <c r="AD57" s="211"/>
      <c r="AE57" s="211"/>
    </row>
    <row r="58" spans="3:31" ht="13">
      <c r="C58" s="302"/>
      <c r="E58" s="205" t="s">
        <v>105</v>
      </c>
      <c r="F58" s="206"/>
      <c r="G58" s="205"/>
      <c r="H58" s="345">
        <v>0.16494845360824742</v>
      </c>
      <c r="I58" s="345">
        <v>0.18150188460423305</v>
      </c>
      <c r="J58" s="345">
        <v>0.21358129050436736</v>
      </c>
      <c r="K58" s="345">
        <v>0.20258954388902098</v>
      </c>
      <c r="L58" s="345">
        <v>0.19138436530056105</v>
      </c>
      <c r="M58" s="345">
        <v>0.17996161042883022</v>
      </c>
      <c r="N58" s="345">
        <v>0.17413933246022947</v>
      </c>
      <c r="O58" s="345">
        <v>0.16826052752105977</v>
      </c>
      <c r="P58" s="305"/>
      <c r="V58" s="209"/>
      <c r="W58" s="203"/>
      <c r="X58" s="211"/>
      <c r="Y58" s="211"/>
      <c r="Z58" s="211"/>
      <c r="AA58" s="211"/>
      <c r="AB58" s="211"/>
      <c r="AC58" s="211"/>
      <c r="AD58" s="211"/>
      <c r="AE58" s="211"/>
    </row>
    <row r="59" spans="3:31" ht="13">
      <c r="C59" s="302"/>
      <c r="E59" s="205" t="s">
        <v>104</v>
      </c>
      <c r="F59" s="206"/>
      <c r="G59" s="205"/>
      <c r="H59" s="347"/>
      <c r="I59" s="345">
        <v>0.30416666666666625</v>
      </c>
      <c r="J59" s="345">
        <v>0.21086261980830656</v>
      </c>
      <c r="K59" s="345">
        <v>-2.3007915567282655E-2</v>
      </c>
      <c r="L59" s="345">
        <v>-2.6969050448309773E-2</v>
      </c>
      <c r="M59" s="345">
        <v>-3.1475437136182061E-2</v>
      </c>
      <c r="N59" s="345">
        <v>-3.3234754532850408E-3</v>
      </c>
      <c r="O59" s="345">
        <v>-4.7719782877178041E-3</v>
      </c>
      <c r="P59" s="305"/>
      <c r="V59" s="209"/>
      <c r="W59" s="203"/>
      <c r="X59" s="211"/>
      <c r="Y59" s="211"/>
      <c r="Z59" s="211"/>
      <c r="AA59" s="211"/>
      <c r="AB59" s="211"/>
      <c r="AC59" s="211"/>
      <c r="AD59" s="211"/>
      <c r="AE59" s="211"/>
    </row>
    <row r="60" spans="3:31" ht="3" customHeight="1">
      <c r="C60" s="302"/>
      <c r="H60" s="346"/>
      <c r="I60" s="346"/>
      <c r="J60" s="346"/>
      <c r="K60" s="346"/>
      <c r="L60" s="346"/>
      <c r="M60" s="346"/>
      <c r="N60" s="346"/>
      <c r="O60" s="346"/>
      <c r="P60" s="303"/>
      <c r="X60" s="211"/>
      <c r="Y60" s="211"/>
      <c r="Z60" s="211"/>
      <c r="AA60" s="211"/>
      <c r="AB60" s="211"/>
      <c r="AC60" s="211"/>
      <c r="AD60" s="211"/>
      <c r="AE60" s="211"/>
    </row>
    <row r="61" spans="3:31" ht="3" customHeight="1">
      <c r="C61" s="302"/>
      <c r="H61" s="344"/>
      <c r="I61" s="344"/>
      <c r="J61" s="344"/>
      <c r="K61" s="344"/>
      <c r="L61" s="344"/>
      <c r="M61" s="344"/>
      <c r="N61" s="344"/>
      <c r="O61" s="344"/>
      <c r="P61" s="303"/>
      <c r="X61" s="211"/>
      <c r="Y61" s="211"/>
      <c r="Z61" s="211"/>
      <c r="AA61" s="211"/>
      <c r="AB61" s="211"/>
      <c r="AC61" s="211"/>
      <c r="AD61" s="211"/>
      <c r="AE61" s="211"/>
    </row>
    <row r="62" spans="3:31">
      <c r="C62" s="302"/>
      <c r="E62" s="192" t="s">
        <v>5</v>
      </c>
      <c r="F62" s="289"/>
      <c r="H62" s="358">
        <v>31.599999999999994</v>
      </c>
      <c r="I62" s="358">
        <v>41.59999999999998</v>
      </c>
      <c r="J62" s="358">
        <v>54.199999999999974</v>
      </c>
      <c r="K62" s="358">
        <v>53.373199999999954</v>
      </c>
      <c r="L62" s="358">
        <v>52.208068593150621</v>
      </c>
      <c r="M62" s="358">
        <v>50.819292102827362</v>
      </c>
      <c r="N62" s="358">
        <v>51.083660457520693</v>
      </c>
      <c r="O62" s="358">
        <v>51.238510464933761</v>
      </c>
      <c r="P62" s="304"/>
      <c r="W62" s="203"/>
      <c r="X62" s="211"/>
      <c r="Y62" s="211"/>
      <c r="Z62" s="211"/>
      <c r="AA62" s="211"/>
      <c r="AB62" s="211"/>
      <c r="AC62" s="211"/>
      <c r="AD62" s="211"/>
      <c r="AE62" s="211"/>
    </row>
    <row r="63" spans="3:31" ht="13">
      <c r="C63" s="302"/>
      <c r="E63" s="205" t="s">
        <v>105</v>
      </c>
      <c r="F63" s="206"/>
      <c r="G63" s="205"/>
      <c r="H63" s="345">
        <v>0.10859106529209619</v>
      </c>
      <c r="I63" s="345">
        <v>0.12061467091910694</v>
      </c>
      <c r="J63" s="345">
        <v>0.1527190757959988</v>
      </c>
      <c r="K63" s="345">
        <v>0.14600913152070721</v>
      </c>
      <c r="L63" s="345">
        <v>0.13866191005826492</v>
      </c>
      <c r="M63" s="345">
        <v>0.13104212821114214</v>
      </c>
      <c r="N63" s="345">
        <v>0.12788720957066771</v>
      </c>
      <c r="O63" s="345">
        <v>0.12453871294959644</v>
      </c>
      <c r="P63" s="304"/>
      <c r="W63" s="203"/>
      <c r="X63" s="211"/>
      <c r="Y63" s="211"/>
      <c r="Z63" s="211"/>
      <c r="AA63" s="211"/>
      <c r="AB63" s="211"/>
      <c r="AC63" s="211"/>
      <c r="AD63" s="211"/>
      <c r="AE63" s="211"/>
    </row>
    <row r="64" spans="3:31" ht="13">
      <c r="C64" s="302"/>
      <c r="E64" s="205" t="s">
        <v>104</v>
      </c>
      <c r="F64" s="206"/>
      <c r="G64" s="205"/>
      <c r="H64" s="347"/>
      <c r="I64" s="345">
        <v>0.31645569620253133</v>
      </c>
      <c r="J64" s="345">
        <v>0.30288461538461542</v>
      </c>
      <c r="K64" s="345">
        <v>-1.5254612546125812E-2</v>
      </c>
      <c r="L64" s="345">
        <v>-2.1829896031141716E-2</v>
      </c>
      <c r="M64" s="345">
        <v>-2.6600801901824345E-2</v>
      </c>
      <c r="N64" s="345">
        <v>5.202125880825248E-3</v>
      </c>
      <c r="O64" s="345">
        <v>3.0313021037682297E-3</v>
      </c>
      <c r="P64" s="304"/>
      <c r="W64" s="203"/>
      <c r="X64" s="211"/>
      <c r="Y64" s="211"/>
      <c r="Z64" s="211"/>
      <c r="AA64" s="211"/>
      <c r="AB64" s="211"/>
      <c r="AC64" s="211"/>
      <c r="AD64" s="211"/>
      <c r="AE64" s="211"/>
    </row>
    <row r="65" spans="2:31" ht="4" customHeight="1">
      <c r="C65" s="306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9"/>
      <c r="X65" s="211"/>
      <c r="Y65" s="211"/>
      <c r="Z65" s="211"/>
      <c r="AA65" s="211"/>
      <c r="AB65" s="211"/>
      <c r="AC65" s="211"/>
      <c r="AD65" s="211"/>
      <c r="AE65" s="211"/>
    </row>
    <row r="66" spans="2:31" ht="12" customHeight="1"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X66" s="211"/>
      <c r="Y66" s="211"/>
      <c r="Z66" s="211"/>
      <c r="AA66" s="211"/>
      <c r="AB66" s="211"/>
      <c r="AC66" s="211"/>
      <c r="AD66" s="211"/>
      <c r="AE66" s="211"/>
    </row>
  </sheetData>
  <printOptions horizontalCentered="1"/>
  <pageMargins left="0.25" right="0.25" top="0.35" bottom="0.5" header="0.25" footer="0.25"/>
  <pageSetup scale="85" orientation="landscape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65"/>
  <sheetViews>
    <sheetView showGridLines="0" zoomScaleNormal="100" zoomScaleSheetLayoutView="100" workbookViewId="0">
      <selection activeCell="S12" sqref="S12"/>
    </sheetView>
  </sheetViews>
  <sheetFormatPr defaultColWidth="8.81640625" defaultRowHeight="12.5"/>
  <cols>
    <col min="1" max="1" width="2.54296875" customWidth="1"/>
    <col min="2" max="2" width="5.54296875" customWidth="1"/>
    <col min="3" max="3" width="2.1796875" customWidth="1"/>
    <col min="4" max="4" width="13.453125" customWidth="1"/>
    <col min="5" max="14" width="10.453125" customWidth="1"/>
    <col min="15" max="15" width="5.54296875" customWidth="1"/>
  </cols>
  <sheetData>
    <row r="1" spans="2:17" ht="22.5" customHeight="1">
      <c r="B1" s="1" t="str">
        <f>Cover!B4</f>
        <v>Asian Paints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4" t="s">
        <v>78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259"/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2:17" ht="12" customHeight="1"/>
    <row r="5" spans="2:17" ht="16" customHeight="1">
      <c r="C5" s="268" t="s">
        <v>61</v>
      </c>
      <c r="D5" s="269"/>
      <c r="E5" s="269"/>
      <c r="F5" s="269"/>
      <c r="G5" s="269"/>
      <c r="H5" s="270"/>
      <c r="J5" s="268" t="s">
        <v>86</v>
      </c>
      <c r="K5" s="269"/>
      <c r="L5" s="269"/>
      <c r="M5" s="269"/>
      <c r="N5" s="270"/>
    </row>
    <row r="6" spans="2:17" ht="3" customHeight="1">
      <c r="C6" s="278"/>
      <c r="D6" s="279"/>
      <c r="E6" s="279"/>
      <c r="F6" s="279"/>
      <c r="G6" s="279"/>
      <c r="H6" s="280"/>
      <c r="J6" s="278"/>
      <c r="K6" s="279"/>
      <c r="L6" s="279"/>
      <c r="M6" s="279"/>
      <c r="N6" s="280"/>
    </row>
    <row r="7" spans="2:17" ht="3" customHeight="1">
      <c r="C7" s="286"/>
      <c r="D7" s="287"/>
      <c r="E7" s="287"/>
      <c r="F7" s="287"/>
      <c r="G7" s="287"/>
      <c r="H7" s="288"/>
      <c r="J7" s="286"/>
      <c r="K7" s="287"/>
      <c r="L7" s="287"/>
      <c r="M7" s="287"/>
      <c r="N7" s="288"/>
    </row>
    <row r="8" spans="2:17" ht="14.15" customHeight="1">
      <c r="C8" s="223" t="s">
        <v>60</v>
      </c>
      <c r="D8" s="14" t="s">
        <v>100</v>
      </c>
      <c r="G8" s="318">
        <v>2025</v>
      </c>
      <c r="H8" s="224"/>
      <c r="J8" s="229" t="str">
        <f ca="1">"Stock Price - "&amp;TEXT(TODAY()-1,"DD/MM/yy")</f>
        <v>Stock Price - 07/03/25</v>
      </c>
      <c r="K8" s="7"/>
      <c r="M8" s="8"/>
      <c r="N8" s="434">
        <v>2179</v>
      </c>
      <c r="Q8" s="9"/>
    </row>
    <row r="9" spans="2:17" ht="14.15" customHeight="1">
      <c r="C9" s="223"/>
      <c r="D9" s="14"/>
      <c r="G9" s="471"/>
      <c r="H9" s="224"/>
      <c r="J9" s="229" t="s">
        <v>191</v>
      </c>
      <c r="K9" s="7"/>
      <c r="M9" s="8"/>
      <c r="N9" s="472">
        <v>45</v>
      </c>
      <c r="Q9" s="9"/>
    </row>
    <row r="10" spans="2:17" ht="14.15" customHeight="1">
      <c r="C10" s="223" t="s">
        <v>60</v>
      </c>
      <c r="D10" s="10" t="s">
        <v>147</v>
      </c>
      <c r="H10" s="224"/>
      <c r="J10" s="481" t="s">
        <v>192</v>
      </c>
      <c r="K10" s="482"/>
      <c r="N10" s="483">
        <v>0.95899999999999996</v>
      </c>
    </row>
    <row r="11" spans="2:17" ht="14.15" customHeight="1">
      <c r="C11" s="223"/>
      <c r="D11" s="10"/>
      <c r="H11" s="224"/>
      <c r="J11" s="481"/>
      <c r="K11" s="482"/>
      <c r="L11" t="s">
        <v>150</v>
      </c>
      <c r="N11" s="483"/>
    </row>
    <row r="12" spans="2:17" ht="14.15" customHeight="1">
      <c r="C12" s="225"/>
      <c r="D12" s="226"/>
      <c r="E12" s="227"/>
      <c r="F12" s="227"/>
      <c r="G12" s="227"/>
      <c r="H12" s="228"/>
      <c r="J12" s="230" t="s">
        <v>87</v>
      </c>
      <c r="K12" s="227"/>
      <c r="L12" s="227"/>
      <c r="M12" s="231"/>
      <c r="N12" s="435">
        <v>0.65</v>
      </c>
    </row>
    <row r="13" spans="2:17" ht="14.15" customHeight="1">
      <c r="M13" s="8"/>
      <c r="N13" s="222"/>
    </row>
    <row r="14" spans="2:17" ht="6" customHeight="1">
      <c r="C14" s="13"/>
      <c r="D14" s="13"/>
      <c r="E14" s="13"/>
      <c r="F14" s="13"/>
      <c r="G14" s="13"/>
      <c r="H14" s="13"/>
    </row>
    <row r="15" spans="2:17" s="13" customFormat="1" ht="16" customHeight="1">
      <c r="C15" s="268" t="s">
        <v>63</v>
      </c>
      <c r="D15" s="271"/>
      <c r="E15" s="271"/>
      <c r="F15" s="271"/>
      <c r="G15" s="271"/>
      <c r="H15" s="272"/>
      <c r="J15" s="268" t="s">
        <v>125</v>
      </c>
      <c r="K15" s="269"/>
      <c r="L15" s="269"/>
      <c r="M15" s="269"/>
      <c r="N15" s="270"/>
    </row>
    <row r="16" spans="2:17" ht="3" customHeight="1">
      <c r="C16" s="278"/>
      <c r="D16" s="279"/>
      <c r="E16" s="279"/>
      <c r="F16" s="279"/>
      <c r="G16" s="279"/>
      <c r="H16" s="280"/>
      <c r="J16" s="278"/>
      <c r="K16" s="279"/>
      <c r="L16" s="279"/>
      <c r="M16" s="279"/>
      <c r="N16" s="280"/>
    </row>
    <row r="17" spans="2:15" ht="3" customHeight="1">
      <c r="C17" s="286"/>
      <c r="D17" s="287"/>
      <c r="E17" s="287"/>
      <c r="F17" s="287"/>
      <c r="G17" s="287"/>
      <c r="H17" s="288"/>
      <c r="J17" s="286"/>
      <c r="K17" s="287"/>
      <c r="L17" s="287"/>
      <c r="M17" s="287"/>
      <c r="N17" s="288"/>
    </row>
    <row r="18" spans="2:15" ht="15.65" customHeight="1">
      <c r="C18" s="223" t="s">
        <v>60</v>
      </c>
      <c r="D18" s="10" t="s">
        <v>107</v>
      </c>
      <c r="H18" s="239" t="s">
        <v>64</v>
      </c>
      <c r="J18" s="235" t="s">
        <v>131</v>
      </c>
      <c r="M18" s="18"/>
      <c r="N18" s="432">
        <v>0.06</v>
      </c>
    </row>
    <row r="19" spans="2:15" ht="14.15" customHeight="1">
      <c r="C19" s="223" t="s">
        <v>60</v>
      </c>
      <c r="D19" s="19" t="s">
        <v>108</v>
      </c>
      <c r="H19" s="319">
        <v>10</v>
      </c>
      <c r="J19" s="236" t="s">
        <v>130</v>
      </c>
      <c r="N19" s="432">
        <v>0.12</v>
      </c>
    </row>
    <row r="20" spans="2:15" ht="14.15" customHeight="1">
      <c r="C20" s="225" t="s">
        <v>60</v>
      </c>
      <c r="D20" s="240" t="s">
        <v>109</v>
      </c>
      <c r="E20" s="227"/>
      <c r="F20" s="227"/>
      <c r="G20" s="227"/>
      <c r="H20" s="320">
        <v>15</v>
      </c>
      <c r="J20" s="229"/>
      <c r="N20" s="224"/>
    </row>
    <row r="21" spans="2:15" ht="15.65" customHeight="1">
      <c r="J21" s="363"/>
      <c r="K21" s="363"/>
      <c r="L21" s="363"/>
      <c r="M21" s="363"/>
      <c r="N21" s="363"/>
    </row>
    <row r="22" spans="2:15" ht="14" customHeight="1">
      <c r="J22" s="268" t="s">
        <v>62</v>
      </c>
      <c r="K22" s="271"/>
      <c r="L22" s="271"/>
      <c r="M22" s="271"/>
      <c r="N22" s="272"/>
    </row>
    <row r="23" spans="2:15" ht="3" customHeight="1">
      <c r="J23" s="278"/>
      <c r="K23" s="279"/>
      <c r="L23" s="279"/>
      <c r="M23" s="279"/>
      <c r="N23" s="280"/>
    </row>
    <row r="24" spans="2:15" ht="3" customHeight="1">
      <c r="J24" s="286"/>
      <c r="K24" s="287"/>
      <c r="L24" s="287"/>
      <c r="M24" s="287"/>
      <c r="N24" s="288"/>
    </row>
    <row r="25" spans="2:15" ht="14" customHeight="1">
      <c r="J25" s="232" t="s">
        <v>128</v>
      </c>
      <c r="N25" s="433">
        <v>0.25</v>
      </c>
    </row>
    <row r="26" spans="2:15" s="13" customFormat="1" ht="16" customHeight="1">
      <c r="B26"/>
      <c r="C26"/>
      <c r="D26"/>
      <c r="E26"/>
      <c r="F26"/>
      <c r="G26"/>
      <c r="H26"/>
      <c r="J26" s="474"/>
      <c r="N26" s="475"/>
    </row>
    <row r="27" spans="2:15" ht="14.5" customHeight="1">
      <c r="J27" s="237" t="s">
        <v>129</v>
      </c>
      <c r="K27" s="227"/>
      <c r="L27" s="227"/>
      <c r="M27" s="227"/>
      <c r="N27" s="238"/>
    </row>
    <row r="28" spans="2:15" ht="9" customHeight="1"/>
    <row r="29" spans="2:15" ht="14.15" customHeight="1"/>
    <row r="30" spans="2:15" ht="14.15" customHeight="1"/>
    <row r="31" spans="2:15" ht="14.15" customHeight="1"/>
    <row r="32" spans="2:15" ht="15" customHeight="1">
      <c r="B32" s="11"/>
      <c r="C32" s="11"/>
      <c r="D32" s="20"/>
      <c r="E32" s="15"/>
      <c r="F32" s="15"/>
      <c r="G32" s="15"/>
      <c r="H32" s="15"/>
      <c r="I32" s="11"/>
      <c r="J32" s="11"/>
      <c r="K32" s="11"/>
      <c r="L32" s="11"/>
      <c r="M32" s="11"/>
      <c r="N32" s="11"/>
      <c r="O32" s="11"/>
    </row>
    <row r="33" spans="2:17" ht="14.15" customHeight="1">
      <c r="C33" s="21"/>
      <c r="D33" s="19"/>
      <c r="H33" s="22"/>
    </row>
    <row r="34" spans="2:17" ht="14.15" customHeight="1">
      <c r="C34" s="21"/>
      <c r="J34" s="23"/>
    </row>
    <row r="35" spans="2:17" ht="22.5" customHeight="1">
      <c r="B35" s="1" t="str">
        <f>Summary!B1</f>
        <v>Asian Paints</v>
      </c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7" ht="18.75" customHeight="1">
      <c r="B36" s="4" t="s">
        <v>78</v>
      </c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7" ht="3" customHeight="1" thickBot="1">
      <c r="B37" s="259"/>
      <c r="C37" s="259"/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</row>
    <row r="38" spans="2:17" ht="12" customHeight="1">
      <c r="C38" s="21"/>
      <c r="J38" s="23"/>
    </row>
    <row r="39" spans="2:17" s="13" customFormat="1" ht="16" customHeight="1">
      <c r="C39" s="268" t="s">
        <v>110</v>
      </c>
      <c r="D39" s="271"/>
      <c r="E39" s="271"/>
      <c r="F39" s="271"/>
      <c r="G39" s="271"/>
      <c r="H39" s="271"/>
      <c r="I39" s="271"/>
      <c r="J39" s="281">
        <f>G8</f>
        <v>2025</v>
      </c>
      <c r="K39" s="281">
        <f>J39+1</f>
        <v>2026</v>
      </c>
      <c r="L39" s="281">
        <f>K39+1</f>
        <v>2027</v>
      </c>
      <c r="M39" s="281">
        <f>L39+1</f>
        <v>2028</v>
      </c>
      <c r="N39" s="273">
        <f>M39+1</f>
        <v>2029</v>
      </c>
      <c r="Q39" s="241"/>
    </row>
    <row r="40" spans="2:17" s="13" customFormat="1" ht="3" customHeight="1">
      <c r="C40" s="278"/>
      <c r="D40" s="279"/>
      <c r="E40" s="279"/>
      <c r="F40" s="279"/>
      <c r="G40" s="279"/>
      <c r="H40" s="280"/>
      <c r="I40" s="280"/>
      <c r="J40" s="280"/>
      <c r="K40" s="280"/>
      <c r="L40" s="280"/>
      <c r="M40" s="280"/>
      <c r="N40" s="280"/>
      <c r="Q40" s="241"/>
    </row>
    <row r="41" spans="2:17" s="13" customFormat="1" ht="3" customHeight="1">
      <c r="C41" s="286"/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8"/>
      <c r="Q41" s="241"/>
    </row>
    <row r="42" spans="2:17" ht="8.15" customHeight="1">
      <c r="C42" s="229"/>
      <c r="L42" s="23"/>
      <c r="N42" s="224"/>
    </row>
    <row r="43" spans="2:17" ht="14.15" customHeight="1">
      <c r="C43" s="242" t="s">
        <v>37</v>
      </c>
      <c r="J43" s="351"/>
      <c r="K43" s="351"/>
      <c r="L43" s="351"/>
      <c r="M43" s="351"/>
      <c r="N43" s="352"/>
      <c r="Q43" s="24"/>
    </row>
    <row r="44" spans="2:17" ht="14.15" customHeight="1">
      <c r="C44" s="242"/>
      <c r="D44" t="s">
        <v>114</v>
      </c>
      <c r="G44" t="s">
        <v>148</v>
      </c>
      <c r="J44" s="460">
        <v>0</v>
      </c>
      <c r="K44" s="460">
        <v>0</v>
      </c>
      <c r="L44" s="460">
        <v>0</v>
      </c>
      <c r="M44" s="460">
        <v>0</v>
      </c>
      <c r="N44" s="467">
        <v>0</v>
      </c>
    </row>
    <row r="45" spans="2:17" ht="6" customHeight="1">
      <c r="C45" s="229"/>
      <c r="J45" s="457"/>
      <c r="K45" s="457"/>
      <c r="L45" s="468"/>
      <c r="M45" s="457"/>
      <c r="N45" s="469"/>
    </row>
    <row r="46" spans="2:17" ht="14.15" customHeight="1">
      <c r="C46" s="242" t="s">
        <v>72</v>
      </c>
      <c r="G46" t="s">
        <v>148</v>
      </c>
      <c r="J46" s="460">
        <v>16</v>
      </c>
      <c r="K46" s="460">
        <v>17</v>
      </c>
      <c r="L46" s="460">
        <v>17.3</v>
      </c>
      <c r="M46" s="460">
        <v>17.5</v>
      </c>
      <c r="N46" s="467">
        <v>18</v>
      </c>
      <c r="Q46" s="24"/>
    </row>
    <row r="47" spans="2:17" ht="6" customHeight="1">
      <c r="C47" s="229"/>
      <c r="J47" s="457"/>
      <c r="K47" s="457"/>
      <c r="L47" s="468"/>
      <c r="M47" s="457"/>
      <c r="N47" s="469"/>
    </row>
    <row r="48" spans="2:17" ht="14.25" customHeight="1">
      <c r="C48" s="242" t="s">
        <v>117</v>
      </c>
      <c r="J48" s="457"/>
      <c r="K48" s="457"/>
      <c r="L48" s="468"/>
      <c r="M48" s="457"/>
      <c r="N48" s="469"/>
    </row>
    <row r="49" spans="2:15" ht="14.25" customHeight="1">
      <c r="C49" s="229"/>
      <c r="D49" t="s">
        <v>121</v>
      </c>
      <c r="G49" t="s">
        <v>148</v>
      </c>
      <c r="J49" s="460">
        <v>5</v>
      </c>
      <c r="K49" s="460">
        <v>5</v>
      </c>
      <c r="L49" s="460">
        <v>5</v>
      </c>
      <c r="M49" s="460">
        <v>5</v>
      </c>
      <c r="N49" s="467">
        <v>5</v>
      </c>
    </row>
    <row r="50" spans="2:15" ht="6" customHeight="1">
      <c r="C50" s="229"/>
      <c r="J50" s="457"/>
      <c r="K50" s="457"/>
      <c r="L50" s="468"/>
      <c r="M50" s="457"/>
      <c r="N50" s="469"/>
    </row>
    <row r="51" spans="2:15" ht="14.25" customHeight="1">
      <c r="C51" s="242" t="s">
        <v>111</v>
      </c>
      <c r="J51" s="457"/>
      <c r="K51" s="457"/>
      <c r="L51" s="468"/>
      <c r="M51" s="457"/>
      <c r="N51" s="469"/>
    </row>
    <row r="52" spans="2:15" ht="14.15" customHeight="1">
      <c r="C52" s="229"/>
      <c r="D52" t="s">
        <v>11</v>
      </c>
      <c r="G52" t="s">
        <v>112</v>
      </c>
      <c r="J52" s="460">
        <v>50</v>
      </c>
      <c r="K52" s="460">
        <v>50</v>
      </c>
      <c r="L52" s="460">
        <v>45</v>
      </c>
      <c r="M52" s="460">
        <v>45</v>
      </c>
      <c r="N52" s="467">
        <v>45</v>
      </c>
    </row>
    <row r="53" spans="2:15" ht="14.15" customHeight="1">
      <c r="C53" s="234"/>
      <c r="D53" t="s">
        <v>25</v>
      </c>
      <c r="G53" t="s">
        <v>112</v>
      </c>
      <c r="J53" s="460">
        <v>100</v>
      </c>
      <c r="K53" s="460">
        <v>90</v>
      </c>
      <c r="L53" s="460">
        <v>90</v>
      </c>
      <c r="M53" s="460">
        <v>80</v>
      </c>
      <c r="N53" s="467">
        <v>80</v>
      </c>
    </row>
    <row r="54" spans="2:15" ht="14.15" customHeight="1">
      <c r="C54" s="234"/>
      <c r="D54" t="s">
        <v>115</v>
      </c>
      <c r="G54" t="s">
        <v>112</v>
      </c>
      <c r="J54" s="460">
        <v>50</v>
      </c>
      <c r="K54" s="460">
        <v>50</v>
      </c>
      <c r="L54" s="460">
        <v>45</v>
      </c>
      <c r="M54" s="460">
        <v>45</v>
      </c>
      <c r="N54" s="467">
        <v>45</v>
      </c>
    </row>
    <row r="55" spans="2:15" ht="14.15" customHeight="1">
      <c r="C55" s="223"/>
      <c r="D55" t="s">
        <v>17</v>
      </c>
      <c r="G55" t="s">
        <v>112</v>
      </c>
      <c r="J55" s="460">
        <v>65</v>
      </c>
      <c r="K55" s="460">
        <v>65</v>
      </c>
      <c r="L55" s="460">
        <v>65</v>
      </c>
      <c r="M55" s="460">
        <v>65</v>
      </c>
      <c r="N55" s="467">
        <v>65</v>
      </c>
    </row>
    <row r="56" spans="2:15" ht="14.15" customHeight="1">
      <c r="C56" s="223"/>
      <c r="D56" t="s">
        <v>116</v>
      </c>
      <c r="G56" t="s">
        <v>112</v>
      </c>
      <c r="J56" s="460">
        <v>80</v>
      </c>
      <c r="K56" s="460">
        <v>80</v>
      </c>
      <c r="L56" s="460">
        <v>80</v>
      </c>
      <c r="M56" s="460">
        <v>80</v>
      </c>
      <c r="N56" s="467">
        <v>80</v>
      </c>
    </row>
    <row r="57" spans="2:15" ht="6" customHeight="1">
      <c r="C57" s="223"/>
      <c r="J57" s="457"/>
      <c r="K57" s="457"/>
      <c r="L57" s="457"/>
      <c r="M57" s="457"/>
      <c r="N57" s="469"/>
    </row>
    <row r="58" spans="2:15" ht="14.15" customHeight="1">
      <c r="C58" s="243" t="s">
        <v>113</v>
      </c>
      <c r="J58" s="457"/>
      <c r="K58" s="457"/>
      <c r="L58" s="457"/>
      <c r="M58" s="457"/>
      <c r="N58" s="469"/>
    </row>
    <row r="59" spans="2:15" ht="14.15" customHeight="1">
      <c r="C59" s="233"/>
      <c r="D59" t="s">
        <v>127</v>
      </c>
      <c r="G59" t="s">
        <v>148</v>
      </c>
      <c r="J59" s="476">
        <v>-4</v>
      </c>
      <c r="K59" s="476">
        <v>-4</v>
      </c>
      <c r="L59" s="476">
        <v>-4</v>
      </c>
      <c r="M59" s="476">
        <v>-4</v>
      </c>
      <c r="N59" s="477">
        <v>-4</v>
      </c>
    </row>
    <row r="60" spans="2:15" ht="14.15" customHeight="1">
      <c r="C60" s="223"/>
      <c r="D60" t="s">
        <v>88</v>
      </c>
      <c r="G60" t="s">
        <v>148</v>
      </c>
      <c r="J60" s="460">
        <v>0</v>
      </c>
      <c r="K60" s="460">
        <v>0</v>
      </c>
      <c r="L60" s="460">
        <v>0</v>
      </c>
      <c r="M60" s="460">
        <v>0</v>
      </c>
      <c r="N60" s="467">
        <v>0</v>
      </c>
    </row>
    <row r="61" spans="2:15" ht="12" customHeight="1">
      <c r="C61" s="225"/>
      <c r="D61" s="227"/>
      <c r="E61" s="227"/>
      <c r="F61" s="227"/>
      <c r="G61" s="227"/>
      <c r="H61" s="227"/>
      <c r="I61" s="227"/>
      <c r="J61" s="244"/>
      <c r="K61" s="244"/>
      <c r="L61" s="244"/>
      <c r="M61" s="244"/>
      <c r="N61" s="245"/>
    </row>
    <row r="62" spans="2:15" ht="9" customHeight="1">
      <c r="B62" s="11"/>
      <c r="C62" s="11"/>
      <c r="D62" s="20"/>
      <c r="E62" s="15"/>
      <c r="F62" s="15"/>
      <c r="G62" s="15"/>
      <c r="H62" s="15"/>
      <c r="I62" s="11"/>
      <c r="J62" s="11"/>
      <c r="K62" s="11"/>
      <c r="L62" s="11"/>
      <c r="M62" s="11"/>
      <c r="N62" s="11"/>
      <c r="O62" s="11"/>
    </row>
    <row r="63" spans="2:15" ht="12.75" customHeight="1">
      <c r="D63" s="27"/>
      <c r="E63" s="3"/>
      <c r="F63" s="3"/>
      <c r="G63" s="3"/>
      <c r="H63" s="3"/>
    </row>
    <row r="64" spans="2:15">
      <c r="D64" s="23"/>
    </row>
    <row r="65" spans="4:4">
      <c r="D65" s="23"/>
    </row>
  </sheetData>
  <sheetProtection formatCells="0" formatColumns="0" formatRows="0" insertColumns="0" insertRows="0"/>
  <mergeCells count="2">
    <mergeCell ref="J10:K11"/>
    <mergeCell ref="N10:N11"/>
  </mergeCells>
  <phoneticPr fontId="0" type="noConversion"/>
  <conditionalFormatting sqref="J336:N340">
    <cfRule type="cellIs" dxfId="1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26"/>
  <sheetViews>
    <sheetView showGridLines="0" zoomScale="110" zoomScaleNormal="110" zoomScaleSheetLayoutView="100" workbookViewId="0">
      <selection activeCell="M22" sqref="M22"/>
    </sheetView>
  </sheetViews>
  <sheetFormatPr defaultColWidth="10.54296875" defaultRowHeight="12.5"/>
  <cols>
    <col min="1" max="1" width="4.26953125" style="31" bestFit="1" customWidth="1"/>
    <col min="2" max="2" width="1.54296875" style="31" customWidth="1"/>
    <col min="3" max="3" width="18.54296875" style="31" customWidth="1"/>
    <col min="4" max="4" width="11.54296875" style="52" customWidth="1"/>
    <col min="5" max="5" width="1.54296875" style="52" customWidth="1"/>
    <col min="6" max="6" width="6.7265625" style="31" customWidth="1"/>
    <col min="7" max="11" width="12.7265625" style="31" customWidth="1"/>
    <col min="12" max="12" width="13.54296875" style="31" customWidth="1"/>
    <col min="13" max="13" width="10.453125" style="31" customWidth="1"/>
    <col min="14" max="17" width="13.54296875" style="31" customWidth="1"/>
    <col min="18" max="16384" width="10.54296875" style="31"/>
  </cols>
  <sheetData>
    <row r="1" spans="1:11" s="28" customFormat="1" ht="22.75" customHeight="1">
      <c r="B1" s="29" t="str">
        <f>Assumptions!B1</f>
        <v>Asian Paints</v>
      </c>
      <c r="C1" s="30"/>
      <c r="D1" s="30"/>
      <c r="E1" s="30"/>
      <c r="F1" s="30"/>
      <c r="G1" s="30"/>
      <c r="H1" s="30"/>
      <c r="I1" s="30"/>
      <c r="J1" s="30"/>
      <c r="K1" s="30"/>
    </row>
    <row r="2" spans="1:11" ht="18">
      <c r="B2" s="32" t="s">
        <v>146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ht="3" customHeight="1" thickBot="1">
      <c r="B3" s="257"/>
      <c r="C3" s="257"/>
      <c r="D3" s="258"/>
      <c r="E3" s="258"/>
      <c r="F3" s="257"/>
      <c r="G3" s="257"/>
      <c r="H3" s="257"/>
      <c r="I3" s="257"/>
      <c r="J3" s="257"/>
      <c r="K3" s="257"/>
    </row>
    <row r="4" spans="1:11" ht="12.75" customHeight="1">
      <c r="C4" s="33"/>
      <c r="D4" s="34"/>
      <c r="E4" s="34"/>
      <c r="F4" s="33"/>
    </row>
    <row r="5" spans="1:11" ht="6" customHeight="1">
      <c r="B5" s="35"/>
      <c r="C5" s="36"/>
      <c r="D5" s="37"/>
      <c r="E5" s="38"/>
      <c r="G5" s="39"/>
      <c r="H5" s="39"/>
      <c r="I5" s="39"/>
      <c r="J5" s="39"/>
      <c r="K5" s="39"/>
    </row>
    <row r="6" spans="1:11" ht="16.149999999999999" customHeight="1">
      <c r="B6" s="40" t="s">
        <v>71</v>
      </c>
      <c r="C6" s="41"/>
      <c r="D6" s="71">
        <v>1</v>
      </c>
      <c r="E6" s="42"/>
      <c r="F6" s="41"/>
      <c r="G6" s="250">
        <f>Assumptions!G8</f>
        <v>2025</v>
      </c>
      <c r="H6" s="250">
        <f>G6+1</f>
        <v>2026</v>
      </c>
      <c r="I6" s="250">
        <f>H6+1</f>
        <v>2027</v>
      </c>
      <c r="J6" s="250">
        <f>I6+1</f>
        <v>2028</v>
      </c>
      <c r="K6" s="250">
        <f>J6+1</f>
        <v>2029</v>
      </c>
    </row>
    <row r="7" spans="1:11" ht="6" customHeight="1">
      <c r="B7" s="44"/>
      <c r="C7" s="45"/>
      <c r="D7" s="46"/>
      <c r="E7" s="47"/>
      <c r="F7" s="41"/>
      <c r="G7" s="43"/>
      <c r="H7" s="43"/>
      <c r="I7" s="48"/>
      <c r="J7" s="48"/>
      <c r="K7" s="43"/>
    </row>
    <row r="8" spans="1:11" ht="13">
      <c r="B8" s="41"/>
      <c r="C8" s="41"/>
      <c r="D8" s="49"/>
      <c r="E8" s="49"/>
      <c r="F8" s="41"/>
      <c r="G8" s="43"/>
      <c r="H8" s="43"/>
      <c r="I8" s="48"/>
      <c r="J8" s="48"/>
      <c r="K8" s="43"/>
    </row>
    <row r="9" spans="1:11" ht="13">
      <c r="B9" s="41"/>
      <c r="C9" s="41"/>
      <c r="D9" s="49"/>
      <c r="E9" s="49"/>
      <c r="F9" s="41"/>
      <c r="G9" s="43"/>
      <c r="H9" s="43"/>
      <c r="I9" s="48"/>
      <c r="J9" s="48"/>
      <c r="K9" s="43"/>
    </row>
    <row r="10" spans="1:11" ht="15.5">
      <c r="A10" s="50"/>
      <c r="B10" s="51" t="s">
        <v>65</v>
      </c>
    </row>
    <row r="11" spans="1:11" ht="12.75" customHeight="1"/>
    <row r="12" spans="1:11" ht="16.149999999999999" customHeight="1">
      <c r="B12" s="53" t="s">
        <v>138</v>
      </c>
      <c r="D12" s="54"/>
      <c r="E12" s="54"/>
      <c r="G12" s="321">
        <f>CHOOSE($D$6,G14,G15,G16)</f>
        <v>0.03</v>
      </c>
      <c r="H12" s="322">
        <f t="shared" ref="H12:K12" si="0">CHOOSE($D$6,H14,H15,H16)</f>
        <v>0.04</v>
      </c>
      <c r="I12" s="322">
        <f t="shared" si="0"/>
        <v>0.05</v>
      </c>
      <c r="J12" s="322">
        <f t="shared" si="0"/>
        <v>0.05</v>
      </c>
      <c r="K12" s="323">
        <f t="shared" si="0"/>
        <v>0.05</v>
      </c>
    </row>
    <row r="13" spans="1:11" ht="4.4000000000000004" customHeight="1">
      <c r="B13" s="55"/>
      <c r="D13" s="54"/>
      <c r="E13" s="54"/>
      <c r="G13" s="56"/>
      <c r="H13" s="57"/>
      <c r="I13" s="57"/>
      <c r="J13" s="57"/>
      <c r="K13" s="57"/>
    </row>
    <row r="14" spans="1:11" ht="13">
      <c r="B14" s="55"/>
      <c r="C14" s="31" t="s">
        <v>44</v>
      </c>
      <c r="D14" s="54"/>
      <c r="E14" s="54"/>
      <c r="G14" s="58">
        <v>0.03</v>
      </c>
      <c r="H14" s="59">
        <v>0.04</v>
      </c>
      <c r="I14" s="59">
        <v>0.05</v>
      </c>
      <c r="J14" s="59">
        <v>0.05</v>
      </c>
      <c r="K14" s="60">
        <v>0.05</v>
      </c>
    </row>
    <row r="15" spans="1:11" ht="13">
      <c r="B15" s="55"/>
      <c r="C15" s="31" t="s">
        <v>45</v>
      </c>
      <c r="D15" s="54"/>
      <c r="E15" s="54"/>
      <c r="G15" s="61">
        <v>0.06</v>
      </c>
      <c r="H15" s="62">
        <v>7.0000000000000007E-2</v>
      </c>
      <c r="I15" s="62">
        <v>0.08</v>
      </c>
      <c r="J15" s="62">
        <v>0.08</v>
      </c>
      <c r="K15" s="63">
        <v>0.08</v>
      </c>
    </row>
    <row r="16" spans="1:11" ht="13">
      <c r="B16" s="55"/>
      <c r="C16" s="31" t="s">
        <v>46</v>
      </c>
      <c r="D16" s="54"/>
      <c r="E16" s="54"/>
      <c r="G16" s="64">
        <v>0.03</v>
      </c>
      <c r="H16" s="65">
        <v>0.03</v>
      </c>
      <c r="I16" s="65">
        <v>0.03</v>
      </c>
      <c r="J16" s="65">
        <v>0.03</v>
      </c>
      <c r="K16" s="66">
        <v>0.03</v>
      </c>
    </row>
    <row r="17" spans="2:12">
      <c r="C17" s="67"/>
      <c r="D17" s="68"/>
      <c r="E17" s="68"/>
      <c r="G17" s="69"/>
      <c r="H17" s="69"/>
      <c r="I17" s="69"/>
      <c r="J17" s="69"/>
      <c r="K17" s="70"/>
    </row>
    <row r="18" spans="2:12" ht="12.75" customHeight="1"/>
    <row r="19" spans="2:12" ht="13">
      <c r="B19" s="53" t="s">
        <v>144</v>
      </c>
      <c r="D19" s="54"/>
      <c r="E19" s="54"/>
      <c r="G19" s="321">
        <f>CHOOSE($D$6,G21,G22,G23)</f>
        <v>0.05</v>
      </c>
      <c r="H19" s="322">
        <f t="shared" ref="H19:K19" si="1">CHOOSE($D$6,H21,H22,H23)</f>
        <v>0.05</v>
      </c>
      <c r="I19" s="322">
        <f t="shared" si="1"/>
        <v>0.05</v>
      </c>
      <c r="J19" s="322">
        <f t="shared" si="1"/>
        <v>0.04</v>
      </c>
      <c r="K19" s="323">
        <f t="shared" si="1"/>
        <v>0.04</v>
      </c>
      <c r="L19" s="72"/>
    </row>
    <row r="20" spans="2:12" ht="13">
      <c r="B20" s="55"/>
      <c r="D20" s="54"/>
      <c r="E20" s="54"/>
      <c r="G20" s="56"/>
      <c r="H20" s="57"/>
      <c r="I20" s="57"/>
      <c r="J20" s="57"/>
      <c r="K20" s="57"/>
    </row>
    <row r="21" spans="2:12" ht="13">
      <c r="B21" s="55"/>
      <c r="C21" s="31" t="str">
        <f>C14</f>
        <v>Base Case</v>
      </c>
      <c r="D21" s="54"/>
      <c r="E21" s="54"/>
      <c r="G21" s="58">
        <v>0.05</v>
      </c>
      <c r="H21" s="59">
        <v>0.05</v>
      </c>
      <c r="I21" s="59">
        <v>0.05</v>
      </c>
      <c r="J21" s="59">
        <v>0.04</v>
      </c>
      <c r="K21" s="60">
        <v>0.04</v>
      </c>
    </row>
    <row r="22" spans="2:12" ht="13">
      <c r="B22" s="55"/>
      <c r="C22" s="31" t="str">
        <f>C15</f>
        <v>Best Case</v>
      </c>
      <c r="D22" s="54"/>
      <c r="E22" s="54"/>
      <c r="G22" s="61">
        <v>0.02</v>
      </c>
      <c r="H22" s="62">
        <v>0.02</v>
      </c>
      <c r="I22" s="62">
        <v>0.02</v>
      </c>
      <c r="J22" s="62">
        <v>0.02</v>
      </c>
      <c r="K22" s="63">
        <v>0.02</v>
      </c>
    </row>
    <row r="23" spans="2:12" ht="13">
      <c r="B23" s="55"/>
      <c r="C23" s="31" t="str">
        <f>C16</f>
        <v>Worst Case</v>
      </c>
      <c r="D23" s="54"/>
      <c r="E23" s="54"/>
      <c r="G23" s="64">
        <v>0.05</v>
      </c>
      <c r="H23" s="65">
        <v>0.05</v>
      </c>
      <c r="I23" s="65">
        <v>0.05</v>
      </c>
      <c r="J23" s="65">
        <v>0.04</v>
      </c>
      <c r="K23" s="66">
        <v>0.04</v>
      </c>
    </row>
    <row r="24" spans="2:12">
      <c r="D24" s="68"/>
      <c r="E24" s="68"/>
      <c r="H24" s="73"/>
    </row>
    <row r="25" spans="2:12">
      <c r="D25" s="68"/>
      <c r="E25" s="68"/>
    </row>
    <row r="26" spans="2:12">
      <c r="G26" s="75"/>
    </row>
  </sheetData>
  <sheetProtection formatCells="0" formatColumns="0" formatRows="0" insertColumns="0" insertRows="0"/>
  <phoneticPr fontId="0" type="noConversion"/>
  <conditionalFormatting sqref="J332:M336">
    <cfRule type="cellIs" dxfId="0" priority="1" stopIfTrue="1" operator="greaterThan">
      <formula>330</formula>
    </cfRule>
  </conditionalFormatting>
  <printOptions horizontalCentered="1"/>
  <pageMargins left="0.25" right="0.25" top="0.33500000000000002" bottom="0.5" header="0.25" footer="0.25"/>
  <pageSetup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2</xdr:col>
                    <xdr:colOff>1174750</xdr:colOff>
                    <xdr:row>4</xdr:row>
                    <xdr:rowOff>50800</xdr:rowOff>
                  </from>
                  <to>
                    <xdr:col>4</xdr:col>
                    <xdr:colOff>69850</xdr:colOff>
                    <xdr:row>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39"/>
  <sheetViews>
    <sheetView showGridLines="0" zoomScaleNormal="100" zoomScaleSheetLayoutView="90" workbookViewId="0">
      <selection activeCell="Q11" sqref="Q11"/>
    </sheetView>
  </sheetViews>
  <sheetFormatPr defaultColWidth="9.453125" defaultRowHeight="12.5"/>
  <cols>
    <col min="1" max="1" width="3.54296875" customWidth="1"/>
    <col min="2" max="2" width="1.81640625" customWidth="1"/>
    <col min="3" max="3" width="2.453125" customWidth="1"/>
    <col min="4" max="4" width="11.453125" customWidth="1"/>
    <col min="5" max="5" width="12.54296875" customWidth="1"/>
    <col min="6" max="6" width="10.453125" style="83" customWidth="1"/>
    <col min="7" max="7" width="1.81640625" customWidth="1"/>
    <col min="8" max="15" width="10.7265625" customWidth="1"/>
    <col min="19" max="19" width="10.08984375" bestFit="1" customWidth="1"/>
    <col min="22" max="22" width="9.54296875" bestFit="1" customWidth="1"/>
    <col min="23" max="23" width="11.36328125" bestFit="1" customWidth="1"/>
  </cols>
  <sheetData>
    <row r="1" spans="1:15" ht="12.75" customHeight="1">
      <c r="A1" s="76"/>
      <c r="B1" s="2"/>
      <c r="C1" s="3"/>
      <c r="D1" s="3"/>
      <c r="E1" s="3"/>
      <c r="F1" s="77"/>
      <c r="G1" s="3"/>
      <c r="H1" s="3"/>
      <c r="I1" s="3"/>
      <c r="J1" s="3"/>
      <c r="K1" s="3"/>
      <c r="L1" s="3"/>
      <c r="M1" s="3"/>
      <c r="N1" s="3"/>
      <c r="O1" s="324" t="str">
        <f>UPPER("Currently Running: "&amp;CHOOSE(Scenarios!$D$6,Scenarios!C14,Scenarios!C15,Scenarios!C16)&amp;" Scenario")</f>
        <v>CURRENTLY RUNNING: BASE CASE SCENARIO</v>
      </c>
    </row>
    <row r="2" spans="1:15" ht="28">
      <c r="A2" s="78"/>
      <c r="B2" s="361" t="str">
        <f>Scenarios!B1</f>
        <v>Asian Paints</v>
      </c>
      <c r="C2" s="3"/>
      <c r="D2" s="3"/>
      <c r="E2" s="3"/>
      <c r="F2" s="77"/>
      <c r="G2" s="3"/>
      <c r="H2" s="3"/>
      <c r="I2" s="3"/>
      <c r="J2" s="3"/>
      <c r="K2" s="3"/>
      <c r="L2" s="3"/>
      <c r="M2" s="3"/>
      <c r="N2" s="3"/>
      <c r="O2" s="3"/>
    </row>
    <row r="3" spans="1:15" ht="8" customHeight="1">
      <c r="A3" s="78"/>
      <c r="B3" s="360"/>
      <c r="C3" s="3"/>
      <c r="D3" s="3"/>
      <c r="E3" s="3"/>
      <c r="F3" s="77"/>
      <c r="G3" s="3"/>
      <c r="H3" s="3"/>
      <c r="I3" s="3"/>
      <c r="J3" s="3"/>
      <c r="K3" s="3"/>
      <c r="L3" s="3"/>
      <c r="M3" s="3"/>
      <c r="N3" s="3"/>
      <c r="O3" s="3"/>
    </row>
    <row r="4" spans="1:15" ht="23">
      <c r="A4" s="79"/>
      <c r="B4" s="362" t="s">
        <v>152</v>
      </c>
      <c r="C4" s="81"/>
      <c r="D4" s="81"/>
      <c r="E4" s="81"/>
      <c r="F4" s="82"/>
      <c r="G4" s="81"/>
      <c r="H4" s="81"/>
      <c r="I4" s="81"/>
      <c r="J4" s="81"/>
      <c r="K4" s="81"/>
      <c r="L4" s="81"/>
      <c r="M4" s="81"/>
      <c r="N4" s="81"/>
      <c r="O4" s="81"/>
    </row>
    <row r="5" spans="1:15" ht="18">
      <c r="A5" s="79"/>
      <c r="B5" s="80"/>
      <c r="C5" s="81"/>
      <c r="D5" s="81"/>
      <c r="E5" s="81"/>
      <c r="F5" s="82"/>
      <c r="G5" s="81"/>
      <c r="H5" s="81"/>
      <c r="I5" s="81"/>
      <c r="J5" s="81"/>
      <c r="K5" s="81"/>
      <c r="L5" s="81"/>
      <c r="M5" s="81"/>
      <c r="N5" s="81"/>
      <c r="O5" s="81"/>
    </row>
    <row r="6" spans="1:15" ht="3" customHeight="1" thickBot="1">
      <c r="A6" s="79"/>
      <c r="B6" s="254"/>
      <c r="C6" s="255"/>
      <c r="D6" s="255"/>
      <c r="E6" s="255"/>
      <c r="F6" s="256"/>
      <c r="G6" s="255"/>
      <c r="H6" s="255"/>
      <c r="I6" s="255"/>
      <c r="J6" s="255"/>
      <c r="K6" s="255"/>
      <c r="L6" s="255"/>
      <c r="M6" s="255"/>
      <c r="N6" s="255"/>
      <c r="O6" s="255"/>
    </row>
    <row r="7" spans="1:15" ht="12.75" customHeight="1">
      <c r="A7" s="80"/>
      <c r="B7" s="81"/>
      <c r="C7" s="81"/>
      <c r="D7" s="81"/>
      <c r="E7" s="81"/>
      <c r="F7" s="82"/>
      <c r="G7" s="81"/>
      <c r="H7" s="81"/>
      <c r="I7" s="81"/>
      <c r="J7" s="81"/>
      <c r="K7" s="81"/>
      <c r="L7" s="81"/>
      <c r="M7" s="81"/>
      <c r="N7" s="81"/>
      <c r="O7" s="81"/>
    </row>
    <row r="8" spans="1:15" ht="23">
      <c r="A8" s="78"/>
      <c r="B8" s="1" t="str">
        <f>B$2</f>
        <v>Asian Paints</v>
      </c>
      <c r="C8" s="3"/>
      <c r="D8" s="3"/>
      <c r="E8" s="3"/>
      <c r="F8" s="77"/>
      <c r="G8" s="3"/>
      <c r="H8" s="3"/>
      <c r="I8" s="3"/>
      <c r="J8" s="3"/>
      <c r="K8" s="3"/>
      <c r="L8" s="3"/>
      <c r="M8" s="3"/>
      <c r="N8" s="3"/>
      <c r="O8" s="3"/>
    </row>
    <row r="9" spans="1:15" ht="18">
      <c r="A9" s="79"/>
      <c r="B9" s="80" t="s">
        <v>30</v>
      </c>
      <c r="C9" s="81"/>
      <c r="D9" s="81"/>
      <c r="E9" s="81"/>
      <c r="F9" s="82"/>
      <c r="G9" s="81"/>
      <c r="H9" s="81"/>
      <c r="I9" s="81"/>
      <c r="J9" s="81"/>
      <c r="K9" s="81"/>
      <c r="L9" s="81"/>
      <c r="M9" s="81"/>
      <c r="N9" s="81"/>
      <c r="O9" s="81"/>
    </row>
    <row r="10" spans="1:15" ht="3" customHeight="1" thickBot="1">
      <c r="A10" s="79"/>
      <c r="B10" s="254"/>
      <c r="C10" s="255"/>
      <c r="D10" s="255"/>
      <c r="E10" s="255"/>
      <c r="F10" s="256"/>
      <c r="G10" s="255"/>
      <c r="H10" s="255"/>
      <c r="I10" s="255"/>
      <c r="J10" s="255"/>
      <c r="K10" s="255"/>
      <c r="L10" s="255"/>
      <c r="M10" s="255"/>
      <c r="N10" s="255"/>
      <c r="O10" s="255"/>
    </row>
    <row r="11" spans="1:15" ht="15" customHeight="1">
      <c r="A11" s="80"/>
      <c r="B11" s="103" t="s">
        <v>143</v>
      </c>
      <c r="C11" s="81"/>
      <c r="D11" s="81"/>
      <c r="E11" s="81"/>
      <c r="F11" s="82"/>
      <c r="G11" s="81"/>
      <c r="H11" s="81"/>
      <c r="I11" s="81"/>
      <c r="J11" s="81"/>
      <c r="K11" s="81"/>
      <c r="L11" s="81"/>
      <c r="M11" s="81"/>
      <c r="N11" s="81"/>
      <c r="O11" s="81"/>
    </row>
    <row r="12" spans="1:15" ht="15" customHeight="1">
      <c r="A12" s="80"/>
      <c r="B12" s="103" t="s">
        <v>193</v>
      </c>
      <c r="C12" s="81"/>
      <c r="D12" s="81"/>
      <c r="E12" s="81"/>
      <c r="F12" s="82"/>
      <c r="G12" s="81"/>
      <c r="H12" s="81"/>
      <c r="I12" s="81"/>
      <c r="J12" s="81"/>
      <c r="K12" s="81"/>
      <c r="L12" s="81"/>
      <c r="M12" s="81"/>
      <c r="N12" s="81"/>
      <c r="O12" s="81"/>
    </row>
    <row r="13" spans="1:15" ht="13">
      <c r="G13" s="84"/>
      <c r="K13" s="85" t="s">
        <v>0</v>
      </c>
      <c r="L13" s="15"/>
      <c r="M13" s="15"/>
      <c r="N13" s="15"/>
      <c r="O13" s="15"/>
    </row>
    <row r="14" spans="1:15" ht="13">
      <c r="G14" s="16"/>
      <c r="H14" s="246">
        <f>I14-1</f>
        <v>2022</v>
      </c>
      <c r="I14" s="246">
        <f>J14-1</f>
        <v>2023</v>
      </c>
      <c r="J14" s="246">
        <f>K14-1</f>
        <v>2024</v>
      </c>
      <c r="K14" s="247">
        <f>Scenarios!G6</f>
        <v>2025</v>
      </c>
      <c r="L14" s="247">
        <f>Scenarios!H6</f>
        <v>2026</v>
      </c>
      <c r="M14" s="247">
        <f>Scenarios!I6</f>
        <v>2027</v>
      </c>
      <c r="N14" s="247">
        <f>Scenarios!J6</f>
        <v>2028</v>
      </c>
      <c r="O14" s="247">
        <f>Scenarios!K6</f>
        <v>2029</v>
      </c>
    </row>
    <row r="15" spans="1:15" ht="6" customHeight="1">
      <c r="G15" s="16"/>
      <c r="H15" s="16"/>
      <c r="I15" s="16"/>
      <c r="J15" s="16"/>
      <c r="K15" s="104"/>
      <c r="L15" s="104"/>
      <c r="M15" s="104"/>
      <c r="N15" s="56"/>
      <c r="O15" s="88"/>
    </row>
    <row r="16" spans="1:15" ht="6" customHeight="1">
      <c r="F16" s="87"/>
      <c r="G16" s="16"/>
      <c r="H16" s="16"/>
      <c r="I16" s="16"/>
      <c r="J16" s="16"/>
      <c r="K16" s="104"/>
      <c r="L16" s="104"/>
      <c r="M16" s="104"/>
      <c r="N16" s="56"/>
      <c r="O16" s="88"/>
    </row>
    <row r="17" spans="1:22" ht="13">
      <c r="C17" s="90" t="s">
        <v>1</v>
      </c>
      <c r="F17" s="91"/>
      <c r="G17" s="16"/>
      <c r="H17" s="365">
        <v>291</v>
      </c>
      <c r="I17" s="365">
        <v>344.9</v>
      </c>
      <c r="J17" s="365">
        <v>354.9</v>
      </c>
      <c r="K17" s="366">
        <f>J17*(1+K18)</f>
        <v>365.54699999999997</v>
      </c>
      <c r="L17" s="366">
        <f t="shared" ref="L17:O17" si="0">K17*(1+L18)</f>
        <v>380.16888</v>
      </c>
      <c r="M17" s="366">
        <f t="shared" si="0"/>
        <v>399.177324</v>
      </c>
      <c r="N17" s="366">
        <f t="shared" si="0"/>
        <v>419.13619020000004</v>
      </c>
      <c r="O17" s="366">
        <f t="shared" si="0"/>
        <v>440.09299971000007</v>
      </c>
    </row>
    <row r="18" spans="1:22" ht="13">
      <c r="C18" s="141" t="s">
        <v>139</v>
      </c>
      <c r="F18" s="91"/>
      <c r="G18" s="16"/>
      <c r="H18" s="367"/>
      <c r="I18" s="367"/>
      <c r="J18" s="367"/>
      <c r="K18" s="348">
        <f>Scenarios!G12</f>
        <v>0.03</v>
      </c>
      <c r="L18" s="348">
        <f>Scenarios!H12</f>
        <v>0.04</v>
      </c>
      <c r="M18" s="348">
        <f>Scenarios!I12</f>
        <v>0.05</v>
      </c>
      <c r="N18" s="348">
        <f>Scenarios!J12</f>
        <v>0.05</v>
      </c>
      <c r="O18" s="348">
        <f>Scenarios!K12</f>
        <v>0.05</v>
      </c>
    </row>
    <row r="19" spans="1:22" ht="13">
      <c r="F19" s="87"/>
      <c r="G19" s="16"/>
      <c r="H19" s="368"/>
      <c r="I19" s="368"/>
      <c r="J19" s="368"/>
      <c r="K19" s="369"/>
      <c r="L19" s="369"/>
      <c r="M19" s="369"/>
      <c r="N19" s="369"/>
      <c r="O19" s="370"/>
    </row>
    <row r="20" spans="1:22" ht="13">
      <c r="C20" s="10" t="s">
        <v>142</v>
      </c>
      <c r="F20" s="91"/>
      <c r="G20" s="16"/>
      <c r="H20" s="371">
        <v>183</v>
      </c>
      <c r="I20" s="371">
        <v>211.6</v>
      </c>
      <c r="J20" s="371">
        <v>200.9</v>
      </c>
      <c r="K20" s="372">
        <f>J20*(1+K21)</f>
        <v>210.94500000000002</v>
      </c>
      <c r="L20" s="372">
        <f t="shared" ref="L20:O20" si="1">K20*(1+L21)</f>
        <v>221.49225000000004</v>
      </c>
      <c r="M20" s="372">
        <f t="shared" si="1"/>
        <v>232.56686250000004</v>
      </c>
      <c r="N20" s="372">
        <f t="shared" si="1"/>
        <v>241.86953700000007</v>
      </c>
      <c r="O20" s="372">
        <f t="shared" si="1"/>
        <v>251.54431848000007</v>
      </c>
      <c r="U20" s="349"/>
      <c r="V20" s="350"/>
    </row>
    <row r="21" spans="1:22" ht="13">
      <c r="C21" s="141" t="s">
        <v>145</v>
      </c>
      <c r="F21" s="91"/>
      <c r="G21" s="16"/>
      <c r="H21" s="371"/>
      <c r="I21" s="371"/>
      <c r="J21" s="371"/>
      <c r="K21" s="348">
        <f>Scenarios!G19</f>
        <v>0.05</v>
      </c>
      <c r="L21" s="348">
        <f>Scenarios!H19</f>
        <v>0.05</v>
      </c>
      <c r="M21" s="348">
        <f>Scenarios!I19</f>
        <v>0.05</v>
      </c>
      <c r="N21" s="348">
        <f>Scenarios!J19</f>
        <v>0.04</v>
      </c>
      <c r="O21" s="348">
        <f>Scenarios!K19</f>
        <v>0.04</v>
      </c>
      <c r="U21" s="349"/>
      <c r="V21" s="350"/>
    </row>
    <row r="22" spans="1:22" ht="13">
      <c r="C22" s="86" t="s">
        <v>136</v>
      </c>
      <c r="F22" s="91"/>
      <c r="G22" s="16"/>
      <c r="H22" s="373">
        <f t="shared" ref="H22:O22" si="2">H17-H20</f>
        <v>108</v>
      </c>
      <c r="I22" s="373">
        <f t="shared" si="2"/>
        <v>133.29999999999998</v>
      </c>
      <c r="J22" s="373">
        <f t="shared" si="2"/>
        <v>153.99999999999997</v>
      </c>
      <c r="K22" s="374">
        <f t="shared" si="2"/>
        <v>154.60199999999995</v>
      </c>
      <c r="L22" s="374">
        <f t="shared" si="2"/>
        <v>158.67662999999996</v>
      </c>
      <c r="M22" s="374">
        <f t="shared" si="2"/>
        <v>166.61046149999996</v>
      </c>
      <c r="N22" s="374">
        <f t="shared" si="2"/>
        <v>177.26665319999998</v>
      </c>
      <c r="O22" s="374">
        <f t="shared" si="2"/>
        <v>188.54868123</v>
      </c>
    </row>
    <row r="23" spans="1:22" ht="13">
      <c r="C23" s="86"/>
      <c r="F23" s="91"/>
      <c r="G23" s="16"/>
      <c r="H23" s="375"/>
      <c r="I23" s="375"/>
      <c r="J23" s="375"/>
      <c r="K23" s="366"/>
      <c r="L23" s="366"/>
      <c r="M23" s="366"/>
      <c r="N23" s="366"/>
      <c r="O23" s="366"/>
    </row>
    <row r="24" spans="1:22" ht="13">
      <c r="A24" s="92"/>
      <c r="C24" s="10" t="s">
        <v>137</v>
      </c>
      <c r="F24" s="87"/>
      <c r="G24" s="16"/>
      <c r="H24" s="371">
        <v>60</v>
      </c>
      <c r="I24" s="371">
        <v>70.7</v>
      </c>
      <c r="J24" s="371">
        <v>78.2</v>
      </c>
      <c r="K24" s="372">
        <f>K25*K17</f>
        <v>80.546000000000006</v>
      </c>
      <c r="L24" s="372">
        <f>L25*L17</f>
        <v>83.767840000000007</v>
      </c>
      <c r="M24" s="372">
        <f>M25*M17</f>
        <v>87.956232000000014</v>
      </c>
      <c r="N24" s="372">
        <f>N25*N17</f>
        <v>92.354043600000026</v>
      </c>
      <c r="O24" s="372">
        <f>O25*O17</f>
        <v>96.971745780000035</v>
      </c>
    </row>
    <row r="25" spans="1:22" ht="13">
      <c r="A25" s="92"/>
      <c r="C25" s="123" t="s">
        <v>141</v>
      </c>
      <c r="F25" s="87"/>
      <c r="G25" s="16"/>
      <c r="H25" s="478">
        <f>H24/H17</f>
        <v>0.20618556701030927</v>
      </c>
      <c r="I25" s="478">
        <f>I24/I17</f>
        <v>0.20498695273992465</v>
      </c>
      <c r="J25" s="478">
        <f>J24/J17</f>
        <v>0.2203437588052973</v>
      </c>
      <c r="K25" s="348">
        <f>J25</f>
        <v>0.2203437588052973</v>
      </c>
      <c r="L25" s="348">
        <f>K25</f>
        <v>0.2203437588052973</v>
      </c>
      <c r="M25" s="348">
        <f>L25</f>
        <v>0.2203437588052973</v>
      </c>
      <c r="N25" s="348">
        <f>M25</f>
        <v>0.2203437588052973</v>
      </c>
      <c r="O25" s="348">
        <f>N25</f>
        <v>0.2203437588052973</v>
      </c>
    </row>
    <row r="26" spans="1:22" ht="13">
      <c r="B26" s="90"/>
      <c r="C26" s="90" t="s">
        <v>2</v>
      </c>
      <c r="F26" s="91"/>
      <c r="H26" s="376">
        <f>H22-H24</f>
        <v>48</v>
      </c>
      <c r="I26" s="376">
        <f t="shared" ref="I26:O26" si="3">I22-I24</f>
        <v>62.59999999999998</v>
      </c>
      <c r="J26" s="376">
        <f t="shared" si="3"/>
        <v>75.799999999999969</v>
      </c>
      <c r="K26" s="377">
        <f t="shared" si="3"/>
        <v>74.055999999999941</v>
      </c>
      <c r="L26" s="377">
        <f t="shared" si="3"/>
        <v>74.908789999999954</v>
      </c>
      <c r="M26" s="377">
        <f t="shared" si="3"/>
        <v>78.654229499999943</v>
      </c>
      <c r="N26" s="377">
        <f t="shared" si="3"/>
        <v>84.912609599999954</v>
      </c>
      <c r="O26" s="377">
        <f t="shared" si="3"/>
        <v>91.576935449999965</v>
      </c>
    </row>
    <row r="27" spans="1:22">
      <c r="F27" s="87"/>
      <c r="H27" s="378"/>
      <c r="I27" s="378"/>
      <c r="J27" s="378"/>
      <c r="K27" s="379"/>
      <c r="L27" s="379"/>
      <c r="M27" s="379"/>
      <c r="N27" s="379"/>
      <c r="O27" s="379"/>
    </row>
    <row r="28" spans="1:22">
      <c r="C28" t="s">
        <v>36</v>
      </c>
      <c r="F28" s="87"/>
      <c r="H28" s="380">
        <v>8.1999999999999993</v>
      </c>
      <c r="I28" s="380">
        <v>8.6</v>
      </c>
      <c r="J28" s="380">
        <v>8.5</v>
      </c>
      <c r="K28" s="381">
        <f>K148</f>
        <v>7.6803333333333335</v>
      </c>
      <c r="L28" s="381">
        <f t="shared" ref="L28:O28" si="4">L148</f>
        <v>8.7803333333333331</v>
      </c>
      <c r="M28" s="381">
        <f t="shared" si="4"/>
        <v>9.9236666666666657</v>
      </c>
      <c r="N28" s="381">
        <f t="shared" si="4"/>
        <v>11.083666666666668</v>
      </c>
      <c r="O28" s="381">
        <f t="shared" si="4"/>
        <v>12.266999999999999</v>
      </c>
    </row>
    <row r="29" spans="1:22" ht="13">
      <c r="C29" s="86" t="s">
        <v>4</v>
      </c>
      <c r="F29" s="91"/>
      <c r="H29" s="382">
        <f t="shared" ref="H29:O29" si="5">H26-H28</f>
        <v>39.799999999999997</v>
      </c>
      <c r="I29" s="382">
        <f t="shared" si="5"/>
        <v>53.999999999999979</v>
      </c>
      <c r="J29" s="382">
        <f t="shared" si="5"/>
        <v>67.299999999999969</v>
      </c>
      <c r="K29" s="366">
        <f t="shared" si="5"/>
        <v>66.375666666666604</v>
      </c>
      <c r="L29" s="366">
        <f t="shared" si="5"/>
        <v>66.128456666666622</v>
      </c>
      <c r="M29" s="366">
        <f t="shared" si="5"/>
        <v>68.730562833333281</v>
      </c>
      <c r="N29" s="366">
        <f t="shared" si="5"/>
        <v>73.828942933333281</v>
      </c>
      <c r="O29" s="366">
        <f t="shared" si="5"/>
        <v>79.309935449999969</v>
      </c>
    </row>
    <row r="30" spans="1:22" ht="13">
      <c r="C30" s="86"/>
      <c r="F30" s="91"/>
      <c r="H30" s="382"/>
      <c r="I30" s="382"/>
      <c r="J30" s="382"/>
      <c r="K30" s="366"/>
      <c r="L30" s="366"/>
      <c r="M30" s="366"/>
      <c r="N30" s="366"/>
      <c r="O30" s="366"/>
    </row>
    <row r="31" spans="1:22" ht="6" customHeight="1">
      <c r="C31" s="86"/>
      <c r="F31" s="91"/>
      <c r="H31" s="382"/>
      <c r="I31" s="382"/>
      <c r="J31" s="382"/>
      <c r="K31" s="375"/>
      <c r="L31" s="375"/>
      <c r="M31" s="375"/>
      <c r="N31" s="375"/>
      <c r="O31" s="375"/>
    </row>
    <row r="32" spans="1:22">
      <c r="C32" s="14" t="s">
        <v>57</v>
      </c>
      <c r="F32" s="87"/>
      <c r="H32" s="383">
        <v>1</v>
      </c>
      <c r="I32" s="383">
        <v>1.4</v>
      </c>
      <c r="J32" s="383">
        <v>2.1</v>
      </c>
      <c r="K32" s="379">
        <f>K236</f>
        <v>2.3184</v>
      </c>
      <c r="L32" s="379">
        <f t="shared" ref="L32:O32" si="6">L236</f>
        <v>1.1480181424657552</v>
      </c>
      <c r="M32" s="379">
        <f t="shared" si="6"/>
        <v>-4.8904465386300444E-2</v>
      </c>
      <c r="N32" s="379">
        <f t="shared" si="6"/>
        <v>-1.4989448003959287</v>
      </c>
      <c r="O32" s="379">
        <f t="shared" si="6"/>
        <v>-3.015267446216412</v>
      </c>
    </row>
    <row r="33" spans="2:26">
      <c r="C33" s="14" t="s">
        <v>140</v>
      </c>
      <c r="F33" s="87"/>
      <c r="H33" s="383">
        <v>3.8</v>
      </c>
      <c r="I33" s="383">
        <v>3.9</v>
      </c>
      <c r="J33" s="383">
        <v>6.9</v>
      </c>
      <c r="K33" s="379">
        <f>K34*K17</f>
        <v>7.1070000000000002</v>
      </c>
      <c r="L33" s="379">
        <f>L34*L17</f>
        <v>7.391280000000001</v>
      </c>
      <c r="M33" s="379">
        <f>M34*M17</f>
        <v>7.7608440000000005</v>
      </c>
      <c r="N33" s="379">
        <f>N34*N17</f>
        <v>8.1488862000000015</v>
      </c>
      <c r="O33" s="379">
        <f>O34*O17</f>
        <v>8.5563305100000022</v>
      </c>
    </row>
    <row r="34" spans="2:26" ht="13">
      <c r="C34" s="123" t="s">
        <v>141</v>
      </c>
      <c r="F34" s="87"/>
      <c r="H34" s="479">
        <f>H33/H17</f>
        <v>1.3058419243986253E-2</v>
      </c>
      <c r="I34" s="479">
        <f>I33/I17</f>
        <v>1.1307625398666281E-2</v>
      </c>
      <c r="J34" s="479">
        <f>J33/J17</f>
        <v>1.944209636517329E-2</v>
      </c>
      <c r="K34" s="348">
        <f>J34</f>
        <v>1.944209636517329E-2</v>
      </c>
      <c r="L34" s="348">
        <f>K34</f>
        <v>1.944209636517329E-2</v>
      </c>
      <c r="M34" s="348">
        <f>L34</f>
        <v>1.944209636517329E-2</v>
      </c>
      <c r="N34" s="348">
        <f>M34</f>
        <v>1.944209636517329E-2</v>
      </c>
      <c r="O34" s="348">
        <f>N34</f>
        <v>1.944209636517329E-2</v>
      </c>
    </row>
    <row r="35" spans="2:26" ht="13">
      <c r="C35" s="89" t="s">
        <v>59</v>
      </c>
      <c r="F35" s="91"/>
      <c r="H35" s="384">
        <f t="shared" ref="H35:O35" si="7">H29-H32+H33</f>
        <v>42.599999999999994</v>
      </c>
      <c r="I35" s="384">
        <f t="shared" si="7"/>
        <v>56.499999999999979</v>
      </c>
      <c r="J35" s="384">
        <f t="shared" si="7"/>
        <v>72.09999999999998</v>
      </c>
      <c r="K35" s="384">
        <f t="shared" si="7"/>
        <v>71.164266666666606</v>
      </c>
      <c r="L35" s="384">
        <f t="shared" si="7"/>
        <v>72.371718524200858</v>
      </c>
      <c r="M35" s="384">
        <f t="shared" si="7"/>
        <v>76.540311298719587</v>
      </c>
      <c r="N35" s="384">
        <f t="shared" si="7"/>
        <v>83.47677393372922</v>
      </c>
      <c r="O35" s="384">
        <f t="shared" si="7"/>
        <v>90.881533406216391</v>
      </c>
    </row>
    <row r="36" spans="2:26" ht="6" customHeight="1">
      <c r="C36" s="86"/>
      <c r="F36" s="91"/>
      <c r="H36" s="382"/>
      <c r="I36" s="382"/>
      <c r="J36" s="382"/>
      <c r="K36" s="375"/>
      <c r="L36" s="375"/>
      <c r="M36" s="375"/>
      <c r="N36" s="375"/>
      <c r="O36" s="375"/>
    </row>
    <row r="37" spans="2:26">
      <c r="C37" t="s">
        <v>66</v>
      </c>
      <c r="F37" s="87"/>
      <c r="H37" s="385">
        <v>11.6</v>
      </c>
      <c r="I37" s="385">
        <v>15.1</v>
      </c>
      <c r="J37" s="385">
        <v>17.8</v>
      </c>
      <c r="K37" s="379">
        <f>K168</f>
        <v>16.541066666666651</v>
      </c>
      <c r="L37" s="379">
        <f t="shared" ref="L37:O37" si="8">L168</f>
        <v>16.842929631050215</v>
      </c>
      <c r="M37" s="379">
        <f t="shared" si="8"/>
        <v>17.885077824679897</v>
      </c>
      <c r="N37" s="379">
        <f t="shared" si="8"/>
        <v>19.619193483432305</v>
      </c>
      <c r="O37" s="379">
        <f t="shared" si="8"/>
        <v>21.470383351554098</v>
      </c>
    </row>
    <row r="38" spans="2:26">
      <c r="C38" t="s">
        <v>101</v>
      </c>
      <c r="F38" s="87"/>
      <c r="H38" s="386">
        <v>-0.6</v>
      </c>
      <c r="I38" s="386">
        <v>-0.2</v>
      </c>
      <c r="J38" s="386">
        <v>0.1</v>
      </c>
      <c r="K38" s="381">
        <f>K169</f>
        <v>1.25</v>
      </c>
      <c r="L38" s="381">
        <f t="shared" ref="L38:O38" si="9">L169</f>
        <v>1.25</v>
      </c>
      <c r="M38" s="381">
        <f t="shared" si="9"/>
        <v>1.25</v>
      </c>
      <c r="N38" s="381">
        <f t="shared" si="9"/>
        <v>1.25</v>
      </c>
      <c r="O38" s="381">
        <f t="shared" si="9"/>
        <v>1.25</v>
      </c>
    </row>
    <row r="39" spans="2:26" ht="13">
      <c r="C39" s="90" t="s">
        <v>67</v>
      </c>
      <c r="F39" s="91"/>
      <c r="H39" s="480">
        <f t="shared" ref="H39:O39" si="10">SUM(H37:H38)</f>
        <v>11</v>
      </c>
      <c r="I39" s="480">
        <f t="shared" si="10"/>
        <v>14.9</v>
      </c>
      <c r="J39" s="480">
        <f t="shared" si="10"/>
        <v>17.900000000000002</v>
      </c>
      <c r="K39" s="387">
        <f t="shared" si="10"/>
        <v>17.791066666666651</v>
      </c>
      <c r="L39" s="387">
        <f t="shared" si="10"/>
        <v>18.092929631050215</v>
      </c>
      <c r="M39" s="387">
        <f t="shared" si="10"/>
        <v>19.135077824679897</v>
      </c>
      <c r="N39" s="387">
        <f t="shared" si="10"/>
        <v>20.869193483432305</v>
      </c>
      <c r="O39" s="387">
        <f t="shared" si="10"/>
        <v>22.720383351554098</v>
      </c>
      <c r="S39" s="246"/>
      <c r="T39" s="246"/>
      <c r="U39" s="246"/>
      <c r="V39" s="247"/>
      <c r="W39" s="247"/>
      <c r="X39" s="247"/>
      <c r="Y39" s="247"/>
      <c r="Z39" s="247"/>
    </row>
    <row r="40" spans="2:26">
      <c r="F40" s="87"/>
      <c r="H40" s="370"/>
      <c r="I40" s="370"/>
      <c r="J40" s="370"/>
      <c r="K40" s="388"/>
      <c r="L40" s="388"/>
      <c r="M40" s="388"/>
      <c r="N40" s="388"/>
      <c r="O40" s="388"/>
    </row>
    <row r="41" spans="2:26" ht="13.5" thickBot="1">
      <c r="C41" s="109" t="s">
        <v>5</v>
      </c>
      <c r="D41" s="90"/>
      <c r="E41" s="90"/>
      <c r="F41" s="91"/>
      <c r="H41" s="450">
        <f t="shared" ref="H41:O41" si="11">H35-H39</f>
        <v>31.599999999999994</v>
      </c>
      <c r="I41" s="450">
        <f t="shared" si="11"/>
        <v>41.59999999999998</v>
      </c>
      <c r="J41" s="450">
        <f t="shared" si="11"/>
        <v>54.199999999999974</v>
      </c>
      <c r="K41" s="451">
        <f t="shared" si="11"/>
        <v>53.373199999999954</v>
      </c>
      <c r="L41" s="451">
        <f t="shared" si="11"/>
        <v>54.278788893150647</v>
      </c>
      <c r="M41" s="451">
        <f t="shared" si="11"/>
        <v>57.40523347403969</v>
      </c>
      <c r="N41" s="451">
        <f t="shared" si="11"/>
        <v>62.607580450296915</v>
      </c>
      <c r="O41" s="451">
        <f t="shared" si="11"/>
        <v>68.161150054662301</v>
      </c>
    </row>
    <row r="42" spans="2:26" ht="13.5" thickTop="1">
      <c r="C42" s="110"/>
      <c r="F42"/>
      <c r="H42" s="111"/>
      <c r="I42" s="111"/>
      <c r="J42" s="111"/>
      <c r="K42" s="111"/>
      <c r="L42" s="111"/>
      <c r="M42" s="111"/>
      <c r="N42" s="111"/>
      <c r="O42" s="111"/>
    </row>
    <row r="43" spans="2:26">
      <c r="H43" s="102"/>
      <c r="I43" s="102"/>
      <c r="J43" s="102"/>
      <c r="K43" s="112"/>
      <c r="L43" s="112"/>
      <c r="M43" s="112"/>
      <c r="N43" s="112"/>
      <c r="O43" s="112"/>
    </row>
    <row r="44" spans="2:26" ht="13">
      <c r="B44" s="113" t="s">
        <v>31</v>
      </c>
      <c r="C44" s="5"/>
      <c r="D44" s="5"/>
      <c r="E44" s="5"/>
      <c r="F44" s="114"/>
      <c r="G44" s="5"/>
      <c r="H44" s="115"/>
      <c r="I44" s="115"/>
      <c r="J44" s="115"/>
      <c r="K44" s="115"/>
      <c r="L44" s="115"/>
      <c r="M44" s="115"/>
      <c r="N44" s="115"/>
      <c r="O44" s="116"/>
    </row>
    <row r="45" spans="2:26" ht="13">
      <c r="B45" s="359"/>
      <c r="C45" t="s">
        <v>151</v>
      </c>
      <c r="H45" s="442">
        <f>H22/H17</f>
        <v>0.37113402061855671</v>
      </c>
      <c r="I45" s="442">
        <f t="shared" ref="I45:N45" si="12">I22/I17</f>
        <v>0.38648883734415768</v>
      </c>
      <c r="J45" s="442">
        <f t="shared" si="12"/>
        <v>0.43392504930966463</v>
      </c>
      <c r="K45" s="442">
        <f t="shared" si="12"/>
        <v>0.42293330269431828</v>
      </c>
      <c r="L45" s="442">
        <f t="shared" si="12"/>
        <v>0.41738458445099441</v>
      </c>
      <c r="M45" s="442">
        <f t="shared" si="12"/>
        <v>0.41738458445099441</v>
      </c>
      <c r="N45" s="442">
        <f t="shared" si="12"/>
        <v>0.42293330269431828</v>
      </c>
      <c r="O45" s="443">
        <f>O22/O17</f>
        <v>0.42842917600199149</v>
      </c>
    </row>
    <row r="46" spans="2:26" ht="13">
      <c r="B46" s="6"/>
      <c r="C46" t="s">
        <v>32</v>
      </c>
      <c r="H46" s="9">
        <f t="shared" ref="H46:O46" si="13">H26/H17</f>
        <v>0.16494845360824742</v>
      </c>
      <c r="I46" s="9">
        <f t="shared" si="13"/>
        <v>0.18150188460423305</v>
      </c>
      <c r="J46" s="9">
        <f t="shared" si="13"/>
        <v>0.21358129050436736</v>
      </c>
      <c r="K46" s="9">
        <f t="shared" si="13"/>
        <v>0.20258954388902098</v>
      </c>
      <c r="L46" s="9">
        <f t="shared" si="13"/>
        <v>0.19704082564569714</v>
      </c>
      <c r="M46" s="9">
        <f t="shared" si="13"/>
        <v>0.19704082564569711</v>
      </c>
      <c r="N46" s="9">
        <f t="shared" si="13"/>
        <v>0.20258954388902098</v>
      </c>
      <c r="O46" s="444">
        <f t="shared" si="13"/>
        <v>0.20808541719669416</v>
      </c>
      <c r="P46" s="118"/>
    </row>
    <row r="47" spans="2:26">
      <c r="B47" s="6"/>
      <c r="C47" t="s">
        <v>33</v>
      </c>
      <c r="F47" s="119"/>
      <c r="H47" s="9">
        <f t="shared" ref="H47:O47" si="14">H29/H17</f>
        <v>0.13676975945017181</v>
      </c>
      <c r="I47" s="9">
        <f t="shared" si="14"/>
        <v>0.15656712090460997</v>
      </c>
      <c r="J47" s="9">
        <f t="shared" si="14"/>
        <v>0.18963088193857416</v>
      </c>
      <c r="K47" s="9">
        <f t="shared" si="14"/>
        <v>0.18157902175825985</v>
      </c>
      <c r="L47" s="9">
        <f t="shared" si="14"/>
        <v>0.17394494958836879</v>
      </c>
      <c r="M47" s="9">
        <f t="shared" si="14"/>
        <v>0.17218052905563663</v>
      </c>
      <c r="N47" s="9">
        <f t="shared" si="14"/>
        <v>0.17614547409543466</v>
      </c>
      <c r="O47" s="444">
        <f t="shared" si="14"/>
        <v>0.1802117632006448</v>
      </c>
    </row>
    <row r="48" spans="2:26">
      <c r="B48" s="12"/>
      <c r="C48" s="11" t="s">
        <v>179</v>
      </c>
      <c r="D48" s="11"/>
      <c r="E48" s="11"/>
      <c r="F48" s="120"/>
      <c r="G48" s="11"/>
      <c r="H48" s="445">
        <f>H41/H17</f>
        <v>0.10859106529209619</v>
      </c>
      <c r="I48" s="445">
        <f t="shared" ref="I48:O48" si="15">I41/I17</f>
        <v>0.12061467091910694</v>
      </c>
      <c r="J48" s="445">
        <f t="shared" si="15"/>
        <v>0.1527190757959988</v>
      </c>
      <c r="K48" s="445">
        <f t="shared" si="15"/>
        <v>0.14600913152070721</v>
      </c>
      <c r="L48" s="445">
        <f t="shared" si="15"/>
        <v>0.14277546571710617</v>
      </c>
      <c r="M48" s="445">
        <f t="shared" si="15"/>
        <v>0.14380885391686149</v>
      </c>
      <c r="N48" s="445">
        <f t="shared" si="15"/>
        <v>0.1493728814503523</v>
      </c>
      <c r="O48" s="446">
        <f t="shared" si="15"/>
        <v>0.15487896898968442</v>
      </c>
    </row>
    <row r="49" spans="1:1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3">
      <c r="C50" s="121"/>
      <c r="F50" s="119"/>
      <c r="H50" s="122"/>
      <c r="I50" s="122"/>
      <c r="J50" s="122"/>
      <c r="K50" s="122"/>
      <c r="L50" s="122"/>
      <c r="M50" s="122"/>
      <c r="N50" s="122"/>
      <c r="O50" s="122"/>
    </row>
    <row r="51" spans="1:15" ht="12.75" customHeight="1">
      <c r="A51" s="78"/>
      <c r="B51" s="1"/>
      <c r="C51" s="3"/>
      <c r="D51" s="3"/>
      <c r="E51" s="3"/>
      <c r="F51" s="77"/>
      <c r="G51" s="3"/>
      <c r="H51" s="3"/>
      <c r="I51" s="3"/>
      <c r="J51" s="3"/>
      <c r="K51" s="3"/>
      <c r="L51" s="3"/>
      <c r="M51" s="3"/>
      <c r="N51" s="3"/>
      <c r="O51" s="94" t="str">
        <f>$O$1</f>
        <v>CURRENTLY RUNNING: BASE CASE SCENARIO</v>
      </c>
    </row>
    <row r="52" spans="1:15" ht="23">
      <c r="B52" s="1" t="str">
        <f>B$2</f>
        <v>Asian Paints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8">
      <c r="B53" s="80" t="s">
        <v>37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3" customHeight="1" thickBot="1">
      <c r="A54" s="79"/>
      <c r="B54" s="254"/>
      <c r="C54" s="255"/>
      <c r="D54" s="255"/>
      <c r="E54" s="255"/>
      <c r="F54" s="256"/>
      <c r="G54" s="255"/>
      <c r="H54" s="255"/>
      <c r="I54" s="255"/>
      <c r="J54" s="255"/>
      <c r="K54" s="255"/>
      <c r="L54" s="255"/>
      <c r="M54" s="255"/>
      <c r="N54" s="255"/>
      <c r="O54" s="255"/>
    </row>
    <row r="55" spans="1:15" ht="13">
      <c r="B55" s="103" t="s">
        <v>143</v>
      </c>
      <c r="F55"/>
    </row>
    <row r="56" spans="1:15" ht="13">
      <c r="B56" s="103" t="s">
        <v>193</v>
      </c>
      <c r="F56"/>
    </row>
    <row r="57" spans="1:15" ht="13">
      <c r="F57"/>
      <c r="K57" s="85" t="s">
        <v>0</v>
      </c>
      <c r="L57" s="15"/>
      <c r="M57" s="15"/>
      <c r="N57" s="15"/>
      <c r="O57" s="15"/>
    </row>
    <row r="58" spans="1:15" ht="13">
      <c r="B58" s="123"/>
      <c r="F58" s="124"/>
      <c r="G58" s="125"/>
      <c r="H58" s="246">
        <f>I58-1</f>
        <v>2022</v>
      </c>
      <c r="I58" s="246">
        <f>J58-1</f>
        <v>2023</v>
      </c>
      <c r="J58" s="246">
        <f>K58-1</f>
        <v>2024</v>
      </c>
      <c r="K58" s="248">
        <f>K14</f>
        <v>2025</v>
      </c>
      <c r="L58" s="248">
        <f>L14</f>
        <v>2026</v>
      </c>
      <c r="M58" s="248">
        <f>M14</f>
        <v>2027</v>
      </c>
      <c r="N58" s="248">
        <f>N14</f>
        <v>2028</v>
      </c>
      <c r="O58" s="248">
        <f>O14</f>
        <v>2029</v>
      </c>
    </row>
    <row r="59" spans="1:15" ht="13">
      <c r="B59" s="90" t="s">
        <v>6</v>
      </c>
      <c r="F59"/>
    </row>
    <row r="60" spans="1:15">
      <c r="C60" t="s">
        <v>5</v>
      </c>
      <c r="F60"/>
      <c r="G60" s="127"/>
      <c r="H60" s="389">
        <f t="shared" ref="H60:O60" si="16">H41</f>
        <v>31.599999999999994</v>
      </c>
      <c r="I60" s="389">
        <f t="shared" si="16"/>
        <v>41.59999999999998</v>
      </c>
      <c r="J60" s="389">
        <f t="shared" si="16"/>
        <v>54.199999999999974</v>
      </c>
      <c r="K60" s="390">
        <f t="shared" si="16"/>
        <v>53.373199999999954</v>
      </c>
      <c r="L60" s="390">
        <f t="shared" si="16"/>
        <v>54.278788893150647</v>
      </c>
      <c r="M60" s="390">
        <f t="shared" si="16"/>
        <v>57.40523347403969</v>
      </c>
      <c r="N60" s="390">
        <f t="shared" si="16"/>
        <v>62.607580450296915</v>
      </c>
      <c r="O60" s="390">
        <f t="shared" si="16"/>
        <v>68.161150054662301</v>
      </c>
    </row>
    <row r="61" spans="1:15">
      <c r="C61" t="s">
        <v>3</v>
      </c>
      <c r="F61"/>
      <c r="G61" s="127"/>
      <c r="H61" s="389">
        <f t="shared" ref="H61:O61" si="17">H28</f>
        <v>8.1999999999999993</v>
      </c>
      <c r="I61" s="389">
        <f t="shared" si="17"/>
        <v>8.6</v>
      </c>
      <c r="J61" s="389">
        <f t="shared" si="17"/>
        <v>8.5</v>
      </c>
      <c r="K61" s="390">
        <f t="shared" si="17"/>
        <v>7.6803333333333335</v>
      </c>
      <c r="L61" s="390">
        <f t="shared" si="17"/>
        <v>8.7803333333333331</v>
      </c>
      <c r="M61" s="390">
        <f t="shared" si="17"/>
        <v>9.9236666666666657</v>
      </c>
      <c r="N61" s="390">
        <f t="shared" si="17"/>
        <v>11.083666666666668</v>
      </c>
      <c r="O61" s="390">
        <f t="shared" si="17"/>
        <v>12.266999999999999</v>
      </c>
    </row>
    <row r="62" spans="1:15">
      <c r="C62" t="s">
        <v>101</v>
      </c>
      <c r="F62"/>
      <c r="G62" s="128"/>
      <c r="H62" s="389">
        <f t="shared" ref="H62:O62" si="18">H38</f>
        <v>-0.6</v>
      </c>
      <c r="I62" s="389">
        <f t="shared" si="18"/>
        <v>-0.2</v>
      </c>
      <c r="J62" s="389">
        <f t="shared" si="18"/>
        <v>0.1</v>
      </c>
      <c r="K62" s="390">
        <f t="shared" si="18"/>
        <v>1.25</v>
      </c>
      <c r="L62" s="390">
        <f t="shared" si="18"/>
        <v>1.25</v>
      </c>
      <c r="M62" s="390">
        <f t="shared" si="18"/>
        <v>1.25</v>
      </c>
      <c r="N62" s="390">
        <f t="shared" si="18"/>
        <v>1.25</v>
      </c>
      <c r="O62" s="390">
        <f t="shared" si="18"/>
        <v>1.25</v>
      </c>
    </row>
    <row r="63" spans="1:15">
      <c r="C63" t="s">
        <v>92</v>
      </c>
      <c r="F63"/>
      <c r="G63" s="129"/>
      <c r="H63" s="391">
        <v>-30.84</v>
      </c>
      <c r="I63" s="391">
        <v>-6.69</v>
      </c>
      <c r="J63" s="392">
        <v>1.04</v>
      </c>
      <c r="K63" s="381">
        <f>K204</f>
        <v>3.8954109589040939</v>
      </c>
      <c r="L63" s="381">
        <f t="shared" ref="L63:O63" si="19">L204</f>
        <v>3.9208006849315353</v>
      </c>
      <c r="M63" s="381">
        <f t="shared" si="19"/>
        <v>6.2018405342465854</v>
      </c>
      <c r="N63" s="381">
        <f t="shared" si="19"/>
        <v>4.5257242727374773</v>
      </c>
      <c r="O63" s="381">
        <f t="shared" si="19"/>
        <v>-2.1585671832854416</v>
      </c>
    </row>
    <row r="64" spans="1:15" ht="13">
      <c r="C64" s="86" t="s">
        <v>8</v>
      </c>
      <c r="F64"/>
      <c r="G64" s="99"/>
      <c r="H64" s="393">
        <f t="shared" ref="H64:O64" si="20">SUM(H60:H63)</f>
        <v>8.3599999999999959</v>
      </c>
      <c r="I64" s="393">
        <f t="shared" si="20"/>
        <v>43.309999999999981</v>
      </c>
      <c r="J64" s="393">
        <f t="shared" si="20"/>
        <v>63.839999999999975</v>
      </c>
      <c r="K64" s="394">
        <f t="shared" si="20"/>
        <v>66.198944292237385</v>
      </c>
      <c r="L64" s="394">
        <f t="shared" si="20"/>
        <v>68.229922911415514</v>
      </c>
      <c r="M64" s="394">
        <f t="shared" si="20"/>
        <v>74.780740674952938</v>
      </c>
      <c r="N64" s="394">
        <f t="shared" si="20"/>
        <v>79.466971389701058</v>
      </c>
      <c r="O64" s="394">
        <f t="shared" si="20"/>
        <v>79.519582871376855</v>
      </c>
    </row>
    <row r="65" spans="1:15">
      <c r="B65" s="10"/>
      <c r="F65"/>
      <c r="G65" s="102"/>
      <c r="H65" s="395"/>
      <c r="I65" s="395"/>
      <c r="J65" s="395"/>
      <c r="K65" s="395"/>
      <c r="L65" s="395"/>
      <c r="M65" s="395"/>
      <c r="N65" s="395"/>
      <c r="O65" s="395"/>
    </row>
    <row r="66" spans="1:15">
      <c r="B66" s="10"/>
      <c r="F66"/>
      <c r="G66" s="102"/>
      <c r="H66" s="395"/>
      <c r="I66" s="395"/>
      <c r="J66" s="395"/>
      <c r="K66" s="395"/>
      <c r="L66" s="395"/>
      <c r="M66" s="395"/>
      <c r="N66" s="395"/>
      <c r="O66" s="395"/>
    </row>
    <row r="67" spans="1:15" ht="13">
      <c r="B67" s="90" t="s">
        <v>73</v>
      </c>
      <c r="F67"/>
      <c r="G67" s="130"/>
      <c r="H67" s="396"/>
      <c r="I67" s="396"/>
      <c r="J67" s="396"/>
      <c r="K67" s="390"/>
      <c r="L67" s="390"/>
      <c r="M67" s="390"/>
      <c r="N67" s="390"/>
      <c r="O67" s="390"/>
    </row>
    <row r="68" spans="1:15">
      <c r="C68" t="s">
        <v>40</v>
      </c>
      <c r="H68" s="397">
        <v>-5.51</v>
      </c>
      <c r="I68" s="397">
        <v>-14.46</v>
      </c>
      <c r="J68" s="397">
        <v>-24.96</v>
      </c>
      <c r="K68" s="398">
        <f>-Assumptions!J46</f>
        <v>-16</v>
      </c>
      <c r="L68" s="398">
        <f>-Assumptions!K46</f>
        <v>-17</v>
      </c>
      <c r="M68" s="398">
        <f>-Assumptions!L46</f>
        <v>-17.3</v>
      </c>
      <c r="N68" s="398">
        <f>-Assumptions!M46</f>
        <v>-17.5</v>
      </c>
      <c r="O68" s="398">
        <f>-Assumptions!N46</f>
        <v>-18</v>
      </c>
    </row>
    <row r="69" spans="1:15">
      <c r="C69" t="s">
        <v>7</v>
      </c>
      <c r="H69" s="380">
        <v>2.34</v>
      </c>
      <c r="I69" s="380">
        <v>1.64</v>
      </c>
      <c r="J69" s="380">
        <v>-0.52</v>
      </c>
      <c r="K69" s="399">
        <f>Assumptions!J44</f>
        <v>0</v>
      </c>
      <c r="L69" s="399">
        <f>Assumptions!K44</f>
        <v>0</v>
      </c>
      <c r="M69" s="399">
        <f>Assumptions!L44</f>
        <v>0</v>
      </c>
      <c r="N69" s="399">
        <f>Assumptions!M44</f>
        <v>0</v>
      </c>
      <c r="O69" s="399">
        <f>Assumptions!N44</f>
        <v>0</v>
      </c>
    </row>
    <row r="70" spans="1:15" ht="13">
      <c r="A70" s="90"/>
      <c r="C70" s="90" t="s">
        <v>74</v>
      </c>
      <c r="F70"/>
      <c r="G70" s="99"/>
      <c r="H70" s="384">
        <f t="shared" ref="H70:O70" si="21">SUM(H68:H69)</f>
        <v>-3.17</v>
      </c>
      <c r="I70" s="384">
        <f t="shared" si="21"/>
        <v>-12.82</v>
      </c>
      <c r="J70" s="384">
        <f t="shared" si="21"/>
        <v>-25.48</v>
      </c>
      <c r="K70" s="384">
        <f t="shared" si="21"/>
        <v>-16</v>
      </c>
      <c r="L70" s="384">
        <f t="shared" si="21"/>
        <v>-17</v>
      </c>
      <c r="M70" s="384">
        <f t="shared" si="21"/>
        <v>-17.3</v>
      </c>
      <c r="N70" s="384">
        <f t="shared" si="21"/>
        <v>-17.5</v>
      </c>
      <c r="O70" s="384">
        <f t="shared" si="21"/>
        <v>-18</v>
      </c>
    </row>
    <row r="71" spans="1:15" ht="13">
      <c r="A71" s="90"/>
      <c r="B71" s="89"/>
      <c r="F71"/>
      <c r="G71" s="99"/>
      <c r="H71" s="393"/>
      <c r="I71" s="393"/>
      <c r="J71" s="393"/>
      <c r="K71" s="400"/>
      <c r="L71" s="400"/>
      <c r="M71" s="400"/>
      <c r="N71" s="400"/>
      <c r="O71" s="400"/>
    </row>
    <row r="72" spans="1:15" ht="13">
      <c r="A72" s="90"/>
      <c r="B72" s="89"/>
      <c r="F72"/>
      <c r="G72" s="99"/>
      <c r="H72" s="393"/>
      <c r="I72" s="393"/>
      <c r="J72" s="393"/>
      <c r="K72" s="400"/>
      <c r="L72" s="400"/>
      <c r="M72" s="400"/>
      <c r="N72" s="400"/>
      <c r="O72" s="400"/>
    </row>
    <row r="73" spans="1:15" ht="13">
      <c r="A73" s="90"/>
      <c r="B73" s="89" t="s">
        <v>56</v>
      </c>
      <c r="F73"/>
      <c r="G73" s="99"/>
      <c r="H73" s="393"/>
      <c r="I73" s="393"/>
      <c r="J73" s="393"/>
      <c r="K73" s="393"/>
      <c r="L73" s="393"/>
      <c r="M73" s="393"/>
      <c r="N73" s="393"/>
      <c r="O73" s="393"/>
    </row>
    <row r="74" spans="1:15" ht="13">
      <c r="A74" s="90"/>
      <c r="B74" s="89"/>
      <c r="C74" t="s">
        <v>95</v>
      </c>
      <c r="F74"/>
      <c r="G74" s="99"/>
      <c r="H74" s="397">
        <v>-0.45</v>
      </c>
      <c r="I74" s="397">
        <v>-2.04</v>
      </c>
      <c r="J74" s="397">
        <v>-4.3099999999999996</v>
      </c>
      <c r="K74" s="401">
        <f>K229</f>
        <v>-4</v>
      </c>
      <c r="L74" s="401">
        <f t="shared" ref="L74:O74" si="22">L229</f>
        <v>-4</v>
      </c>
      <c r="M74" s="401">
        <f t="shared" si="22"/>
        <v>-4</v>
      </c>
      <c r="N74" s="401">
        <f t="shared" si="22"/>
        <v>-4</v>
      </c>
      <c r="O74" s="401">
        <f t="shared" si="22"/>
        <v>-4</v>
      </c>
    </row>
    <row r="75" spans="1:15" ht="13">
      <c r="A75" s="90"/>
      <c r="B75" s="89"/>
      <c r="C75" t="s">
        <v>89</v>
      </c>
      <c r="F75"/>
      <c r="G75" s="99"/>
      <c r="H75" s="397">
        <v>0</v>
      </c>
      <c r="I75" s="397">
        <v>0</v>
      </c>
      <c r="J75" s="397">
        <v>0</v>
      </c>
      <c r="K75" s="401">
        <f>K249</f>
        <v>0</v>
      </c>
      <c r="L75" s="401">
        <f t="shared" ref="L75:O75" si="23">L249</f>
        <v>0</v>
      </c>
      <c r="M75" s="401">
        <f t="shared" si="23"/>
        <v>0</v>
      </c>
      <c r="N75" s="401">
        <f t="shared" si="23"/>
        <v>0</v>
      </c>
      <c r="O75" s="401">
        <f t="shared" si="23"/>
        <v>0</v>
      </c>
    </row>
    <row r="76" spans="1:15" ht="13">
      <c r="A76" s="90"/>
      <c r="B76" s="89"/>
      <c r="C76" t="s">
        <v>90</v>
      </c>
      <c r="F76"/>
      <c r="G76" s="99"/>
      <c r="H76" s="380">
        <v>-17.63</v>
      </c>
      <c r="I76" s="380">
        <v>-19.36</v>
      </c>
      <c r="J76" s="380">
        <v>-25.51</v>
      </c>
      <c r="K76" s="401">
        <f>-K254</f>
        <v>-34.692579999999971</v>
      </c>
      <c r="L76" s="401">
        <f t="shared" ref="L76:O76" si="24">-L254</f>
        <v>-35.281212780547925</v>
      </c>
      <c r="M76" s="401">
        <f t="shared" si="24"/>
        <v>-37.313401758125799</v>
      </c>
      <c r="N76" s="401">
        <f t="shared" si="24"/>
        <v>-40.694927292692995</v>
      </c>
      <c r="O76" s="401">
        <f t="shared" si="24"/>
        <v>-44.304747535530495</v>
      </c>
    </row>
    <row r="77" spans="1:15" ht="13">
      <c r="A77" s="90"/>
      <c r="B77" s="89"/>
      <c r="C77" s="90" t="s">
        <v>75</v>
      </c>
      <c r="F77"/>
      <c r="G77" s="99"/>
      <c r="H77" s="384">
        <f t="shared" ref="H77:O77" si="25">SUM(H74:H76)</f>
        <v>-18.079999999999998</v>
      </c>
      <c r="I77" s="384">
        <f t="shared" si="25"/>
        <v>-21.4</v>
      </c>
      <c r="J77" s="384">
        <f t="shared" si="25"/>
        <v>-29.82</v>
      </c>
      <c r="K77" s="377">
        <f t="shared" si="25"/>
        <v>-38.692579999999971</v>
      </c>
      <c r="L77" s="377">
        <f t="shared" si="25"/>
        <v>-39.281212780547925</v>
      </c>
      <c r="M77" s="377">
        <f t="shared" si="25"/>
        <v>-41.313401758125799</v>
      </c>
      <c r="N77" s="377">
        <f t="shared" si="25"/>
        <v>-44.694927292692995</v>
      </c>
      <c r="O77" s="377">
        <f t="shared" si="25"/>
        <v>-48.304747535530495</v>
      </c>
    </row>
    <row r="78" spans="1:15" ht="13">
      <c r="A78" s="90"/>
      <c r="B78" s="89"/>
      <c r="F78"/>
      <c r="G78" s="99"/>
      <c r="H78" s="393"/>
      <c r="I78" s="393"/>
      <c r="J78" s="393"/>
      <c r="K78" s="393"/>
      <c r="L78" s="393"/>
      <c r="M78" s="393"/>
      <c r="N78" s="393"/>
      <c r="O78" s="393"/>
    </row>
    <row r="79" spans="1:15" ht="13">
      <c r="A79" s="90"/>
      <c r="C79" s="86"/>
      <c r="F79"/>
      <c r="G79" s="99"/>
      <c r="H79" s="393"/>
      <c r="I79" s="393"/>
      <c r="J79" s="393"/>
      <c r="K79" s="393"/>
      <c r="L79" s="393"/>
      <c r="M79" s="393"/>
      <c r="N79" s="393"/>
      <c r="O79" s="393"/>
    </row>
    <row r="80" spans="1:15" ht="13">
      <c r="A80" s="90"/>
      <c r="B80" s="25" t="s">
        <v>41</v>
      </c>
      <c r="C80" s="131"/>
      <c r="D80" s="5"/>
      <c r="E80" s="5"/>
      <c r="F80" s="5"/>
      <c r="G80" s="132"/>
      <c r="H80" s="402">
        <f t="shared" ref="H80:O80" si="26">H77+H70+H64</f>
        <v>-12.890000000000004</v>
      </c>
      <c r="I80" s="402">
        <f t="shared" si="26"/>
        <v>9.0899999999999821</v>
      </c>
      <c r="J80" s="402">
        <f t="shared" si="26"/>
        <v>8.5399999999999778</v>
      </c>
      <c r="K80" s="403">
        <f t="shared" si="26"/>
        <v>11.506364292237414</v>
      </c>
      <c r="L80" s="403">
        <f t="shared" si="26"/>
        <v>11.948710130867589</v>
      </c>
      <c r="M80" s="403">
        <f t="shared" si="26"/>
        <v>16.167338916827134</v>
      </c>
      <c r="N80" s="403">
        <f t="shared" si="26"/>
        <v>17.272044097008063</v>
      </c>
      <c r="O80" s="404">
        <f t="shared" si="26"/>
        <v>13.214835335846359</v>
      </c>
    </row>
    <row r="81" spans="1:19" ht="13">
      <c r="A81" s="90"/>
      <c r="B81" s="6" t="s">
        <v>42</v>
      </c>
      <c r="C81" s="86"/>
      <c r="F81"/>
      <c r="G81" s="99"/>
      <c r="H81" s="447">
        <v>6.1</v>
      </c>
      <c r="I81" s="448">
        <f t="shared" ref="I81:J81" si="27">+H82</f>
        <v>-6.7900000000000045</v>
      </c>
      <c r="J81" s="448">
        <f t="shared" si="27"/>
        <v>2.2999999999999776</v>
      </c>
      <c r="K81" s="372">
        <f t="shared" ref="K81" si="28">+J82</f>
        <v>10.839999999999955</v>
      </c>
      <c r="L81" s="372">
        <f t="shared" ref="L81" si="29">+K82</f>
        <v>22.346364292237368</v>
      </c>
      <c r="M81" s="372">
        <f t="shared" ref="M81" si="30">+L82</f>
        <v>34.295074423104957</v>
      </c>
      <c r="N81" s="372">
        <f t="shared" ref="N81" si="31">+M82</f>
        <v>50.462413339932091</v>
      </c>
      <c r="O81" s="449">
        <f t="shared" ref="O81" si="32">+N82</f>
        <v>67.734457436940147</v>
      </c>
    </row>
    <row r="82" spans="1:19" ht="13">
      <c r="A82" s="90"/>
      <c r="B82" s="133" t="s">
        <v>43</v>
      </c>
      <c r="C82" s="100"/>
      <c r="D82" s="11"/>
      <c r="E82" s="11"/>
      <c r="F82" s="11"/>
      <c r="G82" s="101"/>
      <c r="H82" s="405">
        <f t="shared" ref="H82:J82" si="33">H81+H80</f>
        <v>-6.7900000000000045</v>
      </c>
      <c r="I82" s="405">
        <f t="shared" si="33"/>
        <v>2.2999999999999776</v>
      </c>
      <c r="J82" s="405">
        <f t="shared" si="33"/>
        <v>10.839999999999955</v>
      </c>
      <c r="K82" s="381">
        <f t="shared" ref="K82:O82" si="34">K81+K80</f>
        <v>22.346364292237368</v>
      </c>
      <c r="L82" s="381">
        <f t="shared" si="34"/>
        <v>34.295074423104957</v>
      </c>
      <c r="M82" s="381">
        <f t="shared" si="34"/>
        <v>50.462413339932091</v>
      </c>
      <c r="N82" s="381">
        <f t="shared" si="34"/>
        <v>67.734457436940147</v>
      </c>
      <c r="O82" s="406">
        <f t="shared" si="34"/>
        <v>80.949292772786507</v>
      </c>
    </row>
    <row r="83" spans="1:19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9">
      <c r="F84"/>
    </row>
    <row r="85" spans="1:19" ht="12.75" customHeight="1">
      <c r="A85" s="78"/>
      <c r="B85" s="1"/>
      <c r="C85" s="3"/>
      <c r="D85" s="3"/>
      <c r="E85" s="3"/>
      <c r="F85" s="77"/>
      <c r="G85" s="3"/>
      <c r="H85" s="3"/>
      <c r="I85" s="3"/>
      <c r="J85" s="3"/>
      <c r="K85" s="3"/>
      <c r="L85" s="3"/>
      <c r="M85" s="3"/>
      <c r="N85" s="3"/>
      <c r="O85" s="94" t="str">
        <f>$O$1</f>
        <v>CURRENTLY RUNNING: BASE CASE SCENARIO</v>
      </c>
    </row>
    <row r="86" spans="1:19" ht="23">
      <c r="B86" s="1" t="str">
        <f>B$2</f>
        <v>Asian Paints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9" ht="18">
      <c r="B87" s="80" t="s">
        <v>76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9" ht="3" customHeight="1" thickBot="1">
      <c r="A88" s="79"/>
      <c r="B88" s="254"/>
      <c r="C88" s="255"/>
      <c r="D88" s="255"/>
      <c r="E88" s="255"/>
      <c r="F88" s="256"/>
      <c r="G88" s="255"/>
      <c r="H88" s="255"/>
      <c r="I88" s="255"/>
      <c r="J88" s="255"/>
      <c r="K88" s="255"/>
      <c r="L88" s="255"/>
      <c r="M88" s="255"/>
      <c r="N88" s="255"/>
      <c r="O88" s="255"/>
    </row>
    <row r="89" spans="1:19" ht="13">
      <c r="B89" s="103" t="s">
        <v>143</v>
      </c>
      <c r="F89"/>
      <c r="O89" s="14"/>
    </row>
    <row r="90" spans="1:19" ht="13">
      <c r="B90" s="103" t="s">
        <v>193</v>
      </c>
      <c r="F90"/>
      <c r="O90" s="14"/>
    </row>
    <row r="91" spans="1:19" ht="13">
      <c r="F91"/>
      <c r="H91" s="134"/>
      <c r="I91" s="134"/>
      <c r="J91" s="134"/>
      <c r="K91" s="85" t="s">
        <v>0</v>
      </c>
      <c r="L91" s="15"/>
      <c r="M91" s="15"/>
      <c r="N91" s="15"/>
      <c r="O91" s="15"/>
    </row>
    <row r="92" spans="1:19" ht="13">
      <c r="B92" s="135"/>
      <c r="F92" s="126"/>
      <c r="G92" s="125"/>
      <c r="H92" s="246">
        <f>I92-1</f>
        <v>2022</v>
      </c>
      <c r="I92" s="246">
        <f>J92-1</f>
        <v>2023</v>
      </c>
      <c r="J92" s="246">
        <f>K92-1</f>
        <v>2024</v>
      </c>
      <c r="K92" s="248">
        <f>K58</f>
        <v>2025</v>
      </c>
      <c r="L92" s="248">
        <f t="shared" ref="L92:O92" si="35">L58</f>
        <v>2026</v>
      </c>
      <c r="M92" s="248">
        <f t="shared" si="35"/>
        <v>2027</v>
      </c>
      <c r="N92" s="248">
        <f t="shared" si="35"/>
        <v>2028</v>
      </c>
      <c r="O92" s="248">
        <f t="shared" si="35"/>
        <v>2029</v>
      </c>
    </row>
    <row r="93" spans="1:19" ht="13">
      <c r="B93" s="135"/>
      <c r="F93"/>
      <c r="G93" s="125"/>
      <c r="H93" s="126"/>
      <c r="I93" s="126"/>
      <c r="J93" s="126"/>
      <c r="K93" s="126"/>
      <c r="L93" s="126"/>
      <c r="M93" s="126"/>
      <c r="N93" s="126"/>
      <c r="O93" s="126"/>
    </row>
    <row r="94" spans="1:19" ht="13">
      <c r="B94" s="90" t="s">
        <v>9</v>
      </c>
      <c r="F94"/>
    </row>
    <row r="95" spans="1:19">
      <c r="C95" t="s">
        <v>10</v>
      </c>
      <c r="F95" s="87"/>
      <c r="G95" s="129"/>
      <c r="H95" s="397">
        <v>8.64</v>
      </c>
      <c r="I95" s="397">
        <v>8.44</v>
      </c>
      <c r="J95" s="397">
        <v>10.84</v>
      </c>
      <c r="K95" s="407">
        <f>K82</f>
        <v>22.346364292237368</v>
      </c>
      <c r="L95" s="407">
        <f t="shared" ref="L95:O95" si="36">L82</f>
        <v>34.295074423104957</v>
      </c>
      <c r="M95" s="407">
        <f t="shared" si="36"/>
        <v>50.462413339932091</v>
      </c>
      <c r="N95" s="407">
        <f t="shared" si="36"/>
        <v>67.734457436940147</v>
      </c>
      <c r="O95" s="407">
        <f t="shared" si="36"/>
        <v>80.949292772786507</v>
      </c>
      <c r="R95" s="108"/>
      <c r="S95" s="108"/>
    </row>
    <row r="96" spans="1:19">
      <c r="C96" t="s">
        <v>11</v>
      </c>
      <c r="F96" s="87"/>
      <c r="G96" s="129"/>
      <c r="H96" s="397">
        <v>38.71</v>
      </c>
      <c r="I96" s="397">
        <v>46.37</v>
      </c>
      <c r="J96" s="397">
        <v>48.89</v>
      </c>
      <c r="K96" s="390">
        <f>K197</f>
        <v>50.07493150684931</v>
      </c>
      <c r="L96" s="390">
        <f t="shared" ref="L96:O96" si="37">L197</f>
        <v>52.077928767123289</v>
      </c>
      <c r="M96" s="390">
        <f t="shared" si="37"/>
        <v>49.213642684931507</v>
      </c>
      <c r="N96" s="390">
        <f t="shared" si="37"/>
        <v>51.533138139344267</v>
      </c>
      <c r="O96" s="390">
        <f t="shared" si="37"/>
        <v>54.258041060136996</v>
      </c>
    </row>
    <row r="97" spans="2:15">
      <c r="C97" t="s">
        <v>12</v>
      </c>
      <c r="F97" s="87"/>
      <c r="G97" s="129"/>
      <c r="H97" s="397">
        <v>61.53</v>
      </c>
      <c r="I97" s="397">
        <v>62.11</v>
      </c>
      <c r="J97" s="397">
        <v>59.23</v>
      </c>
      <c r="K97" s="390">
        <f t="shared" ref="K97:O97" si="38">K198</f>
        <v>57.793150684931518</v>
      </c>
      <c r="L97" s="390">
        <f t="shared" si="38"/>
        <v>54.614527397260289</v>
      </c>
      <c r="M97" s="390">
        <f t="shared" si="38"/>
        <v>57.345253767123296</v>
      </c>
      <c r="N97" s="390">
        <f t="shared" si="38"/>
        <v>52.867658360655753</v>
      </c>
      <c r="O97" s="390">
        <f t="shared" si="38"/>
        <v>55.133001310684946</v>
      </c>
    </row>
    <row r="98" spans="2:15">
      <c r="C98" s="14" t="s">
        <v>7</v>
      </c>
      <c r="F98" s="87"/>
      <c r="G98" s="136"/>
      <c r="H98" s="380">
        <v>28.77</v>
      </c>
      <c r="I98" s="380">
        <v>30.36</v>
      </c>
      <c r="J98" s="380">
        <v>35.72</v>
      </c>
      <c r="K98" s="408">
        <f t="shared" ref="K98:O98" si="39">K199</f>
        <v>28.896575342465759</v>
      </c>
      <c r="L98" s="408">
        <f t="shared" si="39"/>
        <v>30.34140410958905</v>
      </c>
      <c r="M98" s="408">
        <f t="shared" si="39"/>
        <v>28.672626883561648</v>
      </c>
      <c r="N98" s="408">
        <f t="shared" si="39"/>
        <v>29.738057827868857</v>
      </c>
      <c r="O98" s="408">
        <f t="shared" si="39"/>
        <v>31.01231323726028</v>
      </c>
    </row>
    <row r="99" spans="2:15" ht="13">
      <c r="C99" s="86" t="s">
        <v>13</v>
      </c>
      <c r="F99" s="91"/>
      <c r="G99" s="97"/>
      <c r="H99" s="395">
        <f t="shared" ref="H99:O99" si="40">SUM(H95:H98)</f>
        <v>137.65</v>
      </c>
      <c r="I99" s="395">
        <f t="shared" si="40"/>
        <v>147.27999999999997</v>
      </c>
      <c r="J99" s="395">
        <f t="shared" si="40"/>
        <v>154.68</v>
      </c>
      <c r="K99" s="390">
        <f t="shared" si="40"/>
        <v>159.11102182648395</v>
      </c>
      <c r="L99" s="390">
        <f t="shared" si="40"/>
        <v>171.32893469707761</v>
      </c>
      <c r="M99" s="390">
        <f t="shared" si="40"/>
        <v>185.69393667554851</v>
      </c>
      <c r="N99" s="390">
        <f t="shared" si="40"/>
        <v>201.87331176480902</v>
      </c>
      <c r="O99" s="390">
        <f t="shared" si="40"/>
        <v>221.35264838086874</v>
      </c>
    </row>
    <row r="100" spans="2:15">
      <c r="F100" s="97"/>
      <c r="G100" s="127"/>
      <c r="H100" s="378"/>
      <c r="I100" s="378"/>
      <c r="J100" s="395"/>
      <c r="K100" s="395"/>
      <c r="L100" s="395"/>
      <c r="M100" s="395"/>
      <c r="N100" s="395"/>
      <c r="O100" s="395"/>
    </row>
    <row r="101" spans="2:15">
      <c r="C101" t="s">
        <v>14</v>
      </c>
      <c r="F101" s="87"/>
      <c r="G101" s="136"/>
      <c r="H101" s="397">
        <v>55.19</v>
      </c>
      <c r="I101" s="397">
        <v>57.7</v>
      </c>
      <c r="J101" s="397">
        <v>71.47</v>
      </c>
      <c r="K101" s="390">
        <f>J101-K61-K68</f>
        <v>79.789666666666662</v>
      </c>
      <c r="L101" s="390">
        <f>K101-L61-L68</f>
        <v>88.009333333333331</v>
      </c>
      <c r="M101" s="390">
        <f>L101-M61-M68</f>
        <v>95.385666666666665</v>
      </c>
      <c r="N101" s="390">
        <f>M101-N61-N68</f>
        <v>101.80199999999999</v>
      </c>
      <c r="O101" s="390">
        <f>N101-O61-O68</f>
        <v>107.535</v>
      </c>
    </row>
    <row r="102" spans="2:15">
      <c r="C102" s="14" t="s">
        <v>7</v>
      </c>
      <c r="F102" s="87"/>
      <c r="G102" s="136"/>
      <c r="H102" s="380">
        <v>36.74</v>
      </c>
      <c r="I102" s="380">
        <v>52.81</v>
      </c>
      <c r="J102" s="380">
        <v>72.86</v>
      </c>
      <c r="K102" s="408">
        <f>J102-K69</f>
        <v>72.86</v>
      </c>
      <c r="L102" s="408">
        <f>K102-L69</f>
        <v>72.86</v>
      </c>
      <c r="M102" s="408">
        <f>L102-M69</f>
        <v>72.86</v>
      </c>
      <c r="N102" s="408">
        <f>M102-N69</f>
        <v>72.86</v>
      </c>
      <c r="O102" s="408">
        <f>N102-O69</f>
        <v>72.86</v>
      </c>
    </row>
    <row r="103" spans="2:15" ht="13">
      <c r="C103" s="89" t="s">
        <v>122</v>
      </c>
      <c r="F103" s="87"/>
      <c r="G103" s="136"/>
      <c r="H103" s="409">
        <f>SUM(H101:H102)</f>
        <v>91.93</v>
      </c>
      <c r="I103" s="409">
        <f t="shared" ref="I103:O103" si="41">SUM(I101:I102)</f>
        <v>110.51</v>
      </c>
      <c r="J103" s="409">
        <f t="shared" si="41"/>
        <v>144.32999999999998</v>
      </c>
      <c r="K103" s="409">
        <f t="shared" si="41"/>
        <v>152.64966666666666</v>
      </c>
      <c r="L103" s="409">
        <f t="shared" si="41"/>
        <v>160.86933333333332</v>
      </c>
      <c r="M103" s="409">
        <f t="shared" si="41"/>
        <v>168.24566666666666</v>
      </c>
      <c r="N103" s="409">
        <f t="shared" si="41"/>
        <v>174.66199999999998</v>
      </c>
      <c r="O103" s="409">
        <f t="shared" si="41"/>
        <v>180.39499999999998</v>
      </c>
    </row>
    <row r="104" spans="2:15">
      <c r="C104" s="14"/>
      <c r="F104" s="87"/>
      <c r="G104" s="136"/>
      <c r="H104" s="397"/>
      <c r="I104" s="397"/>
      <c r="J104" s="397"/>
      <c r="K104" s="390"/>
      <c r="L104" s="390"/>
      <c r="M104" s="390"/>
      <c r="N104" s="390"/>
      <c r="O104" s="390"/>
    </row>
    <row r="105" spans="2:15" ht="13.5" thickBot="1">
      <c r="C105" s="90" t="s">
        <v>15</v>
      </c>
      <c r="F105" s="91"/>
      <c r="G105" s="99"/>
      <c r="H105" s="452">
        <f>+H99+H103</f>
        <v>229.58</v>
      </c>
      <c r="I105" s="452">
        <f>+I99+I103</f>
        <v>257.78999999999996</v>
      </c>
      <c r="J105" s="452">
        <f>+J99+J103</f>
        <v>299.01</v>
      </c>
      <c r="K105" s="453">
        <f t="shared" ref="K105:O105" si="42">+K99+K103</f>
        <v>311.76068849315061</v>
      </c>
      <c r="L105" s="453">
        <f t="shared" si="42"/>
        <v>332.19826803041093</v>
      </c>
      <c r="M105" s="453">
        <f t="shared" si="42"/>
        <v>353.93960334221515</v>
      </c>
      <c r="N105" s="453">
        <f t="shared" si="42"/>
        <v>376.53531176480897</v>
      </c>
      <c r="O105" s="453">
        <f t="shared" si="42"/>
        <v>401.74764838086872</v>
      </c>
    </row>
    <row r="106" spans="2:15" ht="13" thickTop="1">
      <c r="F106" s="97"/>
      <c r="G106" s="127"/>
      <c r="H106" s="378"/>
      <c r="I106" s="378"/>
      <c r="J106" s="378"/>
      <c r="K106" s="390"/>
      <c r="L106" s="390"/>
      <c r="M106" s="390"/>
      <c r="N106" s="390"/>
      <c r="O106" s="390"/>
    </row>
    <row r="107" spans="2:15">
      <c r="F107" s="97"/>
      <c r="G107" s="127"/>
      <c r="H107" s="378"/>
      <c r="I107" s="378"/>
      <c r="J107" s="395"/>
      <c r="K107" s="395"/>
      <c r="L107" s="395"/>
      <c r="M107" s="395"/>
      <c r="N107" s="395"/>
      <c r="O107" s="395"/>
    </row>
    <row r="108" spans="2:15" ht="13">
      <c r="B108" s="86" t="s">
        <v>16</v>
      </c>
      <c r="F108" s="97"/>
      <c r="G108" s="127"/>
      <c r="H108" s="378"/>
      <c r="I108" s="378"/>
      <c r="J108" s="395"/>
      <c r="K108" s="395"/>
      <c r="L108" s="395"/>
      <c r="M108" s="395"/>
      <c r="N108" s="395"/>
      <c r="O108" s="395"/>
    </row>
    <row r="109" spans="2:15">
      <c r="C109" s="14" t="s">
        <v>17</v>
      </c>
      <c r="F109" s="87"/>
      <c r="G109" s="129"/>
      <c r="H109" s="410">
        <v>41.64</v>
      </c>
      <c r="I109" s="410">
        <v>36.35</v>
      </c>
      <c r="J109" s="410">
        <v>38.31</v>
      </c>
      <c r="K109" s="407">
        <f>K200</f>
        <v>37.565547945205481</v>
      </c>
      <c r="L109" s="407">
        <f t="shared" ref="L109:O109" si="43">L200</f>
        <v>39.443825342465757</v>
      </c>
      <c r="M109" s="407">
        <f t="shared" si="43"/>
        <v>41.41601660958905</v>
      </c>
      <c r="N109" s="407">
        <f t="shared" si="43"/>
        <v>42.954972418032803</v>
      </c>
      <c r="O109" s="407">
        <f t="shared" si="43"/>
        <v>44.79556356493152</v>
      </c>
    </row>
    <row r="110" spans="2:15">
      <c r="C110" s="14" t="s">
        <v>7</v>
      </c>
      <c r="F110" s="87"/>
      <c r="G110" s="136"/>
      <c r="H110" s="380">
        <v>33.96</v>
      </c>
      <c r="I110" s="380">
        <v>42.19</v>
      </c>
      <c r="J110" s="380">
        <v>48.67</v>
      </c>
      <c r="K110" s="408">
        <f>K201</f>
        <v>46.234520547945209</v>
      </c>
      <c r="L110" s="408">
        <f t="shared" ref="L110:O110" si="44">L201</f>
        <v>48.546246575342479</v>
      </c>
      <c r="M110" s="408">
        <f t="shared" si="44"/>
        <v>50.973558904109595</v>
      </c>
      <c r="N110" s="408">
        <f t="shared" si="44"/>
        <v>52.867658360655753</v>
      </c>
      <c r="O110" s="408">
        <f t="shared" si="44"/>
        <v>55.133001310684946</v>
      </c>
    </row>
    <row r="111" spans="2:15" ht="13">
      <c r="C111" s="86" t="s">
        <v>18</v>
      </c>
      <c r="F111" s="91"/>
      <c r="G111" s="97"/>
      <c r="H111" s="378">
        <f t="shared" ref="H111:O111" si="45">SUM(H109:H110)</f>
        <v>75.599999999999994</v>
      </c>
      <c r="I111" s="378">
        <f t="shared" si="45"/>
        <v>78.539999999999992</v>
      </c>
      <c r="J111" s="378">
        <f t="shared" si="45"/>
        <v>86.98</v>
      </c>
      <c r="K111" s="407">
        <f t="shared" si="45"/>
        <v>83.80006849315069</v>
      </c>
      <c r="L111" s="407">
        <f t="shared" si="45"/>
        <v>87.990071917808237</v>
      </c>
      <c r="M111" s="407">
        <f t="shared" si="45"/>
        <v>92.389575513698645</v>
      </c>
      <c r="N111" s="407">
        <f t="shared" si="45"/>
        <v>95.822630778688563</v>
      </c>
      <c r="O111" s="407">
        <f t="shared" si="45"/>
        <v>99.928564875616473</v>
      </c>
    </row>
    <row r="112" spans="2:15">
      <c r="F112" s="97"/>
      <c r="G112" s="127"/>
      <c r="H112" s="378"/>
      <c r="I112" s="378"/>
      <c r="J112" s="395"/>
      <c r="K112" s="390"/>
      <c r="L112" s="390"/>
      <c r="M112" s="390"/>
      <c r="N112" s="390"/>
      <c r="O112" s="390"/>
    </row>
    <row r="113" spans="1:15">
      <c r="C113" t="s">
        <v>101</v>
      </c>
      <c r="F113" s="87"/>
      <c r="G113" s="127"/>
      <c r="H113" s="371">
        <v>0</v>
      </c>
      <c r="I113" s="371">
        <v>0</v>
      </c>
      <c r="J113" s="371">
        <v>0</v>
      </c>
      <c r="K113" s="390">
        <f>J113+K169</f>
        <v>1.25</v>
      </c>
      <c r="L113" s="390">
        <f t="shared" ref="L113:O113" si="46">K113+L169</f>
        <v>2.5</v>
      </c>
      <c r="M113" s="390">
        <f t="shared" si="46"/>
        <v>3.75</v>
      </c>
      <c r="N113" s="390">
        <f t="shared" si="46"/>
        <v>5</v>
      </c>
      <c r="O113" s="390">
        <f t="shared" si="46"/>
        <v>6.25</v>
      </c>
    </row>
    <row r="114" spans="1:15">
      <c r="C114" s="14" t="s">
        <v>94</v>
      </c>
      <c r="F114" s="87"/>
      <c r="G114" s="137"/>
      <c r="H114" s="380">
        <v>15.87</v>
      </c>
      <c r="I114" s="380">
        <v>19.329999999999998</v>
      </c>
      <c r="J114" s="380">
        <v>24.74</v>
      </c>
      <c r="K114" s="408">
        <f>K230</f>
        <v>20.74</v>
      </c>
      <c r="L114" s="408">
        <f t="shared" ref="L114:O114" si="47">L230</f>
        <v>16.739999999999998</v>
      </c>
      <c r="M114" s="408">
        <f t="shared" si="47"/>
        <v>12.739999999999998</v>
      </c>
      <c r="N114" s="408">
        <f t="shared" si="47"/>
        <v>8.7399999999999984</v>
      </c>
      <c r="O114" s="408">
        <f t="shared" si="47"/>
        <v>4.7399999999999984</v>
      </c>
    </row>
    <row r="115" spans="1:15" ht="13">
      <c r="C115" s="89" t="s">
        <v>19</v>
      </c>
      <c r="F115" s="91"/>
      <c r="G115" s="129"/>
      <c r="H115" s="395">
        <f t="shared" ref="H115:O115" si="48">SUM(H113:H114)</f>
        <v>15.87</v>
      </c>
      <c r="I115" s="395">
        <f t="shared" si="48"/>
        <v>19.329999999999998</v>
      </c>
      <c r="J115" s="395">
        <f t="shared" si="48"/>
        <v>24.74</v>
      </c>
      <c r="K115" s="390">
        <f t="shared" si="48"/>
        <v>21.99</v>
      </c>
      <c r="L115" s="390">
        <f t="shared" si="48"/>
        <v>19.239999999999998</v>
      </c>
      <c r="M115" s="390">
        <f t="shared" si="48"/>
        <v>16.489999999999998</v>
      </c>
      <c r="N115" s="390">
        <f t="shared" si="48"/>
        <v>13.739999999999998</v>
      </c>
      <c r="O115" s="390">
        <f t="shared" si="48"/>
        <v>10.989999999999998</v>
      </c>
    </row>
    <row r="116" spans="1:15" ht="13">
      <c r="C116" s="86"/>
      <c r="F116" s="97"/>
      <c r="G116" s="127"/>
      <c r="H116" s="378"/>
      <c r="I116" s="378"/>
      <c r="J116" s="395"/>
      <c r="K116" s="390"/>
      <c r="L116" s="390"/>
      <c r="M116" s="390"/>
      <c r="N116" s="390"/>
      <c r="O116" s="390"/>
    </row>
    <row r="117" spans="1:15" ht="13">
      <c r="C117" s="89" t="s">
        <v>20</v>
      </c>
      <c r="F117" s="91"/>
      <c r="G117" s="99"/>
      <c r="H117" s="382">
        <f t="shared" ref="H117:O117" si="49">H115+H111</f>
        <v>91.47</v>
      </c>
      <c r="I117" s="382">
        <f t="shared" si="49"/>
        <v>97.86999999999999</v>
      </c>
      <c r="J117" s="382">
        <f t="shared" si="49"/>
        <v>111.72</v>
      </c>
      <c r="K117" s="411">
        <f t="shared" si="49"/>
        <v>105.79006849315068</v>
      </c>
      <c r="L117" s="411">
        <f t="shared" si="49"/>
        <v>107.23007191780823</v>
      </c>
      <c r="M117" s="411">
        <f t="shared" si="49"/>
        <v>108.87957551369864</v>
      </c>
      <c r="N117" s="411">
        <f t="shared" si="49"/>
        <v>109.56263077868856</v>
      </c>
      <c r="O117" s="411">
        <f t="shared" si="49"/>
        <v>110.91856487561647</v>
      </c>
    </row>
    <row r="118" spans="1:15">
      <c r="F118" s="97"/>
      <c r="G118" s="97"/>
      <c r="H118" s="378"/>
      <c r="I118" s="378"/>
      <c r="J118" s="395"/>
      <c r="K118" s="395"/>
      <c r="L118" s="395"/>
      <c r="M118" s="395"/>
      <c r="N118" s="395"/>
      <c r="O118" s="395"/>
    </row>
    <row r="119" spans="1:15">
      <c r="C119" t="s">
        <v>82</v>
      </c>
      <c r="F119" s="87"/>
      <c r="G119" s="97"/>
      <c r="H119" s="397">
        <v>0.96</v>
      </c>
      <c r="I119" s="397">
        <v>0.96</v>
      </c>
      <c r="J119" s="397">
        <v>0.96</v>
      </c>
      <c r="K119" s="390">
        <f>K250</f>
        <v>0.96</v>
      </c>
      <c r="L119" s="390">
        <f t="shared" ref="L119:O119" si="50">L250</f>
        <v>0.96</v>
      </c>
      <c r="M119" s="390">
        <f t="shared" si="50"/>
        <v>0.96</v>
      </c>
      <c r="N119" s="390">
        <f t="shared" si="50"/>
        <v>0.96</v>
      </c>
      <c r="O119" s="390">
        <f t="shared" si="50"/>
        <v>0.96</v>
      </c>
    </row>
    <row r="120" spans="1:15">
      <c r="C120" t="s">
        <v>85</v>
      </c>
      <c r="F120" s="87"/>
      <c r="G120" s="138"/>
      <c r="H120" s="380">
        <v>137.16</v>
      </c>
      <c r="I120" s="380">
        <v>158.96</v>
      </c>
      <c r="J120" s="380">
        <v>186.32</v>
      </c>
      <c r="K120" s="408">
        <f>K261</f>
        <v>205.00061999999997</v>
      </c>
      <c r="L120" s="408">
        <f t="shared" ref="L120:O120" si="51">L261</f>
        <v>223.9981961126027</v>
      </c>
      <c r="M120" s="408">
        <f t="shared" si="51"/>
        <v>244.09002782851661</v>
      </c>
      <c r="N120" s="408">
        <f t="shared" si="51"/>
        <v>266.00268098612048</v>
      </c>
      <c r="O120" s="408">
        <f t="shared" si="51"/>
        <v>289.85908350525227</v>
      </c>
    </row>
    <row r="121" spans="1:15" ht="13">
      <c r="C121" s="86" t="s">
        <v>21</v>
      </c>
      <c r="F121" s="91"/>
      <c r="G121" s="129"/>
      <c r="H121" s="393">
        <f>SUM(H119:H120)</f>
        <v>138.12</v>
      </c>
      <c r="I121" s="393">
        <f>SUM(I119:I120)</f>
        <v>159.92000000000002</v>
      </c>
      <c r="J121" s="393">
        <f t="shared" ref="J121:O121" si="52">SUM(J119:J120)</f>
        <v>187.28</v>
      </c>
      <c r="K121" s="412">
        <f t="shared" si="52"/>
        <v>205.96061999999998</v>
      </c>
      <c r="L121" s="412">
        <f t="shared" si="52"/>
        <v>224.95819611260271</v>
      </c>
      <c r="M121" s="412">
        <f t="shared" si="52"/>
        <v>245.05002782851662</v>
      </c>
      <c r="N121" s="412">
        <f t="shared" si="52"/>
        <v>266.96268098612046</v>
      </c>
      <c r="O121" s="412">
        <f t="shared" si="52"/>
        <v>290.81908350525225</v>
      </c>
    </row>
    <row r="122" spans="1:15">
      <c r="F122" s="97"/>
      <c r="G122" s="97"/>
      <c r="H122" s="395"/>
      <c r="I122" s="395"/>
      <c r="J122" s="395"/>
      <c r="K122" s="390"/>
      <c r="L122" s="390"/>
      <c r="M122" s="390"/>
      <c r="N122" s="390"/>
      <c r="O122" s="390"/>
    </row>
    <row r="123" spans="1:15" ht="13.5" thickBot="1">
      <c r="B123" s="86" t="s">
        <v>22</v>
      </c>
      <c r="F123" s="91"/>
      <c r="G123" s="99"/>
      <c r="H123" s="452">
        <f>H121+H117</f>
        <v>229.59</v>
      </c>
      <c r="I123" s="452">
        <f>I121+I117</f>
        <v>257.79000000000002</v>
      </c>
      <c r="J123" s="452">
        <f t="shared" ref="J123:O123" si="53">J121+J117</f>
        <v>299</v>
      </c>
      <c r="K123" s="453">
        <f t="shared" si="53"/>
        <v>311.75068849315068</v>
      </c>
      <c r="L123" s="453">
        <f t="shared" si="53"/>
        <v>332.18826803041094</v>
      </c>
      <c r="M123" s="453">
        <f t="shared" si="53"/>
        <v>353.92960334221527</v>
      </c>
      <c r="N123" s="453">
        <f t="shared" si="53"/>
        <v>376.52531176480903</v>
      </c>
      <c r="O123" s="453">
        <f t="shared" si="53"/>
        <v>401.73764838086873</v>
      </c>
    </row>
    <row r="124" spans="1:15" ht="13" thickTop="1">
      <c r="F124" s="139"/>
      <c r="G124" s="139"/>
      <c r="H124" s="140"/>
      <c r="I124" s="140"/>
      <c r="J124" s="140"/>
      <c r="K124" s="140"/>
      <c r="L124" s="140"/>
      <c r="M124" s="140"/>
      <c r="N124" s="140"/>
      <c r="O124" s="140"/>
    </row>
    <row r="125" spans="1:15" ht="13">
      <c r="B125" s="123"/>
      <c r="D125" s="141" t="s">
        <v>23</v>
      </c>
      <c r="F125" s="142"/>
      <c r="G125" s="142"/>
      <c r="H125" s="143">
        <f>ROUND(H105-H123,1)</f>
        <v>0</v>
      </c>
      <c r="I125" s="143">
        <f t="shared" ref="I125:O125" si="54">ROUND(I105-I123,1)</f>
        <v>0</v>
      </c>
      <c r="J125" s="143">
        <f t="shared" si="54"/>
        <v>0</v>
      </c>
      <c r="K125" s="143">
        <f t="shared" si="54"/>
        <v>0</v>
      </c>
      <c r="L125" s="143">
        <f t="shared" si="54"/>
        <v>0</v>
      </c>
      <c r="M125" s="143">
        <f t="shared" si="54"/>
        <v>0</v>
      </c>
      <c r="N125" s="143">
        <f t="shared" si="54"/>
        <v>0</v>
      </c>
      <c r="O125" s="143">
        <f t="shared" si="54"/>
        <v>0</v>
      </c>
    </row>
    <row r="126" spans="1:15" ht="13">
      <c r="B126" s="144"/>
      <c r="C126" s="11"/>
      <c r="D126" s="11"/>
      <c r="E126" s="11"/>
      <c r="F126" s="11"/>
      <c r="G126" s="11"/>
      <c r="H126" s="11"/>
      <c r="I126" s="11"/>
      <c r="J126" s="11"/>
      <c r="K126" s="145"/>
      <c r="L126" s="145"/>
      <c r="M126" s="145"/>
      <c r="N126" s="145"/>
      <c r="O126" s="145"/>
    </row>
    <row r="127" spans="1:15">
      <c r="F127"/>
    </row>
    <row r="128" spans="1:15" ht="12.75" customHeight="1">
      <c r="A128" s="78"/>
      <c r="B128" s="1"/>
      <c r="C128" s="3"/>
      <c r="D128" s="3"/>
      <c r="E128" s="3"/>
      <c r="F128" s="77"/>
      <c r="G128" s="3"/>
      <c r="H128" s="3"/>
      <c r="I128" s="3"/>
      <c r="J128" s="3"/>
      <c r="K128" s="3"/>
      <c r="L128" s="3"/>
      <c r="M128" s="3"/>
      <c r="N128" s="3"/>
      <c r="O128" s="94" t="str">
        <f>$O$1</f>
        <v>CURRENTLY RUNNING: BASE CASE SCENARIO</v>
      </c>
    </row>
    <row r="129" spans="1:243" ht="22.75" customHeight="1">
      <c r="B129" s="146" t="str">
        <f>B$2</f>
        <v>Asian Paints</v>
      </c>
      <c r="C129" s="147"/>
      <c r="D129" s="147"/>
      <c r="E129" s="148"/>
      <c r="F129" s="148"/>
      <c r="G129" s="149"/>
      <c r="H129" s="149"/>
      <c r="I129" s="149"/>
      <c r="J129" s="149"/>
      <c r="K129" s="149"/>
      <c r="L129" s="149"/>
      <c r="M129" s="149"/>
      <c r="N129" s="149"/>
      <c r="O129" s="149"/>
    </row>
    <row r="130" spans="1:243" ht="18">
      <c r="B130" s="80" t="s">
        <v>96</v>
      </c>
      <c r="C130" s="80"/>
      <c r="D130" s="80"/>
      <c r="E130" s="150"/>
      <c r="F130" s="150"/>
      <c r="G130" s="80"/>
      <c r="H130" s="80"/>
      <c r="I130" s="80"/>
      <c r="J130" s="80"/>
      <c r="K130" s="80"/>
      <c r="L130" s="80"/>
      <c r="M130" s="80"/>
      <c r="N130" s="80"/>
      <c r="O130" s="80"/>
    </row>
    <row r="131" spans="1:243" ht="3" customHeight="1" thickBot="1">
      <c r="A131" s="79"/>
      <c r="B131" s="254"/>
      <c r="C131" s="255"/>
      <c r="D131" s="255"/>
      <c r="E131" s="255"/>
      <c r="F131" s="256"/>
      <c r="G131" s="255"/>
      <c r="H131" s="255"/>
      <c r="I131" s="255"/>
      <c r="J131" s="255"/>
      <c r="K131" s="255"/>
      <c r="L131" s="255"/>
      <c r="M131" s="255"/>
      <c r="N131" s="255"/>
      <c r="O131" s="255"/>
    </row>
    <row r="132" spans="1:243" ht="13">
      <c r="B132" s="103" t="s">
        <v>143</v>
      </c>
      <c r="C132" s="123"/>
      <c r="E132" s="83"/>
      <c r="G132" s="123"/>
    </row>
    <row r="133" spans="1:243" ht="13">
      <c r="E133" s="83"/>
      <c r="K133" s="85" t="s">
        <v>0</v>
      </c>
      <c r="L133" s="151"/>
      <c r="M133" s="151"/>
      <c r="N133" s="151"/>
      <c r="O133" s="151"/>
    </row>
    <row r="134" spans="1:243" ht="13">
      <c r="C134" s="90"/>
      <c r="D134" s="90"/>
      <c r="E134" s="96"/>
      <c r="F134" s="152"/>
      <c r="G134" s="95"/>
      <c r="H134" s="246">
        <f>I134-1</f>
        <v>2022</v>
      </c>
      <c r="I134" s="246">
        <f>J134-1</f>
        <v>2023</v>
      </c>
      <c r="J134" s="246">
        <f>K134-1</f>
        <v>2024</v>
      </c>
      <c r="K134" s="249">
        <f>K92</f>
        <v>2025</v>
      </c>
      <c r="L134" s="249">
        <f t="shared" ref="L134:O134" si="55">L92</f>
        <v>2026</v>
      </c>
      <c r="M134" s="249">
        <f t="shared" si="55"/>
        <v>2027</v>
      </c>
      <c r="N134" s="249">
        <f t="shared" si="55"/>
        <v>2028</v>
      </c>
      <c r="O134" s="249">
        <f t="shared" si="55"/>
        <v>2029</v>
      </c>
    </row>
    <row r="136" spans="1:243" ht="13.4" customHeight="1">
      <c r="A136" s="153"/>
      <c r="B136" s="154" t="s">
        <v>133</v>
      </c>
      <c r="C136" s="5"/>
      <c r="D136" s="5"/>
      <c r="E136" s="5"/>
      <c r="F136" s="325">
        <f>Assumptions!H19</f>
        <v>10</v>
      </c>
      <c r="K136" s="155"/>
      <c r="L136" s="156"/>
      <c r="M136" s="156"/>
      <c r="N136" s="156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  <c r="CT136" s="157"/>
      <c r="CU136" s="157"/>
      <c r="CV136" s="157"/>
      <c r="CW136" s="157"/>
      <c r="CX136" s="157"/>
      <c r="CY136" s="157"/>
      <c r="CZ136" s="157"/>
      <c r="DA136" s="157"/>
      <c r="DB136" s="157"/>
      <c r="DC136" s="157"/>
      <c r="DD136" s="157"/>
      <c r="DE136" s="157"/>
      <c r="DF136" s="157"/>
      <c r="DG136" s="157"/>
      <c r="DH136" s="157"/>
      <c r="DI136" s="157"/>
      <c r="DJ136" s="157"/>
      <c r="DK136" s="157"/>
      <c r="DL136" s="157"/>
      <c r="DM136" s="157"/>
      <c r="DN136" s="157"/>
      <c r="DO136" s="157"/>
      <c r="DP136" s="157"/>
      <c r="DQ136" s="157"/>
      <c r="DR136" s="157"/>
      <c r="DS136" s="157"/>
      <c r="DT136" s="157"/>
      <c r="DU136" s="157"/>
      <c r="DV136" s="157"/>
      <c r="DW136" s="157"/>
      <c r="DX136" s="157"/>
      <c r="DY136" s="157"/>
      <c r="DZ136" s="157"/>
      <c r="EA136" s="157"/>
      <c r="EB136" s="157"/>
      <c r="EC136" s="157"/>
      <c r="ED136" s="157"/>
      <c r="EE136" s="157"/>
      <c r="EF136" s="157"/>
      <c r="EG136" s="157"/>
      <c r="EH136" s="157"/>
      <c r="EI136" s="157"/>
      <c r="EJ136" s="157"/>
      <c r="EK136" s="157"/>
      <c r="EL136" s="157"/>
      <c r="EM136" s="157"/>
      <c r="EN136" s="157"/>
      <c r="EO136" s="157"/>
      <c r="EP136" s="157"/>
      <c r="EQ136" s="157"/>
      <c r="ER136" s="157"/>
      <c r="ES136" s="157"/>
      <c r="ET136" s="157"/>
      <c r="EU136" s="157"/>
      <c r="EV136" s="157"/>
      <c r="EW136" s="157"/>
      <c r="EX136" s="157"/>
      <c r="EY136" s="157"/>
      <c r="EZ136" s="157"/>
      <c r="FA136" s="157"/>
      <c r="FB136" s="157"/>
      <c r="FC136" s="157"/>
      <c r="FD136" s="157"/>
      <c r="FE136" s="157"/>
      <c r="FF136" s="157"/>
      <c r="FG136" s="157"/>
      <c r="FH136" s="157"/>
      <c r="FI136" s="157"/>
      <c r="FJ136" s="157"/>
      <c r="FK136" s="157"/>
      <c r="FL136" s="157"/>
      <c r="FM136" s="157"/>
      <c r="FN136" s="157"/>
      <c r="FO136" s="157"/>
      <c r="FP136" s="157"/>
      <c r="FQ136" s="157"/>
      <c r="FR136" s="157"/>
      <c r="FS136" s="157"/>
      <c r="FT136" s="157"/>
      <c r="FU136" s="157"/>
      <c r="FV136" s="157"/>
      <c r="FW136" s="157"/>
      <c r="FX136" s="157"/>
      <c r="FY136" s="157"/>
      <c r="FZ136" s="157"/>
      <c r="GA136" s="157"/>
      <c r="GB136" s="157"/>
      <c r="GC136" s="157"/>
      <c r="GD136" s="157"/>
      <c r="GE136" s="157"/>
      <c r="GF136" s="157"/>
      <c r="GG136" s="157"/>
      <c r="GH136" s="157"/>
      <c r="GI136" s="157"/>
      <c r="GJ136" s="157"/>
      <c r="GK136" s="157"/>
      <c r="GL136" s="157"/>
      <c r="GM136" s="157"/>
      <c r="GN136" s="157"/>
      <c r="GO136" s="157"/>
      <c r="GP136" s="157"/>
      <c r="GQ136" s="157"/>
      <c r="GR136" s="157"/>
      <c r="GS136" s="157"/>
      <c r="GT136" s="157"/>
      <c r="GU136" s="157"/>
      <c r="GV136" s="157"/>
      <c r="GW136" s="157"/>
      <c r="GX136" s="157"/>
      <c r="GY136" s="157"/>
      <c r="GZ136" s="157"/>
      <c r="HA136" s="157"/>
      <c r="HB136" s="157"/>
      <c r="HC136" s="157"/>
      <c r="HD136" s="157"/>
      <c r="HE136" s="157"/>
      <c r="HF136" s="157"/>
      <c r="HG136" s="157"/>
      <c r="HH136" s="157"/>
      <c r="HI136" s="157"/>
      <c r="HJ136" s="157"/>
      <c r="HK136" s="157"/>
      <c r="HL136" s="157"/>
      <c r="HM136" s="157"/>
      <c r="HN136" s="157"/>
      <c r="HO136" s="157"/>
      <c r="HP136" s="157"/>
      <c r="HQ136" s="157"/>
      <c r="HR136" s="157"/>
      <c r="HS136" s="157"/>
      <c r="HT136" s="157"/>
      <c r="HU136" s="157"/>
      <c r="HV136" s="157"/>
      <c r="HW136" s="157"/>
      <c r="HX136" s="157"/>
      <c r="HY136" s="157"/>
      <c r="HZ136" s="157"/>
      <c r="IA136" s="157"/>
      <c r="IB136" s="157"/>
      <c r="IC136" s="157"/>
      <c r="ID136" s="157"/>
      <c r="IE136" s="157"/>
      <c r="IF136" s="157"/>
      <c r="IG136" s="157"/>
      <c r="IH136" s="157"/>
      <c r="II136" s="157"/>
    </row>
    <row r="137" spans="1:243" ht="13.4" customHeight="1">
      <c r="A137" s="153"/>
      <c r="B137" s="158" t="s">
        <v>98</v>
      </c>
      <c r="C137" s="11"/>
      <c r="D137" s="159"/>
      <c r="E137" s="160"/>
      <c r="F137" s="326">
        <f>Assumptions!H20</f>
        <v>15</v>
      </c>
      <c r="K137" s="155"/>
      <c r="L137" s="156"/>
      <c r="M137" s="156"/>
      <c r="N137" s="156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  <c r="CT137" s="157"/>
      <c r="CU137" s="157"/>
      <c r="CV137" s="157"/>
      <c r="CW137" s="157"/>
      <c r="CX137" s="157"/>
      <c r="CY137" s="157"/>
      <c r="CZ137" s="157"/>
      <c r="DA137" s="157"/>
      <c r="DB137" s="157"/>
      <c r="DC137" s="157"/>
      <c r="DD137" s="157"/>
      <c r="DE137" s="157"/>
      <c r="DF137" s="157"/>
      <c r="DG137" s="157"/>
      <c r="DH137" s="157"/>
      <c r="DI137" s="157"/>
      <c r="DJ137" s="157"/>
      <c r="DK137" s="157"/>
      <c r="DL137" s="157"/>
      <c r="DM137" s="157"/>
      <c r="DN137" s="157"/>
      <c r="DO137" s="157"/>
      <c r="DP137" s="157"/>
      <c r="DQ137" s="157"/>
      <c r="DR137" s="157"/>
      <c r="DS137" s="157"/>
      <c r="DT137" s="157"/>
      <c r="DU137" s="157"/>
      <c r="DV137" s="157"/>
      <c r="DW137" s="157"/>
      <c r="DX137" s="157"/>
      <c r="DY137" s="157"/>
      <c r="DZ137" s="157"/>
      <c r="EA137" s="157"/>
      <c r="EB137" s="157"/>
      <c r="EC137" s="157"/>
      <c r="ED137" s="157"/>
      <c r="EE137" s="157"/>
      <c r="EF137" s="157"/>
      <c r="EG137" s="157"/>
      <c r="EH137" s="157"/>
      <c r="EI137" s="157"/>
      <c r="EJ137" s="157"/>
      <c r="EK137" s="157"/>
      <c r="EL137" s="157"/>
      <c r="EM137" s="157"/>
      <c r="EN137" s="157"/>
      <c r="EO137" s="157"/>
      <c r="EP137" s="157"/>
      <c r="EQ137" s="157"/>
      <c r="ER137" s="157"/>
      <c r="ES137" s="157"/>
      <c r="ET137" s="157"/>
      <c r="EU137" s="157"/>
      <c r="EV137" s="157"/>
      <c r="EW137" s="157"/>
      <c r="EX137" s="157"/>
      <c r="EY137" s="157"/>
      <c r="EZ137" s="157"/>
      <c r="FA137" s="157"/>
      <c r="FB137" s="157"/>
      <c r="FC137" s="157"/>
      <c r="FD137" s="157"/>
      <c r="FE137" s="157"/>
      <c r="FF137" s="157"/>
      <c r="FG137" s="157"/>
      <c r="FH137" s="157"/>
      <c r="FI137" s="157"/>
      <c r="FJ137" s="157"/>
      <c r="FK137" s="157"/>
      <c r="FL137" s="157"/>
      <c r="FM137" s="157"/>
      <c r="FN137" s="157"/>
      <c r="FO137" s="157"/>
      <c r="FP137" s="157"/>
      <c r="FQ137" s="157"/>
      <c r="FR137" s="157"/>
      <c r="FS137" s="157"/>
      <c r="FT137" s="157"/>
      <c r="FU137" s="157"/>
      <c r="FV137" s="157"/>
      <c r="FW137" s="157"/>
      <c r="FX137" s="157"/>
      <c r="FY137" s="157"/>
      <c r="FZ137" s="157"/>
      <c r="GA137" s="157"/>
      <c r="GB137" s="157"/>
      <c r="GC137" s="157"/>
      <c r="GD137" s="157"/>
      <c r="GE137" s="157"/>
      <c r="GF137" s="157"/>
      <c r="GG137" s="157"/>
      <c r="GH137" s="157"/>
      <c r="GI137" s="157"/>
      <c r="GJ137" s="157"/>
      <c r="GK137" s="157"/>
      <c r="GL137" s="157"/>
      <c r="GM137" s="157"/>
      <c r="GN137" s="157"/>
      <c r="GO137" s="157"/>
      <c r="GP137" s="157"/>
      <c r="GQ137" s="157"/>
      <c r="GR137" s="157"/>
      <c r="GS137" s="157"/>
      <c r="GT137" s="157"/>
      <c r="GU137" s="157"/>
      <c r="GV137" s="157"/>
      <c r="GW137" s="157"/>
      <c r="GX137" s="157"/>
      <c r="GY137" s="157"/>
      <c r="GZ137" s="157"/>
      <c r="HA137" s="157"/>
      <c r="HB137" s="157"/>
      <c r="HC137" s="157"/>
      <c r="HD137" s="157"/>
      <c r="HE137" s="157"/>
      <c r="HF137" s="157"/>
      <c r="HG137" s="157"/>
      <c r="HH137" s="157"/>
      <c r="HI137" s="157"/>
      <c r="HJ137" s="157"/>
      <c r="HK137" s="157"/>
      <c r="HL137" s="157"/>
      <c r="HM137" s="157"/>
      <c r="HN137" s="157"/>
      <c r="HO137" s="157"/>
      <c r="HP137" s="157"/>
      <c r="HQ137" s="157"/>
      <c r="HR137" s="157"/>
      <c r="HS137" s="157"/>
      <c r="HT137" s="157"/>
      <c r="HU137" s="157"/>
      <c r="HV137" s="157"/>
      <c r="HW137" s="157"/>
      <c r="HX137" s="157"/>
      <c r="HY137" s="157"/>
      <c r="HZ137" s="157"/>
      <c r="IA137" s="157"/>
      <c r="IB137" s="157"/>
      <c r="IC137" s="157"/>
      <c r="ID137" s="157"/>
      <c r="IE137" s="157"/>
      <c r="IF137" s="157"/>
      <c r="IG137" s="157"/>
      <c r="IH137" s="157"/>
      <c r="II137" s="157"/>
    </row>
    <row r="138" spans="1:243" ht="12.75" customHeight="1">
      <c r="F138"/>
      <c r="K138" s="161"/>
    </row>
    <row r="139" spans="1:243">
      <c r="D139" t="s">
        <v>34</v>
      </c>
      <c r="F139"/>
      <c r="H139" s="26"/>
      <c r="I139" s="26"/>
      <c r="J139" s="26"/>
      <c r="K139" s="457">
        <f>J101/F136</f>
        <v>7.1470000000000002</v>
      </c>
      <c r="L139" s="457">
        <f>K139</f>
        <v>7.1470000000000002</v>
      </c>
      <c r="M139" s="457">
        <f>L139</f>
        <v>7.1470000000000002</v>
      </c>
      <c r="N139" s="457">
        <f>M139</f>
        <v>7.1470000000000002</v>
      </c>
      <c r="O139" s="457">
        <f>N139</f>
        <v>7.1470000000000002</v>
      </c>
    </row>
    <row r="140" spans="1:243">
      <c r="F140"/>
      <c r="K140" s="457"/>
      <c r="L140" s="457"/>
      <c r="M140" s="457"/>
      <c r="N140" s="457"/>
      <c r="O140" s="457"/>
    </row>
    <row r="141" spans="1:243" ht="13">
      <c r="D141" s="162" t="s">
        <v>40</v>
      </c>
      <c r="F141"/>
      <c r="K141" s="457"/>
      <c r="L141" s="457"/>
      <c r="M141" s="457"/>
      <c r="N141" s="457"/>
      <c r="O141" s="457"/>
    </row>
    <row r="142" spans="1:243">
      <c r="D142" s="163">
        <f>K134</f>
        <v>2025</v>
      </c>
      <c r="E142" s="454">
        <f>-HLOOKUP(D142,$K$58:$O$68,ROWS($J$58:$J$68),FALSE)</f>
        <v>16</v>
      </c>
      <c r="F142" s="164"/>
      <c r="H142" s="156"/>
      <c r="I142" s="156"/>
      <c r="J142" s="156"/>
      <c r="K142" s="458">
        <f>IF(K$134=$D142,$E142/$F$137/2,$E142/$F$137)</f>
        <v>0.53333333333333333</v>
      </c>
      <c r="L142" s="458">
        <f t="shared" ref="L142:O146" si="56">IF(L$134=$D142,$E142/$F$137/2,$E142/$F$137)</f>
        <v>1.0666666666666667</v>
      </c>
      <c r="M142" s="458">
        <f t="shared" si="56"/>
        <v>1.0666666666666667</v>
      </c>
      <c r="N142" s="458">
        <f t="shared" si="56"/>
        <v>1.0666666666666667</v>
      </c>
      <c r="O142" s="458">
        <f t="shared" si="56"/>
        <v>1.0666666666666667</v>
      </c>
    </row>
    <row r="143" spans="1:243">
      <c r="D143" s="163">
        <f>D142+1</f>
        <v>2026</v>
      </c>
      <c r="E143" s="455">
        <f t="shared" ref="E143:E146" si="57">-HLOOKUP(D143,$K$58:$O$68,ROWS($J$58:$J$68),FALSE)</f>
        <v>17</v>
      </c>
      <c r="F143" s="164"/>
      <c r="H143" s="156"/>
      <c r="I143" s="156"/>
      <c r="J143" s="156"/>
      <c r="K143" s="458"/>
      <c r="L143" s="458">
        <f t="shared" si="56"/>
        <v>0.56666666666666665</v>
      </c>
      <c r="M143" s="458">
        <f t="shared" si="56"/>
        <v>1.1333333333333333</v>
      </c>
      <c r="N143" s="458">
        <f t="shared" si="56"/>
        <v>1.1333333333333333</v>
      </c>
      <c r="O143" s="458">
        <f t="shared" si="56"/>
        <v>1.1333333333333333</v>
      </c>
    </row>
    <row r="144" spans="1:243">
      <c r="D144" s="163">
        <f>D143+1</f>
        <v>2027</v>
      </c>
      <c r="E144" s="455">
        <f t="shared" si="57"/>
        <v>17.3</v>
      </c>
      <c r="F144" s="164"/>
      <c r="H144" s="98"/>
      <c r="I144" s="98"/>
      <c r="J144" s="98"/>
      <c r="K144" s="458"/>
      <c r="L144" s="458"/>
      <c r="M144" s="458">
        <f t="shared" si="56"/>
        <v>0.57666666666666666</v>
      </c>
      <c r="N144" s="458">
        <f t="shared" si="56"/>
        <v>1.1533333333333333</v>
      </c>
      <c r="O144" s="458">
        <f t="shared" si="56"/>
        <v>1.1533333333333333</v>
      </c>
    </row>
    <row r="145" spans="1:15">
      <c r="D145" s="163">
        <f>D144+1</f>
        <v>2028</v>
      </c>
      <c r="E145" s="455">
        <f t="shared" si="57"/>
        <v>17.5</v>
      </c>
      <c r="F145" s="164"/>
      <c r="H145" s="98"/>
      <c r="I145" s="98"/>
      <c r="J145" s="98"/>
      <c r="K145" s="457"/>
      <c r="L145" s="458"/>
      <c r="M145" s="458"/>
      <c r="N145" s="458">
        <f t="shared" si="56"/>
        <v>0.58333333333333337</v>
      </c>
      <c r="O145" s="458">
        <f t="shared" si="56"/>
        <v>1.1666666666666667</v>
      </c>
    </row>
    <row r="146" spans="1:15">
      <c r="D146" s="163">
        <f>D145+1</f>
        <v>2029</v>
      </c>
      <c r="E146" s="456">
        <f t="shared" si="57"/>
        <v>18</v>
      </c>
      <c r="F146" s="164"/>
      <c r="H146" s="98"/>
      <c r="I146" s="98"/>
      <c r="J146" s="98"/>
      <c r="K146" s="457"/>
      <c r="L146" s="457"/>
      <c r="M146" s="458"/>
      <c r="N146" s="458"/>
      <c r="O146" s="458">
        <f t="shared" si="56"/>
        <v>0.6</v>
      </c>
    </row>
    <row r="147" spans="1:15">
      <c r="K147" s="457"/>
      <c r="L147" s="457"/>
      <c r="M147" s="457"/>
      <c r="N147" s="457"/>
      <c r="O147" s="457"/>
    </row>
    <row r="148" spans="1:15" ht="13.5" thickBot="1">
      <c r="D148" s="165" t="s">
        <v>35</v>
      </c>
      <c r="H148" s="166"/>
      <c r="I148" s="166"/>
      <c r="J148" s="166"/>
      <c r="K148" s="413">
        <f>SUM(K139:K146)</f>
        <v>7.6803333333333335</v>
      </c>
      <c r="L148" s="413">
        <f t="shared" ref="L148:O148" si="58">SUM(L139:L146)</f>
        <v>8.7803333333333331</v>
      </c>
      <c r="M148" s="413">
        <f t="shared" si="58"/>
        <v>9.9236666666666657</v>
      </c>
      <c r="N148" s="413">
        <f t="shared" si="58"/>
        <v>11.083666666666668</v>
      </c>
      <c r="O148" s="413">
        <f t="shared" si="58"/>
        <v>12.266999999999999</v>
      </c>
    </row>
    <row r="149" spans="1:15" ht="13" thickTop="1">
      <c r="B149" s="11"/>
      <c r="C149" s="11"/>
      <c r="D149" s="11"/>
      <c r="E149" s="11"/>
      <c r="F149" s="93"/>
      <c r="G149" s="11"/>
      <c r="H149" s="167"/>
      <c r="I149" s="167"/>
      <c r="J149" s="167"/>
      <c r="K149" s="167"/>
      <c r="L149" s="167"/>
      <c r="M149" s="167"/>
      <c r="N149" s="167"/>
      <c r="O149" s="11"/>
    </row>
    <row r="150" spans="1:15">
      <c r="F150"/>
    </row>
    <row r="151" spans="1:15" ht="12.75" customHeight="1">
      <c r="A151" s="78"/>
      <c r="B151" s="1"/>
      <c r="C151" s="3"/>
      <c r="D151" s="3"/>
      <c r="E151" s="3"/>
      <c r="F151" s="77"/>
      <c r="G151" s="3"/>
      <c r="H151" s="3"/>
      <c r="I151" s="3"/>
      <c r="J151" s="3"/>
      <c r="K151" s="3"/>
      <c r="L151" s="3"/>
      <c r="M151" s="3"/>
      <c r="N151" s="3"/>
      <c r="O151" s="94" t="str">
        <f>$O$1</f>
        <v>CURRENTLY RUNNING: BASE CASE SCENARIO</v>
      </c>
    </row>
    <row r="152" spans="1:15" ht="23">
      <c r="B152" s="1" t="str">
        <f>B$2</f>
        <v>Asian Paints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8">
      <c r="B153" s="80" t="s">
        <v>38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3" customHeight="1" thickBot="1">
      <c r="A154" s="79"/>
      <c r="B154" s="254"/>
      <c r="C154" s="255"/>
      <c r="D154" s="255"/>
      <c r="E154" s="255"/>
      <c r="F154" s="256"/>
      <c r="G154" s="255"/>
      <c r="H154" s="255"/>
      <c r="I154" s="255"/>
      <c r="J154" s="255"/>
      <c r="K154" s="255"/>
      <c r="L154" s="255"/>
      <c r="M154" s="255"/>
      <c r="N154" s="255"/>
      <c r="O154" s="255"/>
    </row>
    <row r="155" spans="1:15" ht="13">
      <c r="B155" s="103" t="s">
        <v>143</v>
      </c>
      <c r="F155"/>
    </row>
    <row r="156" spans="1:15" ht="13">
      <c r="F156"/>
      <c r="H156" s="134"/>
      <c r="I156" s="134"/>
      <c r="J156" s="134"/>
      <c r="K156" s="85" t="s">
        <v>0</v>
      </c>
      <c r="L156" s="15"/>
      <c r="M156" s="15"/>
      <c r="N156" s="15"/>
      <c r="O156" s="15"/>
    </row>
    <row r="157" spans="1:15" ht="13">
      <c r="B157" s="168"/>
      <c r="C157" s="169" t="s">
        <v>68</v>
      </c>
      <c r="D157" s="170"/>
      <c r="E157" s="327">
        <f>Assumptions!N25</f>
        <v>0.25</v>
      </c>
      <c r="F157"/>
      <c r="H157" s="95"/>
      <c r="I157" s="95"/>
      <c r="J157" s="95"/>
      <c r="K157" s="248">
        <f>K134</f>
        <v>2025</v>
      </c>
      <c r="L157" s="248">
        <f t="shared" ref="L157:O157" si="59">L134</f>
        <v>2026</v>
      </c>
      <c r="M157" s="248">
        <f t="shared" si="59"/>
        <v>2027</v>
      </c>
      <c r="N157" s="248">
        <f t="shared" si="59"/>
        <v>2028</v>
      </c>
      <c r="O157" s="248">
        <f t="shared" si="59"/>
        <v>2029</v>
      </c>
    </row>
    <row r="158" spans="1:15" ht="13">
      <c r="B158" s="168"/>
      <c r="C158" s="90"/>
      <c r="E158" s="328"/>
      <c r="F158"/>
      <c r="H158" s="95"/>
      <c r="I158" s="95"/>
      <c r="J158" s="95"/>
      <c r="K158" s="248"/>
      <c r="L158" s="248"/>
      <c r="M158" s="248"/>
      <c r="N158" s="248"/>
      <c r="O158" s="248"/>
    </row>
    <row r="159" spans="1:15">
      <c r="F159"/>
    </row>
    <row r="160" spans="1:15" ht="13">
      <c r="D160" s="86" t="s">
        <v>118</v>
      </c>
      <c r="F160"/>
      <c r="H160" s="329" t="s">
        <v>28</v>
      </c>
      <c r="I160" s="156"/>
      <c r="J160" s="156"/>
      <c r="K160" s="459">
        <f>K35</f>
        <v>71.164266666666606</v>
      </c>
      <c r="L160" s="459">
        <f>L35</f>
        <v>72.371718524200858</v>
      </c>
      <c r="M160" s="459">
        <f>M35</f>
        <v>76.540311298719587</v>
      </c>
      <c r="N160" s="459">
        <f>N35</f>
        <v>83.47677393372922</v>
      </c>
      <c r="O160" s="459">
        <f>O35</f>
        <v>90.881533406216391</v>
      </c>
    </row>
    <row r="161" spans="1:16" ht="6" customHeight="1">
      <c r="E161" s="74"/>
      <c r="F161" s="74"/>
      <c r="H161" s="107"/>
      <c r="I161" s="107"/>
      <c r="J161" s="107"/>
      <c r="K161" s="460"/>
      <c r="L161" s="460"/>
      <c r="M161" s="460"/>
      <c r="N161" s="460"/>
      <c r="O161" s="460"/>
    </row>
    <row r="162" spans="1:16" ht="14.5">
      <c r="D162" t="s">
        <v>126</v>
      </c>
      <c r="F162"/>
      <c r="K162" s="461">
        <f>Assumptions!J49</f>
        <v>5</v>
      </c>
      <c r="L162" s="461">
        <f>Assumptions!K49</f>
        <v>5</v>
      </c>
      <c r="M162" s="461">
        <f>Assumptions!L49</f>
        <v>5</v>
      </c>
      <c r="N162" s="461">
        <f>Assumptions!M49</f>
        <v>5</v>
      </c>
      <c r="O162" s="461">
        <f>Assumptions!N49</f>
        <v>5</v>
      </c>
    </row>
    <row r="163" spans="1:16" ht="13">
      <c r="D163" s="86" t="s">
        <v>119</v>
      </c>
      <c r="F163" s="74"/>
      <c r="H163" s="329" t="s">
        <v>29</v>
      </c>
      <c r="I163" s="330"/>
      <c r="J163" s="330"/>
      <c r="K163" s="459">
        <f>K160-K162</f>
        <v>66.164266666666606</v>
      </c>
      <c r="L163" s="459">
        <f t="shared" ref="L163:O163" si="60">L160-L162</f>
        <v>67.371718524200858</v>
      </c>
      <c r="M163" s="459">
        <f t="shared" si="60"/>
        <v>71.540311298719587</v>
      </c>
      <c r="N163" s="459">
        <f t="shared" si="60"/>
        <v>78.47677393372922</v>
      </c>
      <c r="O163" s="459">
        <f t="shared" si="60"/>
        <v>85.881533406216391</v>
      </c>
    </row>
    <row r="164" spans="1:16" ht="13">
      <c r="E164" s="90"/>
      <c r="F164"/>
      <c r="H164" s="156"/>
      <c r="I164" s="156"/>
      <c r="J164" s="156"/>
      <c r="K164" s="458"/>
      <c r="L164" s="458"/>
      <c r="M164" s="458"/>
      <c r="N164" s="458"/>
      <c r="O164" s="458"/>
      <c r="P164" s="108"/>
    </row>
    <row r="165" spans="1:16">
      <c r="D165" s="14" t="str">
        <f>CONCATENATE("Accounting Taxes (",$E$157*100,"% of A)")</f>
        <v>Accounting Taxes (25% of A)</v>
      </c>
      <c r="E165" s="74"/>
      <c r="F165" s="107"/>
      <c r="G165" s="107"/>
      <c r="H165" s="156"/>
      <c r="I165" s="156"/>
      <c r="J165" s="156"/>
      <c r="K165" s="458">
        <f>$E$157*K160</f>
        <v>17.791066666666651</v>
      </c>
      <c r="L165" s="458">
        <f t="shared" ref="L165:O165" si="61">$E$157*L160</f>
        <v>18.092929631050215</v>
      </c>
      <c r="M165" s="458">
        <f t="shared" si="61"/>
        <v>19.135077824679897</v>
      </c>
      <c r="N165" s="458">
        <f t="shared" si="61"/>
        <v>20.869193483432305</v>
      </c>
      <c r="O165" s="458">
        <f t="shared" si="61"/>
        <v>22.720383351554098</v>
      </c>
    </row>
    <row r="166" spans="1:16">
      <c r="F166" s="331"/>
      <c r="H166" s="156"/>
      <c r="I166" s="156"/>
      <c r="J166" s="156"/>
      <c r="K166" s="458"/>
      <c r="L166" s="458"/>
      <c r="M166" s="458"/>
      <c r="N166" s="458"/>
      <c r="O166" s="458"/>
    </row>
    <row r="167" spans="1:16" ht="13">
      <c r="D167" s="113" t="s">
        <v>69</v>
      </c>
      <c r="E167" s="332"/>
      <c r="F167" s="333"/>
      <c r="G167" s="333"/>
      <c r="H167" s="333"/>
      <c r="I167" s="333"/>
      <c r="J167" s="333"/>
      <c r="K167" s="462"/>
      <c r="L167" s="462"/>
      <c r="M167" s="462"/>
      <c r="N167" s="462"/>
      <c r="O167" s="463"/>
    </row>
    <row r="168" spans="1:16" ht="13">
      <c r="D168" s="17" t="str">
        <f>CONCATENATE("Current Tax (",$E$157*100,"% of B)")</f>
        <v>Current Tax (25% of B)</v>
      </c>
      <c r="E168" s="74"/>
      <c r="F168" s="107"/>
      <c r="G168" s="334"/>
      <c r="H168" s="156"/>
      <c r="I168" s="156"/>
      <c r="J168" s="156"/>
      <c r="K168" s="458">
        <f>$E$157*K163</f>
        <v>16.541066666666651</v>
      </c>
      <c r="L168" s="458">
        <f t="shared" ref="L168:O168" si="62">$E$157*L163</f>
        <v>16.842929631050215</v>
      </c>
      <c r="M168" s="458">
        <f t="shared" si="62"/>
        <v>17.885077824679897</v>
      </c>
      <c r="N168" s="458">
        <f t="shared" si="62"/>
        <v>19.619193483432305</v>
      </c>
      <c r="O168" s="464">
        <f t="shared" si="62"/>
        <v>21.470383351554098</v>
      </c>
    </row>
    <row r="169" spans="1:16">
      <c r="D169" s="6" t="s">
        <v>102</v>
      </c>
      <c r="E169" s="74"/>
      <c r="F169" s="107"/>
      <c r="G169" s="107"/>
      <c r="H169" s="156"/>
      <c r="I169" s="156"/>
      <c r="J169" s="156"/>
      <c r="K169" s="465">
        <f>K165-K168</f>
        <v>1.25</v>
      </c>
      <c r="L169" s="465">
        <f t="shared" ref="L169:O169" si="63">L165-L168</f>
        <v>1.25</v>
      </c>
      <c r="M169" s="465">
        <f t="shared" si="63"/>
        <v>1.25</v>
      </c>
      <c r="N169" s="465">
        <f t="shared" si="63"/>
        <v>1.25</v>
      </c>
      <c r="O169" s="466">
        <f t="shared" si="63"/>
        <v>1.25</v>
      </c>
    </row>
    <row r="170" spans="1:16" ht="13">
      <c r="D170" s="171" t="s">
        <v>70</v>
      </c>
      <c r="E170" s="335"/>
      <c r="F170" s="336"/>
      <c r="G170" s="336"/>
      <c r="H170" s="337"/>
      <c r="I170" s="337"/>
      <c r="J170" s="337"/>
      <c r="K170" s="414">
        <f>SUM(K168:K169)</f>
        <v>17.791066666666651</v>
      </c>
      <c r="L170" s="414">
        <f t="shared" ref="L170:O170" si="64">SUM(L168:L169)</f>
        <v>18.092929631050215</v>
      </c>
      <c r="M170" s="414">
        <f t="shared" si="64"/>
        <v>19.135077824679897</v>
      </c>
      <c r="N170" s="414">
        <f t="shared" si="64"/>
        <v>20.869193483432305</v>
      </c>
      <c r="O170" s="415">
        <f t="shared" si="64"/>
        <v>22.720383351554098</v>
      </c>
    </row>
    <row r="171" spans="1:16">
      <c r="E171" s="74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</row>
    <row r="172" spans="1:16" ht="13">
      <c r="C172" s="172" t="s">
        <v>120</v>
      </c>
      <c r="E172" s="74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</row>
    <row r="173" spans="1:16" ht="6" customHeight="1">
      <c r="B173" s="11"/>
      <c r="C173" s="11"/>
      <c r="D173" s="11"/>
      <c r="E173" s="173"/>
      <c r="F173" s="173"/>
      <c r="G173" s="174"/>
      <c r="H173" s="174"/>
      <c r="I173" s="174"/>
      <c r="J173" s="174"/>
      <c r="K173" s="174"/>
      <c r="L173" s="174"/>
      <c r="M173" s="174"/>
      <c r="N173" s="174"/>
      <c r="O173" s="11"/>
    </row>
    <row r="175" spans="1:16" ht="12.75" customHeight="1">
      <c r="A175" s="78"/>
      <c r="B175" s="1"/>
      <c r="C175" s="3"/>
      <c r="D175" s="3"/>
      <c r="E175" s="3"/>
      <c r="F175" s="77"/>
      <c r="G175" s="3"/>
      <c r="H175" s="3"/>
      <c r="I175" s="3"/>
      <c r="J175" s="3"/>
      <c r="K175" s="3"/>
      <c r="L175" s="3"/>
      <c r="M175" s="3"/>
      <c r="N175" s="3"/>
      <c r="O175" s="94" t="str">
        <f>$O$1</f>
        <v>CURRENTLY RUNNING: BASE CASE SCENARIO</v>
      </c>
    </row>
    <row r="176" spans="1:16" ht="23">
      <c r="B176" s="1" t="str">
        <f>B$2</f>
        <v>Asian Paints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9" ht="18">
      <c r="B177" s="80" t="s">
        <v>39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9" ht="3" customHeight="1" thickBot="1">
      <c r="A178" s="79"/>
      <c r="B178" s="254"/>
      <c r="C178" s="255"/>
      <c r="D178" s="255"/>
      <c r="E178" s="255"/>
      <c r="F178" s="256"/>
      <c r="G178" s="255"/>
      <c r="H178" s="255"/>
      <c r="I178" s="255"/>
      <c r="J178" s="255"/>
      <c r="K178" s="255"/>
      <c r="L178" s="255"/>
      <c r="M178" s="255"/>
      <c r="N178" s="255"/>
      <c r="O178" s="255"/>
    </row>
    <row r="179" spans="1:19" ht="13">
      <c r="B179" s="103" t="s">
        <v>143</v>
      </c>
      <c r="F179"/>
      <c r="O179" s="14"/>
    </row>
    <row r="180" spans="1:19" ht="13">
      <c r="F180"/>
      <c r="H180" s="3"/>
      <c r="I180" s="3"/>
      <c r="J180" s="3"/>
      <c r="K180" s="85" t="s">
        <v>0</v>
      </c>
      <c r="L180" s="15"/>
      <c r="M180" s="15"/>
      <c r="N180" s="15"/>
      <c r="O180" s="15"/>
    </row>
    <row r="181" spans="1:19" ht="12" customHeight="1">
      <c r="G181" s="354"/>
      <c r="H181" s="246">
        <f>I181-1</f>
        <v>2022</v>
      </c>
      <c r="I181" s="246">
        <f>J181-1</f>
        <v>2023</v>
      </c>
      <c r="J181" s="246">
        <f>K181-1</f>
        <v>2024</v>
      </c>
      <c r="K181" s="248">
        <f>K134</f>
        <v>2025</v>
      </c>
      <c r="L181" s="248">
        <f t="shared" ref="L181:O181" si="65">L134</f>
        <v>2026</v>
      </c>
      <c r="M181" s="248">
        <f t="shared" si="65"/>
        <v>2027</v>
      </c>
      <c r="N181" s="248">
        <f t="shared" si="65"/>
        <v>2028</v>
      </c>
      <c r="O181" s="248">
        <f t="shared" si="65"/>
        <v>2029</v>
      </c>
    </row>
    <row r="182" spans="1:19" ht="12" customHeight="1">
      <c r="F182"/>
    </row>
    <row r="183" spans="1:19">
      <c r="B183" s="105" t="s">
        <v>77</v>
      </c>
      <c r="C183" s="106"/>
      <c r="D183" s="106"/>
      <c r="E183" s="106"/>
      <c r="F183" s="175" t="s">
        <v>47</v>
      </c>
      <c r="G183" s="106"/>
      <c r="H183" s="355"/>
      <c r="I183" s="339">
        <f>DATE(I181,12,31)-DATE(H181,12,31)</f>
        <v>365</v>
      </c>
      <c r="J183" s="339">
        <f t="shared" ref="J183:O183" si="66">DATE(J181,12,31)-DATE(I181,12,31)</f>
        <v>366</v>
      </c>
      <c r="K183" s="339">
        <f t="shared" si="66"/>
        <v>365</v>
      </c>
      <c r="L183" s="339">
        <f t="shared" si="66"/>
        <v>365</v>
      </c>
      <c r="M183" s="339">
        <f t="shared" si="66"/>
        <v>365</v>
      </c>
      <c r="N183" s="339">
        <f t="shared" si="66"/>
        <v>366</v>
      </c>
      <c r="O183" s="339">
        <f t="shared" si="66"/>
        <v>365</v>
      </c>
    </row>
    <row r="184" spans="1:19">
      <c r="F184" s="87"/>
    </row>
    <row r="185" spans="1:19" ht="13">
      <c r="B185" s="90" t="s">
        <v>99</v>
      </c>
      <c r="F185" s="87"/>
    </row>
    <row r="186" spans="1:19">
      <c r="C186" t="s">
        <v>1</v>
      </c>
      <c r="F186" s="87" t="s">
        <v>149</v>
      </c>
      <c r="H186" s="108"/>
      <c r="I186" s="416">
        <f t="shared" ref="I186:O186" si="67">I17</f>
        <v>344.9</v>
      </c>
      <c r="J186" s="416">
        <f t="shared" si="67"/>
        <v>354.9</v>
      </c>
      <c r="K186" s="416">
        <f t="shared" si="67"/>
        <v>365.54699999999997</v>
      </c>
      <c r="L186" s="416">
        <f t="shared" si="67"/>
        <v>380.16888</v>
      </c>
      <c r="M186" s="416">
        <f t="shared" si="67"/>
        <v>399.177324</v>
      </c>
      <c r="N186" s="416">
        <f t="shared" si="67"/>
        <v>419.13619020000004</v>
      </c>
      <c r="O186" s="416">
        <f t="shared" si="67"/>
        <v>440.09299971000007</v>
      </c>
    </row>
    <row r="187" spans="1:19">
      <c r="C187" t="s">
        <v>142</v>
      </c>
      <c r="F187" s="87" t="s">
        <v>149</v>
      </c>
      <c r="H187" s="108"/>
      <c r="I187" s="417">
        <f t="shared" ref="I187:O187" si="68">I20</f>
        <v>211.6</v>
      </c>
      <c r="J187" s="417">
        <f t="shared" si="68"/>
        <v>200.9</v>
      </c>
      <c r="K187" s="417">
        <f t="shared" si="68"/>
        <v>210.94500000000002</v>
      </c>
      <c r="L187" s="417">
        <f t="shared" si="68"/>
        <v>221.49225000000004</v>
      </c>
      <c r="M187" s="417">
        <f t="shared" si="68"/>
        <v>232.56686250000004</v>
      </c>
      <c r="N187" s="417">
        <f t="shared" si="68"/>
        <v>241.86953700000007</v>
      </c>
      <c r="O187" s="417">
        <f t="shared" si="68"/>
        <v>251.54431848000007</v>
      </c>
    </row>
    <row r="188" spans="1:19">
      <c r="F188" s="87"/>
      <c r="I188" s="417"/>
      <c r="J188" s="417"/>
      <c r="K188" s="417"/>
      <c r="L188" s="417"/>
      <c r="M188" s="417"/>
      <c r="N188" s="417"/>
      <c r="O188" s="417"/>
    </row>
    <row r="189" spans="1:19" ht="13">
      <c r="B189" s="176" t="s">
        <v>24</v>
      </c>
      <c r="C189" s="177"/>
      <c r="F189" s="87"/>
      <c r="I189" s="417"/>
      <c r="J189" s="417"/>
      <c r="K189" s="417"/>
      <c r="L189" s="417"/>
      <c r="M189" s="417"/>
      <c r="N189" s="417"/>
      <c r="O189" s="417"/>
      <c r="S189" t="s">
        <v>97</v>
      </c>
    </row>
    <row r="190" spans="1:19">
      <c r="B190" s="178"/>
      <c r="C190" s="177" t="s">
        <v>11</v>
      </c>
      <c r="F190" s="87" t="s">
        <v>47</v>
      </c>
      <c r="G190" s="179"/>
      <c r="H190" s="180"/>
      <c r="I190" s="416">
        <f>I197*I183/I186</f>
        <v>49.072339808640187</v>
      </c>
      <c r="J190" s="416">
        <f>J197*J183/J186</f>
        <v>50.419103972950133</v>
      </c>
      <c r="K190" s="418">
        <f>Assumptions!J52</f>
        <v>50</v>
      </c>
      <c r="L190" s="418">
        <f>Assumptions!K52</f>
        <v>50</v>
      </c>
      <c r="M190" s="418">
        <f>Assumptions!L52</f>
        <v>45</v>
      </c>
      <c r="N190" s="418">
        <f>Assumptions!M52</f>
        <v>45</v>
      </c>
      <c r="O190" s="418">
        <f>Assumptions!N52</f>
        <v>45</v>
      </c>
    </row>
    <row r="191" spans="1:19">
      <c r="B191" s="178"/>
      <c r="C191" s="181" t="s">
        <v>25</v>
      </c>
      <c r="F191" s="87" t="s">
        <v>47</v>
      </c>
      <c r="G191" s="179"/>
      <c r="H191" s="180"/>
      <c r="I191" s="416">
        <f t="shared" ref="I191:J194" si="69">I198*I$183/I$187</f>
        <v>107.13681474480153</v>
      </c>
      <c r="J191" s="416">
        <f t="shared" si="69"/>
        <v>107.90532603285216</v>
      </c>
      <c r="K191" s="418">
        <f>Assumptions!J53</f>
        <v>100</v>
      </c>
      <c r="L191" s="418">
        <f>Assumptions!K53</f>
        <v>90</v>
      </c>
      <c r="M191" s="418">
        <f>Assumptions!L53</f>
        <v>90</v>
      </c>
      <c r="N191" s="418">
        <f>Assumptions!M53</f>
        <v>80</v>
      </c>
      <c r="O191" s="418">
        <f>Assumptions!N53</f>
        <v>80</v>
      </c>
    </row>
    <row r="192" spans="1:19">
      <c r="B192" s="178"/>
      <c r="C192" s="181" t="s">
        <v>115</v>
      </c>
      <c r="F192" s="87" t="s">
        <v>47</v>
      </c>
      <c r="G192" s="182"/>
      <c r="H192" s="183"/>
      <c r="I192" s="416">
        <f t="shared" si="69"/>
        <v>52.369565217391305</v>
      </c>
      <c r="J192" s="416">
        <f t="shared" si="69"/>
        <v>65.074763563962165</v>
      </c>
      <c r="K192" s="418">
        <f>Assumptions!J54</f>
        <v>50</v>
      </c>
      <c r="L192" s="418">
        <f>Assumptions!K54</f>
        <v>50</v>
      </c>
      <c r="M192" s="418">
        <f>Assumptions!L54</f>
        <v>45</v>
      </c>
      <c r="N192" s="418">
        <f>Assumptions!M54</f>
        <v>45</v>
      </c>
      <c r="O192" s="418">
        <f>Assumptions!N54</f>
        <v>45</v>
      </c>
      <c r="S192" s="338"/>
    </row>
    <row r="193" spans="1:15">
      <c r="B193" s="178"/>
      <c r="C193" s="177" t="s">
        <v>17</v>
      </c>
      <c r="F193" s="87" t="s">
        <v>47</v>
      </c>
      <c r="G193" s="182"/>
      <c r="H193" s="183"/>
      <c r="I193" s="416">
        <f t="shared" si="69"/>
        <v>62.702032136105863</v>
      </c>
      <c r="J193" s="416">
        <f t="shared" si="69"/>
        <v>69.793230462916881</v>
      </c>
      <c r="K193" s="418">
        <f>Assumptions!J55</f>
        <v>65</v>
      </c>
      <c r="L193" s="418">
        <f>Assumptions!K55</f>
        <v>65</v>
      </c>
      <c r="M193" s="418">
        <f>Assumptions!L55</f>
        <v>65</v>
      </c>
      <c r="N193" s="418">
        <f>Assumptions!M55</f>
        <v>65</v>
      </c>
      <c r="O193" s="418">
        <f>Assumptions!N55</f>
        <v>65</v>
      </c>
    </row>
    <row r="194" spans="1:15">
      <c r="B194" s="178"/>
      <c r="C194" s="177" t="s">
        <v>116</v>
      </c>
      <c r="F194" s="87" t="s">
        <v>47</v>
      </c>
      <c r="G194" s="182"/>
      <c r="H194" s="183"/>
      <c r="I194" s="416">
        <f t="shared" si="69"/>
        <v>72.775756143667294</v>
      </c>
      <c r="J194" s="416">
        <f t="shared" si="69"/>
        <v>88.667098058735689</v>
      </c>
      <c r="K194" s="418">
        <f>Assumptions!J56</f>
        <v>80</v>
      </c>
      <c r="L194" s="418">
        <f>Assumptions!K56</f>
        <v>80</v>
      </c>
      <c r="M194" s="418">
        <f>Assumptions!L56</f>
        <v>80</v>
      </c>
      <c r="N194" s="418">
        <f>Assumptions!M56</f>
        <v>80</v>
      </c>
      <c r="O194" s="418">
        <f>Assumptions!N56</f>
        <v>80</v>
      </c>
    </row>
    <row r="195" spans="1:15">
      <c r="B195" s="178"/>
      <c r="C195" s="177"/>
      <c r="F195" s="87"/>
      <c r="H195" s="163"/>
      <c r="I195" s="417"/>
      <c r="J195" s="417"/>
      <c r="K195" s="417"/>
      <c r="L195" s="417"/>
      <c r="M195" s="417"/>
      <c r="N195" s="417"/>
      <c r="O195" s="417"/>
    </row>
    <row r="196" spans="1:15" ht="13">
      <c r="B196" s="176" t="s">
        <v>26</v>
      </c>
      <c r="C196" s="177"/>
      <c r="F196" s="87"/>
      <c r="H196" s="163"/>
      <c r="I196" s="417"/>
      <c r="J196" s="417"/>
      <c r="K196" s="417"/>
      <c r="L196" s="417"/>
      <c r="M196" s="417"/>
      <c r="N196" s="417"/>
      <c r="O196" s="417"/>
    </row>
    <row r="197" spans="1:15">
      <c r="B197" s="178"/>
      <c r="C197" s="177" t="s">
        <v>11</v>
      </c>
      <c r="F197" s="87" t="s">
        <v>149</v>
      </c>
      <c r="H197" s="108"/>
      <c r="I197" s="417">
        <f t="shared" ref="I197:J197" si="70">I96</f>
        <v>46.37</v>
      </c>
      <c r="J197" s="417">
        <f t="shared" si="70"/>
        <v>48.89</v>
      </c>
      <c r="K197" s="416">
        <f>K190*K186/K$183</f>
        <v>50.07493150684931</v>
      </c>
      <c r="L197" s="416">
        <f>L190*L186/L$183</f>
        <v>52.077928767123289</v>
      </c>
      <c r="M197" s="416">
        <f>M190*M186/M$183</f>
        <v>49.213642684931507</v>
      </c>
      <c r="N197" s="416">
        <f>N190*N186/N$183</f>
        <v>51.533138139344267</v>
      </c>
      <c r="O197" s="416">
        <f>O190*O186/O$183</f>
        <v>54.258041060136996</v>
      </c>
    </row>
    <row r="198" spans="1:15">
      <c r="B198" s="178"/>
      <c r="C198" s="181" t="s">
        <v>25</v>
      </c>
      <c r="F198" s="87" t="s">
        <v>149</v>
      </c>
      <c r="H198" s="108"/>
      <c r="I198" s="417">
        <f t="shared" ref="I198:J198" si="71">I97</f>
        <v>62.11</v>
      </c>
      <c r="J198" s="417">
        <f t="shared" si="71"/>
        <v>59.23</v>
      </c>
      <c r="K198" s="416">
        <f t="shared" ref="K198:O201" si="72">K191*K$187/K$183</f>
        <v>57.793150684931518</v>
      </c>
      <c r="L198" s="416">
        <f t="shared" si="72"/>
        <v>54.614527397260289</v>
      </c>
      <c r="M198" s="416">
        <f t="shared" si="72"/>
        <v>57.345253767123296</v>
      </c>
      <c r="N198" s="416">
        <f t="shared" si="72"/>
        <v>52.867658360655753</v>
      </c>
      <c r="O198" s="416">
        <f t="shared" si="72"/>
        <v>55.133001310684946</v>
      </c>
    </row>
    <row r="199" spans="1:15">
      <c r="B199" s="178"/>
      <c r="C199" s="181" t="s">
        <v>115</v>
      </c>
      <c r="F199" s="87" t="s">
        <v>149</v>
      </c>
      <c r="H199" s="108"/>
      <c r="I199" s="417">
        <f t="shared" ref="I199:J199" si="73">I98</f>
        <v>30.36</v>
      </c>
      <c r="J199" s="417">
        <f t="shared" si="73"/>
        <v>35.72</v>
      </c>
      <c r="K199" s="416">
        <f t="shared" si="72"/>
        <v>28.896575342465759</v>
      </c>
      <c r="L199" s="416">
        <f t="shared" si="72"/>
        <v>30.34140410958905</v>
      </c>
      <c r="M199" s="416">
        <f t="shared" si="72"/>
        <v>28.672626883561648</v>
      </c>
      <c r="N199" s="416">
        <f t="shared" si="72"/>
        <v>29.738057827868857</v>
      </c>
      <c r="O199" s="416">
        <f t="shared" si="72"/>
        <v>31.01231323726028</v>
      </c>
    </row>
    <row r="200" spans="1:15">
      <c r="B200" s="178"/>
      <c r="C200" s="177" t="s">
        <v>17</v>
      </c>
      <c r="F200" s="87" t="s">
        <v>149</v>
      </c>
      <c r="H200" s="108"/>
      <c r="I200" s="417">
        <f t="shared" ref="I200:J200" si="74">I109</f>
        <v>36.35</v>
      </c>
      <c r="J200" s="417">
        <f t="shared" si="74"/>
        <v>38.31</v>
      </c>
      <c r="K200" s="419">
        <f t="shared" si="72"/>
        <v>37.565547945205481</v>
      </c>
      <c r="L200" s="419">
        <f t="shared" si="72"/>
        <v>39.443825342465757</v>
      </c>
      <c r="M200" s="419">
        <f t="shared" si="72"/>
        <v>41.41601660958905</v>
      </c>
      <c r="N200" s="419">
        <f t="shared" si="72"/>
        <v>42.954972418032803</v>
      </c>
      <c r="O200" s="419">
        <f t="shared" si="72"/>
        <v>44.79556356493152</v>
      </c>
    </row>
    <row r="201" spans="1:15">
      <c r="B201" s="178"/>
      <c r="C201" s="177" t="s">
        <v>116</v>
      </c>
      <c r="F201" s="87" t="s">
        <v>149</v>
      </c>
      <c r="H201" s="108"/>
      <c r="I201" s="417">
        <f t="shared" ref="I201:J201" si="75">I110</f>
        <v>42.19</v>
      </c>
      <c r="J201" s="417">
        <f t="shared" si="75"/>
        <v>48.67</v>
      </c>
      <c r="K201" s="420">
        <f t="shared" si="72"/>
        <v>46.234520547945209</v>
      </c>
      <c r="L201" s="420">
        <f t="shared" si="72"/>
        <v>48.546246575342479</v>
      </c>
      <c r="M201" s="420">
        <f t="shared" si="72"/>
        <v>50.973558904109595</v>
      </c>
      <c r="N201" s="420">
        <f t="shared" si="72"/>
        <v>52.867658360655753</v>
      </c>
      <c r="O201" s="420">
        <f t="shared" si="72"/>
        <v>55.133001310684946</v>
      </c>
    </row>
    <row r="202" spans="1:15" ht="13">
      <c r="B202" s="178"/>
      <c r="C202" s="184" t="s">
        <v>27</v>
      </c>
      <c r="D202" s="90"/>
      <c r="E202" s="90"/>
      <c r="F202" s="91" t="s">
        <v>149</v>
      </c>
      <c r="H202" s="176"/>
      <c r="I202" s="421">
        <f t="shared" ref="I202:O202" si="76">SUM(I197:I199)-SUM(I200:I201)</f>
        <v>60.299999999999983</v>
      </c>
      <c r="J202" s="421">
        <f t="shared" si="76"/>
        <v>56.86</v>
      </c>
      <c r="K202" s="422">
        <f t="shared" si="76"/>
        <v>52.964589041095905</v>
      </c>
      <c r="L202" s="422">
        <f t="shared" si="76"/>
        <v>49.04378835616437</v>
      </c>
      <c r="M202" s="422">
        <f t="shared" si="76"/>
        <v>42.841947821917785</v>
      </c>
      <c r="N202" s="422">
        <f t="shared" si="76"/>
        <v>38.316223549180307</v>
      </c>
      <c r="O202" s="422">
        <f t="shared" si="76"/>
        <v>40.474790732465749</v>
      </c>
    </row>
    <row r="203" spans="1:15">
      <c r="B203" s="178"/>
      <c r="C203" s="177"/>
      <c r="F203" s="87"/>
      <c r="H203" s="163"/>
      <c r="I203" s="417"/>
      <c r="J203" s="417"/>
      <c r="K203" s="417"/>
      <c r="L203" s="417"/>
      <c r="M203" s="417"/>
      <c r="N203" s="417"/>
      <c r="O203" s="417"/>
    </row>
    <row r="204" spans="1:15" ht="13.5" thickBot="1">
      <c r="B204" s="184" t="s">
        <v>80</v>
      </c>
      <c r="C204" s="178"/>
      <c r="F204" s="91" t="s">
        <v>149</v>
      </c>
      <c r="H204" s="163"/>
      <c r="I204" s="417"/>
      <c r="J204" s="423">
        <f t="shared" ref="J204:O204" si="77">I202-J202</f>
        <v>3.4399999999999835</v>
      </c>
      <c r="K204" s="423">
        <f t="shared" si="77"/>
        <v>3.8954109589040939</v>
      </c>
      <c r="L204" s="423">
        <f t="shared" si="77"/>
        <v>3.9208006849315353</v>
      </c>
      <c r="M204" s="423">
        <f t="shared" si="77"/>
        <v>6.2018405342465854</v>
      </c>
      <c r="N204" s="423">
        <f t="shared" si="77"/>
        <v>4.5257242727374773</v>
      </c>
      <c r="O204" s="423">
        <f t="shared" si="77"/>
        <v>-2.1585671832854416</v>
      </c>
    </row>
    <row r="205" spans="1:15" ht="13" thickTop="1">
      <c r="B205" s="11"/>
      <c r="C205" s="18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7" spans="1:15" ht="12.75" customHeight="1">
      <c r="A207" s="78"/>
      <c r="B207" s="1"/>
      <c r="C207" s="3"/>
      <c r="D207" s="3"/>
      <c r="E207" s="3"/>
      <c r="F207" s="77"/>
      <c r="G207" s="3"/>
      <c r="H207" s="3"/>
      <c r="I207" s="3"/>
      <c r="J207" s="3"/>
      <c r="K207" s="3"/>
      <c r="L207" s="3"/>
      <c r="M207" s="3"/>
      <c r="N207" s="3"/>
      <c r="O207" s="94" t="str">
        <f>$O$1</f>
        <v>CURRENTLY RUNNING: BASE CASE SCENARIO</v>
      </c>
    </row>
    <row r="208" spans="1:15" ht="23">
      <c r="B208" s="1" t="str">
        <f>B$2</f>
        <v>Asian Paints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8">
      <c r="B209" s="80" t="s">
        <v>48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3" customHeight="1" thickBot="1">
      <c r="A210" s="79"/>
      <c r="B210" s="254"/>
      <c r="C210" s="255"/>
      <c r="D210" s="255"/>
      <c r="E210" s="255"/>
      <c r="F210" s="256"/>
      <c r="G210" s="255"/>
      <c r="H210" s="255"/>
      <c r="I210" s="255"/>
      <c r="J210" s="255"/>
      <c r="K210" s="255"/>
      <c r="L210" s="255"/>
      <c r="M210" s="255"/>
      <c r="N210" s="255"/>
      <c r="O210" s="255"/>
    </row>
    <row r="211" spans="1:15" ht="13">
      <c r="B211" s="103" t="s">
        <v>143</v>
      </c>
      <c r="F211"/>
      <c r="O211" s="14"/>
    </row>
    <row r="212" spans="1:15" ht="13">
      <c r="F212"/>
      <c r="H212" s="3"/>
      <c r="I212" s="3"/>
      <c r="J212" s="3"/>
      <c r="K212" s="85" t="s">
        <v>0</v>
      </c>
      <c r="L212" s="15"/>
      <c r="M212" s="15"/>
      <c r="N212" s="15"/>
      <c r="O212" s="15"/>
    </row>
    <row r="213" spans="1:15" ht="13">
      <c r="F213"/>
      <c r="G213" s="125"/>
      <c r="H213" s="186"/>
      <c r="I213" s="186"/>
      <c r="J213" s="246">
        <f>K213-1</f>
        <v>2024</v>
      </c>
      <c r="K213" s="248">
        <f>K181</f>
        <v>2025</v>
      </c>
      <c r="L213" s="248">
        <f>L181</f>
        <v>2026</v>
      </c>
      <c r="M213" s="248">
        <f>M181</f>
        <v>2027</v>
      </c>
      <c r="N213" s="248">
        <f>N181</f>
        <v>2028</v>
      </c>
      <c r="O213" s="248">
        <f>O181</f>
        <v>2029</v>
      </c>
    </row>
    <row r="214" spans="1:15" ht="6" customHeight="1"/>
    <row r="215" spans="1:15" ht="13">
      <c r="B215" s="90" t="s">
        <v>93</v>
      </c>
      <c r="K215" s="187"/>
      <c r="L215" s="187"/>
      <c r="M215" s="187"/>
      <c r="N215" s="187"/>
      <c r="O215" s="187"/>
    </row>
    <row r="216" spans="1:15" ht="6" customHeight="1"/>
    <row r="217" spans="1:15" ht="13">
      <c r="C217" s="90" t="s">
        <v>10</v>
      </c>
    </row>
    <row r="218" spans="1:15">
      <c r="D218" t="s">
        <v>49</v>
      </c>
      <c r="K218" s="370">
        <f>J220</f>
        <v>10.84</v>
      </c>
      <c r="L218" s="370">
        <f t="shared" ref="L218:O218" si="78">K220</f>
        <v>22.346364292237414</v>
      </c>
      <c r="M218" s="370">
        <f t="shared" si="78"/>
        <v>34.295074423105007</v>
      </c>
      <c r="N218" s="370">
        <f t="shared" si="78"/>
        <v>50.462413339932141</v>
      </c>
      <c r="O218" s="370">
        <f t="shared" si="78"/>
        <v>67.734457436940204</v>
      </c>
    </row>
    <row r="219" spans="1:15">
      <c r="D219" t="s">
        <v>55</v>
      </c>
      <c r="J219" s="11"/>
      <c r="K219" s="424">
        <f>K80</f>
        <v>11.506364292237414</v>
      </c>
      <c r="L219" s="424">
        <f>L80</f>
        <v>11.948710130867589</v>
      </c>
      <c r="M219" s="424">
        <f>M80</f>
        <v>16.167338916827134</v>
      </c>
      <c r="N219" s="424">
        <f>N80</f>
        <v>17.272044097008063</v>
      </c>
      <c r="O219" s="424">
        <f>O80</f>
        <v>13.214835335846359</v>
      </c>
    </row>
    <row r="220" spans="1:15">
      <c r="D220" t="s">
        <v>51</v>
      </c>
      <c r="I220" s="188"/>
      <c r="J220" s="457">
        <f>J95</f>
        <v>10.84</v>
      </c>
      <c r="K220" s="370">
        <f>SUM(K218:K219)</f>
        <v>22.346364292237414</v>
      </c>
      <c r="L220" s="370">
        <f t="shared" ref="L220:O220" si="79">SUM(L218:L219)</f>
        <v>34.295074423105007</v>
      </c>
      <c r="M220" s="370">
        <f t="shared" si="79"/>
        <v>50.462413339932141</v>
      </c>
      <c r="N220" s="370">
        <f t="shared" si="79"/>
        <v>67.734457436940204</v>
      </c>
      <c r="O220" s="370">
        <f t="shared" si="79"/>
        <v>80.949292772786563</v>
      </c>
    </row>
    <row r="221" spans="1:15" ht="6" customHeight="1">
      <c r="J221" s="353"/>
      <c r="K221" s="370"/>
      <c r="L221" s="370"/>
      <c r="M221" s="370"/>
      <c r="N221" s="370"/>
      <c r="O221" s="370"/>
    </row>
    <row r="222" spans="1:15">
      <c r="D222" t="s">
        <v>52</v>
      </c>
      <c r="J222" s="353"/>
      <c r="K222" s="430">
        <f>Assumptions!N18</f>
        <v>0.06</v>
      </c>
      <c r="L222" s="424">
        <f>K222</f>
        <v>0.06</v>
      </c>
      <c r="M222" s="424">
        <f t="shared" ref="M222:O222" si="80">L222</f>
        <v>0.06</v>
      </c>
      <c r="N222" s="424">
        <f t="shared" si="80"/>
        <v>0.06</v>
      </c>
      <c r="O222" s="424">
        <f t="shared" si="80"/>
        <v>0.06</v>
      </c>
    </row>
    <row r="223" spans="1:15" ht="13">
      <c r="D223" s="90" t="s">
        <v>54</v>
      </c>
      <c r="J223" s="353"/>
      <c r="K223" s="426">
        <f>K222*K218</f>
        <v>0.65039999999999998</v>
      </c>
      <c r="L223" s="426">
        <f t="shared" ref="L223:O223" si="81">L222*L218</f>
        <v>1.3407818575342447</v>
      </c>
      <c r="M223" s="426">
        <f t="shared" si="81"/>
        <v>2.0577044653863004</v>
      </c>
      <c r="N223" s="426">
        <f t="shared" si="81"/>
        <v>3.0277448003959284</v>
      </c>
      <c r="O223" s="426">
        <f t="shared" si="81"/>
        <v>4.0640674462164119</v>
      </c>
    </row>
    <row r="224" spans="1:15" ht="6" customHeight="1">
      <c r="J224" s="353"/>
      <c r="K224" s="370"/>
      <c r="L224" s="370"/>
      <c r="M224" s="370"/>
      <c r="N224" s="370"/>
      <c r="O224" s="370"/>
    </row>
    <row r="225" spans="1:15" ht="13">
      <c r="C225" s="90"/>
      <c r="J225" s="353"/>
      <c r="K225" s="370"/>
      <c r="L225" s="370"/>
      <c r="M225" s="370"/>
      <c r="N225" s="370"/>
      <c r="O225" s="370"/>
    </row>
    <row r="226" spans="1:15" ht="6" customHeight="1">
      <c r="J226" s="353"/>
      <c r="K226" s="370"/>
      <c r="L226" s="370"/>
      <c r="M226" s="370"/>
      <c r="N226" s="370"/>
      <c r="O226" s="370"/>
    </row>
    <row r="227" spans="1:15" ht="13">
      <c r="C227" s="90" t="s">
        <v>94</v>
      </c>
      <c r="J227" s="353"/>
      <c r="K227" s="370"/>
      <c r="L227" s="370"/>
      <c r="M227" s="370"/>
      <c r="N227" s="370"/>
      <c r="O227" s="370"/>
    </row>
    <row r="228" spans="1:15">
      <c r="D228" t="s">
        <v>49</v>
      </c>
      <c r="J228" s="353"/>
      <c r="K228" s="370">
        <f>J230</f>
        <v>24.74</v>
      </c>
      <c r="L228" s="370">
        <f t="shared" ref="L228:O228" si="82">K230</f>
        <v>20.74</v>
      </c>
      <c r="M228" s="370">
        <f t="shared" si="82"/>
        <v>16.739999999999998</v>
      </c>
      <c r="N228" s="370">
        <f t="shared" si="82"/>
        <v>12.739999999999998</v>
      </c>
      <c r="O228" s="370">
        <f t="shared" si="82"/>
        <v>8.7399999999999984</v>
      </c>
    </row>
    <row r="229" spans="1:15">
      <c r="D229" t="s">
        <v>50</v>
      </c>
      <c r="J229" s="429"/>
      <c r="K229" s="425">
        <f>Assumptions!J59</f>
        <v>-4</v>
      </c>
      <c r="L229" s="425">
        <f>Assumptions!K59</f>
        <v>-4</v>
      </c>
      <c r="M229" s="425">
        <f>Assumptions!L59</f>
        <v>-4</v>
      </c>
      <c r="N229" s="425">
        <f>Assumptions!M59</f>
        <v>-4</v>
      </c>
      <c r="O229" s="425">
        <f>Assumptions!N59</f>
        <v>-4</v>
      </c>
    </row>
    <row r="230" spans="1:15">
      <c r="D230" t="s">
        <v>51</v>
      </c>
      <c r="I230" s="188"/>
      <c r="J230" s="457">
        <f>J114</f>
        <v>24.74</v>
      </c>
      <c r="K230" s="370">
        <f>SUM(K228:K229)</f>
        <v>20.74</v>
      </c>
      <c r="L230" s="370">
        <f t="shared" ref="L230:O230" si="83">SUM(L228:L229)</f>
        <v>16.739999999999998</v>
      </c>
      <c r="M230" s="370">
        <f t="shared" si="83"/>
        <v>12.739999999999998</v>
      </c>
      <c r="N230" s="370">
        <f t="shared" si="83"/>
        <v>8.7399999999999984</v>
      </c>
      <c r="O230" s="370">
        <f t="shared" si="83"/>
        <v>4.7399999999999984</v>
      </c>
    </row>
    <row r="231" spans="1:15" ht="6" customHeight="1">
      <c r="K231" s="370"/>
      <c r="L231" s="370"/>
      <c r="M231" s="370"/>
      <c r="N231" s="370"/>
      <c r="O231" s="370"/>
    </row>
    <row r="232" spans="1:15">
      <c r="D232" t="s">
        <v>52</v>
      </c>
      <c r="K232" s="431">
        <f>Assumptions!N19</f>
        <v>0.12</v>
      </c>
      <c r="L232" s="370">
        <f>K232</f>
        <v>0.12</v>
      </c>
      <c r="M232" s="370">
        <f t="shared" ref="M232:O232" si="84">L232</f>
        <v>0.12</v>
      </c>
      <c r="N232" s="370">
        <f t="shared" si="84"/>
        <v>0.12</v>
      </c>
      <c r="O232" s="370">
        <f t="shared" si="84"/>
        <v>0.12</v>
      </c>
    </row>
    <row r="233" spans="1:15" ht="13">
      <c r="D233" s="90" t="s">
        <v>53</v>
      </c>
      <c r="K233" s="426">
        <f>K232*K228</f>
        <v>2.9687999999999999</v>
      </c>
      <c r="L233" s="426">
        <f t="shared" ref="L233:O233" si="85">L232*L228</f>
        <v>2.4887999999999999</v>
      </c>
      <c r="M233" s="426">
        <f t="shared" si="85"/>
        <v>2.0087999999999999</v>
      </c>
      <c r="N233" s="426">
        <f t="shared" si="85"/>
        <v>1.5287999999999997</v>
      </c>
      <c r="O233" s="426">
        <f t="shared" si="85"/>
        <v>1.0487999999999997</v>
      </c>
    </row>
    <row r="234" spans="1:15">
      <c r="K234" s="370"/>
      <c r="L234" s="370"/>
      <c r="M234" s="370"/>
      <c r="N234" s="370"/>
      <c r="O234" s="370"/>
    </row>
    <row r="235" spans="1:15">
      <c r="K235" s="370"/>
      <c r="L235" s="370"/>
      <c r="M235" s="370"/>
      <c r="N235" s="370"/>
      <c r="O235" s="370"/>
    </row>
    <row r="236" spans="1:15" ht="13.5" thickBot="1">
      <c r="C236" s="90" t="s">
        <v>58</v>
      </c>
      <c r="K236" s="470">
        <f>K233-K223</f>
        <v>2.3184</v>
      </c>
      <c r="L236" s="470">
        <f>L233-L223</f>
        <v>1.1480181424657552</v>
      </c>
      <c r="M236" s="470">
        <f>M233-M223</f>
        <v>-4.8904465386300444E-2</v>
      </c>
      <c r="N236" s="470">
        <f>N233-N223</f>
        <v>-1.4989448003959287</v>
      </c>
      <c r="O236" s="470">
        <f>O233-O223</f>
        <v>-3.015267446216412</v>
      </c>
    </row>
    <row r="237" spans="1:15" ht="13" thickTop="1">
      <c r="B237" s="11"/>
      <c r="C237" s="11"/>
      <c r="D237" s="11"/>
      <c r="E237" s="11"/>
      <c r="F237" s="93"/>
      <c r="G237" s="11"/>
      <c r="H237" s="11"/>
      <c r="I237" s="11"/>
      <c r="J237" s="11"/>
      <c r="K237" s="11"/>
      <c r="L237" s="11"/>
      <c r="M237" s="11"/>
      <c r="N237" s="11"/>
      <c r="O237" s="11"/>
    </row>
    <row r="239" spans="1:15" ht="12.75" customHeight="1">
      <c r="A239" s="78"/>
      <c r="B239" s="1"/>
      <c r="C239" s="3"/>
      <c r="D239" s="3"/>
      <c r="E239" s="3"/>
      <c r="F239" s="77"/>
      <c r="G239" s="3"/>
      <c r="H239" s="3"/>
      <c r="I239" s="3"/>
      <c r="J239" s="3"/>
      <c r="K239" s="3"/>
      <c r="L239" s="3"/>
      <c r="M239" s="3"/>
      <c r="N239" s="3"/>
      <c r="O239" s="94" t="str">
        <f>$O$1</f>
        <v>CURRENTLY RUNNING: BASE CASE SCENARIO</v>
      </c>
    </row>
    <row r="240" spans="1:15" ht="23">
      <c r="B240" s="1" t="str">
        <f>B$2</f>
        <v>Asian Paints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8">
      <c r="B241" s="80" t="s">
        <v>81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3" customHeight="1" thickBot="1">
      <c r="A242" s="79"/>
      <c r="B242" s="254"/>
      <c r="C242" s="255"/>
      <c r="D242" s="255"/>
      <c r="E242" s="255"/>
      <c r="F242" s="256"/>
      <c r="G242" s="255"/>
      <c r="H242" s="255"/>
      <c r="I242" s="255"/>
      <c r="J242" s="255"/>
      <c r="K242" s="255"/>
      <c r="L242" s="255"/>
      <c r="M242" s="255"/>
      <c r="N242" s="255"/>
      <c r="O242" s="255"/>
    </row>
    <row r="243" spans="1:15" ht="13">
      <c r="B243" s="103" t="s">
        <v>143</v>
      </c>
      <c r="F243"/>
      <c r="O243" s="14"/>
    </row>
    <row r="244" spans="1:15" ht="13">
      <c r="F244"/>
      <c r="H244" s="3"/>
      <c r="I244" s="3"/>
      <c r="J244" s="3"/>
      <c r="K244" s="85" t="s">
        <v>0</v>
      </c>
      <c r="L244" s="15"/>
      <c r="M244" s="15"/>
      <c r="N244" s="15"/>
      <c r="O244" s="15"/>
    </row>
    <row r="245" spans="1:15" ht="13">
      <c r="F245"/>
      <c r="G245" s="125"/>
      <c r="H245" s="186"/>
      <c r="I245" s="186"/>
      <c r="J245" s="246">
        <f>K245-1</f>
        <v>2024</v>
      </c>
      <c r="K245" s="248">
        <f>K213</f>
        <v>2025</v>
      </c>
      <c r="L245" s="248">
        <f>L213</f>
        <v>2026</v>
      </c>
      <c r="M245" s="248">
        <f>M213</f>
        <v>2027</v>
      </c>
      <c r="N245" s="248">
        <f>N213</f>
        <v>2028</v>
      </c>
      <c r="O245" s="248">
        <f>O213</f>
        <v>2029</v>
      </c>
    </row>
    <row r="247" spans="1:15" ht="13.4" customHeight="1">
      <c r="B247" s="90"/>
      <c r="C247" s="90" t="s">
        <v>82</v>
      </c>
    </row>
    <row r="248" spans="1:15" ht="13.4" customHeight="1">
      <c r="D248" t="s">
        <v>49</v>
      </c>
      <c r="G248" s="87"/>
      <c r="K248" s="370">
        <f>J250</f>
        <v>0.96</v>
      </c>
      <c r="L248" s="370">
        <f t="shared" ref="L248:O248" si="86">K250</f>
        <v>0.96</v>
      </c>
      <c r="M248" s="370">
        <f t="shared" si="86"/>
        <v>0.96</v>
      </c>
      <c r="N248" s="370">
        <f t="shared" si="86"/>
        <v>0.96</v>
      </c>
      <c r="O248" s="370">
        <f t="shared" si="86"/>
        <v>0.96</v>
      </c>
    </row>
    <row r="249" spans="1:15" ht="13.4" customHeight="1">
      <c r="D249" t="s">
        <v>91</v>
      </c>
      <c r="J249" s="11"/>
      <c r="K249" s="425">
        <f>Assumptions!J60</f>
        <v>0</v>
      </c>
      <c r="L249" s="425">
        <f>Assumptions!K60</f>
        <v>0</v>
      </c>
      <c r="M249" s="425">
        <f>Assumptions!L60</f>
        <v>0</v>
      </c>
      <c r="N249" s="425">
        <f>Assumptions!M60</f>
        <v>0</v>
      </c>
      <c r="O249" s="425">
        <f>Assumptions!N60</f>
        <v>0</v>
      </c>
    </row>
    <row r="250" spans="1:15" ht="13.4" customHeight="1">
      <c r="D250" t="s">
        <v>51</v>
      </c>
      <c r="J250" s="457">
        <f>J119</f>
        <v>0.96</v>
      </c>
      <c r="K250" s="370">
        <f>SUM(K248:K249)</f>
        <v>0.96</v>
      </c>
      <c r="L250" s="370">
        <f t="shared" ref="L250:O250" si="87">SUM(L248:L249)</f>
        <v>0.96</v>
      </c>
      <c r="M250" s="370">
        <f t="shared" si="87"/>
        <v>0.96</v>
      </c>
      <c r="N250" s="370">
        <f t="shared" si="87"/>
        <v>0.96</v>
      </c>
      <c r="O250" s="370">
        <f t="shared" si="87"/>
        <v>0.96</v>
      </c>
    </row>
    <row r="251" spans="1:15" ht="6" customHeight="1">
      <c r="J251" s="353"/>
      <c r="K251" s="370"/>
      <c r="L251" s="370"/>
      <c r="M251" s="370"/>
      <c r="N251" s="370"/>
      <c r="O251" s="370"/>
    </row>
    <row r="252" spans="1:15" ht="13.4" customHeight="1">
      <c r="D252" t="s">
        <v>83</v>
      </c>
      <c r="J252" s="353"/>
      <c r="K252" s="427">
        <f>Assumptions!N12</f>
        <v>0.65</v>
      </c>
      <c r="L252" s="370">
        <f>K252</f>
        <v>0.65</v>
      </c>
      <c r="M252" s="370">
        <f>L252</f>
        <v>0.65</v>
      </c>
      <c r="N252" s="370">
        <f>M252</f>
        <v>0.65</v>
      </c>
      <c r="O252" s="370">
        <f>N252</f>
        <v>0.65</v>
      </c>
    </row>
    <row r="253" spans="1:15" ht="13.4" customHeight="1">
      <c r="D253" t="s">
        <v>5</v>
      </c>
      <c r="J253" s="353"/>
      <c r="K253" s="370">
        <f>K41</f>
        <v>53.373199999999954</v>
      </c>
      <c r="L253" s="370">
        <f>L41</f>
        <v>54.278788893150647</v>
      </c>
      <c r="M253" s="370">
        <f>M41</f>
        <v>57.40523347403969</v>
      </c>
      <c r="N253" s="370">
        <f>N41</f>
        <v>62.607580450296915</v>
      </c>
      <c r="O253" s="370">
        <f>O41</f>
        <v>68.161150054662301</v>
      </c>
    </row>
    <row r="254" spans="1:15" ht="13.4" customHeight="1">
      <c r="C254" s="90"/>
      <c r="D254" s="90" t="s">
        <v>84</v>
      </c>
      <c r="J254" s="353"/>
      <c r="K254" s="426">
        <f>MAX(K252*K253,0)</f>
        <v>34.692579999999971</v>
      </c>
      <c r="L254" s="426">
        <f t="shared" ref="L254:O254" si="88">MAX(L252*L253,0)</f>
        <v>35.281212780547925</v>
      </c>
      <c r="M254" s="426">
        <f t="shared" si="88"/>
        <v>37.313401758125799</v>
      </c>
      <c r="N254" s="426">
        <f t="shared" si="88"/>
        <v>40.694927292692995</v>
      </c>
      <c r="O254" s="426">
        <f t="shared" si="88"/>
        <v>44.304747535530495</v>
      </c>
    </row>
    <row r="255" spans="1:15">
      <c r="J255" s="353"/>
      <c r="K255" s="370"/>
      <c r="L255" s="370"/>
      <c r="M255" s="370"/>
      <c r="N255" s="370"/>
      <c r="O255" s="370"/>
    </row>
    <row r="256" spans="1:15">
      <c r="J256" s="353"/>
      <c r="K256" s="370"/>
      <c r="L256" s="370"/>
      <c r="M256" s="370"/>
      <c r="N256" s="370"/>
      <c r="O256" s="370"/>
    </row>
    <row r="257" spans="2:15" ht="13.4" customHeight="1">
      <c r="B257" s="90"/>
      <c r="C257" s="90" t="s">
        <v>85</v>
      </c>
      <c r="J257" s="353"/>
      <c r="K257" s="370"/>
      <c r="L257" s="370"/>
      <c r="M257" s="370"/>
      <c r="N257" s="370"/>
      <c r="O257" s="370"/>
    </row>
    <row r="258" spans="2:15" ht="13.4" customHeight="1">
      <c r="D258" t="s">
        <v>49</v>
      </c>
      <c r="J258" s="353"/>
      <c r="K258" s="370">
        <f>J261</f>
        <v>186.32</v>
      </c>
      <c r="L258" s="370">
        <f t="shared" ref="L258:O258" si="89">K261</f>
        <v>205.00061999999997</v>
      </c>
      <c r="M258" s="370">
        <f t="shared" si="89"/>
        <v>223.9981961126027</v>
      </c>
      <c r="N258" s="370">
        <f t="shared" si="89"/>
        <v>244.09002782851661</v>
      </c>
      <c r="O258" s="370">
        <f t="shared" si="89"/>
        <v>266.00268098612048</v>
      </c>
    </row>
    <row r="259" spans="2:15" ht="13.4" customHeight="1">
      <c r="D259" t="s">
        <v>5</v>
      </c>
      <c r="J259" s="353"/>
      <c r="K259" s="370">
        <f>K41</f>
        <v>53.373199999999954</v>
      </c>
      <c r="L259" s="370">
        <f>L41</f>
        <v>54.278788893150647</v>
      </c>
      <c r="M259" s="370">
        <f>M41</f>
        <v>57.40523347403969</v>
      </c>
      <c r="N259" s="370">
        <f>N41</f>
        <v>62.607580450296915</v>
      </c>
      <c r="O259" s="370">
        <f>O41</f>
        <v>68.161150054662301</v>
      </c>
    </row>
    <row r="260" spans="2:15" ht="13.4" customHeight="1">
      <c r="D260" t="s">
        <v>84</v>
      </c>
      <c r="J260" s="429"/>
      <c r="K260" s="424">
        <f>-K254</f>
        <v>-34.692579999999971</v>
      </c>
      <c r="L260" s="424">
        <f t="shared" ref="L260:O260" si="90">-L254</f>
        <v>-35.281212780547925</v>
      </c>
      <c r="M260" s="424">
        <f t="shared" si="90"/>
        <v>-37.313401758125799</v>
      </c>
      <c r="N260" s="424">
        <f t="shared" si="90"/>
        <v>-40.694927292692995</v>
      </c>
      <c r="O260" s="424">
        <f t="shared" si="90"/>
        <v>-44.304747535530495</v>
      </c>
    </row>
    <row r="261" spans="2:15" ht="13.4" customHeight="1">
      <c r="D261" s="90" t="s">
        <v>51</v>
      </c>
      <c r="E261" s="90"/>
      <c r="F261" s="96"/>
      <c r="G261" s="90"/>
      <c r="H261" s="90"/>
      <c r="I261" s="90"/>
      <c r="J261" s="428">
        <f>J120</f>
        <v>186.32</v>
      </c>
      <c r="K261" s="428">
        <f>SUM(K258:K260)</f>
        <v>205.00061999999997</v>
      </c>
      <c r="L261" s="428">
        <f t="shared" ref="L261:O261" si="91">SUM(L258:L260)</f>
        <v>223.9981961126027</v>
      </c>
      <c r="M261" s="428">
        <f t="shared" si="91"/>
        <v>244.09002782851661</v>
      </c>
      <c r="N261" s="428">
        <f t="shared" si="91"/>
        <v>266.00268098612048</v>
      </c>
      <c r="O261" s="428">
        <f t="shared" si="91"/>
        <v>289.85908350525227</v>
      </c>
    </row>
    <row r="262" spans="2:15">
      <c r="B262" s="11"/>
      <c r="C262" s="11"/>
      <c r="D262" s="11"/>
      <c r="E262" s="11"/>
      <c r="F262" s="93"/>
      <c r="G262" s="11"/>
      <c r="H262" s="11"/>
      <c r="I262" s="11"/>
      <c r="J262" s="11"/>
      <c r="K262" s="11"/>
      <c r="L262" s="11"/>
      <c r="M262" s="11"/>
      <c r="N262" s="11"/>
      <c r="O262" s="11"/>
    </row>
    <row r="265" spans="2:15">
      <c r="O265" s="364" t="str">
        <f>$O$1</f>
        <v>CURRENTLY RUNNING: BASE CASE SCENARIO</v>
      </c>
    </row>
    <row r="266" spans="2:15" ht="23">
      <c r="B266" s="362" t="s">
        <v>153</v>
      </c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</row>
    <row r="267" spans="2:15" ht="23">
      <c r="B267" s="362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</row>
    <row r="268" spans="2:15" ht="13.5" customHeight="1">
      <c r="B268" s="362"/>
      <c r="C268" s="80"/>
      <c r="D268" t="s">
        <v>190</v>
      </c>
      <c r="E268" s="80"/>
      <c r="F268">
        <f>Assumptions!N8</f>
        <v>2179</v>
      </c>
      <c r="G268" s="80"/>
      <c r="H268" s="80"/>
      <c r="I268" s="80"/>
      <c r="J268" s="80"/>
      <c r="K268" s="80"/>
      <c r="L268" s="80"/>
      <c r="M268" s="80"/>
      <c r="N268" s="80"/>
      <c r="O268" s="80"/>
    </row>
    <row r="269" spans="2:15" ht="13.5" customHeight="1">
      <c r="D269" t="s">
        <v>189</v>
      </c>
      <c r="F269" s="440">
        <f>Assumptions!$N$9*L274</f>
        <v>2546.9713244961204</v>
      </c>
    </row>
    <row r="270" spans="2:15" ht="13.5" customHeight="1">
      <c r="F270" s="440"/>
    </row>
    <row r="271" spans="2:15" ht="13.5" customHeight="1">
      <c r="C271" s="141" t="s">
        <v>193</v>
      </c>
      <c r="F271" s="9"/>
      <c r="K271" s="85" t="s">
        <v>0</v>
      </c>
      <c r="L271" s="15"/>
      <c r="M271" s="15"/>
      <c r="N271" s="15"/>
      <c r="O271" s="15"/>
    </row>
    <row r="272" spans="2:15" ht="13.5" customHeight="1">
      <c r="H272" s="436"/>
      <c r="I272" s="436">
        <f>J272-1</f>
        <v>2023</v>
      </c>
      <c r="J272" s="246">
        <f>K272-1</f>
        <v>2024</v>
      </c>
      <c r="K272" s="248">
        <f>K245</f>
        <v>2025</v>
      </c>
      <c r="L272" s="248">
        <f>L245</f>
        <v>2026</v>
      </c>
      <c r="M272" s="248">
        <f>M245</f>
        <v>2027</v>
      </c>
      <c r="N272" s="248">
        <f>N245</f>
        <v>2028</v>
      </c>
      <c r="O272" s="248">
        <f>O245</f>
        <v>2029</v>
      </c>
    </row>
    <row r="273" spans="3:15" ht="13.5" customHeight="1">
      <c r="C273" s="90" t="s">
        <v>155</v>
      </c>
      <c r="H273" s="124"/>
      <c r="I273" s="124"/>
      <c r="J273" s="124"/>
      <c r="K273" s="124"/>
      <c r="L273" s="437"/>
      <c r="M273" s="124"/>
      <c r="N273" s="124"/>
      <c r="O273" s="124"/>
    </row>
    <row r="274" spans="3:15" ht="13.5" customHeight="1">
      <c r="D274" t="s">
        <v>154</v>
      </c>
      <c r="H274" s="438"/>
      <c r="I274" s="438">
        <f>I41/Assumptions!$N$10</f>
        <v>43.378519290928033</v>
      </c>
      <c r="J274" s="438">
        <f>J41/Assumptions!$N$10</f>
        <v>56.517205422314888</v>
      </c>
      <c r="K274" s="438">
        <f>K41/Assumptions!$N$10</f>
        <v>55.65505735140767</v>
      </c>
      <c r="L274" s="438">
        <f>L41/Assumptions!$N$10</f>
        <v>56.599362766580448</v>
      </c>
      <c r="M274" s="438">
        <f>M41/Assumptions!$N$10</f>
        <v>59.859471818602387</v>
      </c>
      <c r="N274" s="438">
        <f>N41/Assumptions!$N$10</f>
        <v>65.284234046190733</v>
      </c>
      <c r="O274" s="438">
        <f>O41/Assumptions!$N$10</f>
        <v>71.075234676394473</v>
      </c>
    </row>
    <row r="275" spans="3:15" ht="13.5" customHeight="1">
      <c r="D275" t="s">
        <v>156</v>
      </c>
      <c r="H275" s="438"/>
      <c r="I275" s="438">
        <f>I274</f>
        <v>43.378519290928033</v>
      </c>
      <c r="J275" s="438">
        <f t="shared" ref="J275:O275" si="92">J274</f>
        <v>56.517205422314888</v>
      </c>
      <c r="K275" s="438">
        <f t="shared" si="92"/>
        <v>55.65505735140767</v>
      </c>
      <c r="L275" s="438">
        <f t="shared" si="92"/>
        <v>56.599362766580448</v>
      </c>
      <c r="M275" s="438">
        <f t="shared" si="92"/>
        <v>59.859471818602387</v>
      </c>
      <c r="N275" s="438">
        <f t="shared" si="92"/>
        <v>65.284234046190733</v>
      </c>
      <c r="O275" s="438">
        <f t="shared" si="92"/>
        <v>71.075234676394473</v>
      </c>
    </row>
    <row r="276" spans="3:15" ht="13.5" customHeight="1">
      <c r="D276" t="s">
        <v>157</v>
      </c>
      <c r="H276" s="438"/>
      <c r="I276" s="438">
        <f>I64/Assumptions!$N$10</f>
        <v>45.161626694473391</v>
      </c>
      <c r="J276" s="438">
        <f>J64/Assumptions!$N$10</f>
        <v>66.569343065693403</v>
      </c>
      <c r="K276" s="438">
        <f>K64/Assumptions!$N$10</f>
        <v>69.029138990862762</v>
      </c>
      <c r="L276" s="438">
        <f>L64/Assumptions!$N$10</f>
        <v>71.146947769984891</v>
      </c>
      <c r="M276" s="438">
        <f>M64/Assumptions!$N$10</f>
        <v>77.977831777844571</v>
      </c>
      <c r="N276" s="438">
        <f>N64/Assumptions!$N$10</f>
        <v>82.864412293744593</v>
      </c>
      <c r="O276" s="438">
        <f>O64/Assumptions!$N$10</f>
        <v>82.919273067129154</v>
      </c>
    </row>
    <row r="277" spans="3:15" ht="13.5" customHeight="1">
      <c r="D277" t="s">
        <v>158</v>
      </c>
      <c r="H277" s="437"/>
      <c r="I277" s="437">
        <f>-I76/Assumptions!$N$10</f>
        <v>20.18769551616267</v>
      </c>
      <c r="J277" s="437">
        <f>-J76/Assumptions!$N$10</f>
        <v>26.600625651720545</v>
      </c>
      <c r="K277" s="437">
        <f>-K76/Assumptions!$N$10</f>
        <v>36.175787278414987</v>
      </c>
      <c r="L277" s="437">
        <f>-L76/Assumptions!$N$10</f>
        <v>36.789585798277294</v>
      </c>
      <c r="M277" s="437">
        <f>-M76/Assumptions!$N$10</f>
        <v>38.908656682091554</v>
      </c>
      <c r="N277" s="437">
        <f>-N76/Assumptions!$N$10</f>
        <v>42.43475213002398</v>
      </c>
      <c r="O277" s="437">
        <f>-O76/Assumptions!$N$10</f>
        <v>46.198902539656409</v>
      </c>
    </row>
    <row r="278" spans="3:15" ht="13.5" customHeight="1">
      <c r="D278" t="s">
        <v>159</v>
      </c>
      <c r="H278" s="437"/>
      <c r="I278" s="437">
        <f>I121/Assumptions!$N$10</f>
        <v>166.75703858185614</v>
      </c>
      <c r="J278" s="437">
        <f>J121/Assumptions!$N$10</f>
        <v>195.28675703858187</v>
      </c>
      <c r="K278" s="437">
        <f>K121/Assumptions!$N$10</f>
        <v>214.76602711157454</v>
      </c>
      <c r="L278" s="437">
        <f>L121/Assumptions!$N$10</f>
        <v>234.57580407987771</v>
      </c>
      <c r="M278" s="437">
        <f>M121/Assumptions!$N$10</f>
        <v>255.52661921638855</v>
      </c>
      <c r="N278" s="437">
        <f>N121/Assumptions!$N$10</f>
        <v>278.37610113255522</v>
      </c>
      <c r="O278" s="437">
        <f>O121/Assumptions!$N$10</f>
        <v>303.25243326929331</v>
      </c>
    </row>
    <row r="279" spans="3:15" ht="13.5" customHeight="1">
      <c r="H279" s="124"/>
      <c r="I279" s="124"/>
      <c r="J279" s="124"/>
      <c r="K279" s="124"/>
      <c r="L279" s="124"/>
      <c r="M279" s="124"/>
      <c r="N279" s="124"/>
      <c r="O279" s="124"/>
    </row>
    <row r="280" spans="3:15" ht="13.5" customHeight="1">
      <c r="C280" s="90" t="s">
        <v>160</v>
      </c>
      <c r="D280" s="90"/>
      <c r="H280" s="124"/>
      <c r="I280" s="124"/>
      <c r="J280" s="124"/>
      <c r="K280" s="124"/>
      <c r="L280" s="124"/>
      <c r="M280" s="124"/>
      <c r="N280" s="124"/>
      <c r="O280" s="124"/>
    </row>
    <row r="281" spans="3:15" ht="13.5" customHeight="1">
      <c r="D281" t="s">
        <v>161</v>
      </c>
      <c r="H281" s="124"/>
      <c r="I281" s="441">
        <f t="shared" ref="I281:O281" si="93">I17/H17-1</f>
        <v>0.18522336769759451</v>
      </c>
      <c r="J281" s="441">
        <f t="shared" si="93"/>
        <v>2.899391127863149E-2</v>
      </c>
      <c r="K281" s="441">
        <f t="shared" si="93"/>
        <v>3.0000000000000027E-2</v>
      </c>
      <c r="L281" s="441">
        <f t="shared" si="93"/>
        <v>4.0000000000000036E-2</v>
      </c>
      <c r="M281" s="441">
        <f t="shared" si="93"/>
        <v>5.0000000000000044E-2</v>
      </c>
      <c r="N281" s="441">
        <f t="shared" si="93"/>
        <v>5.0000000000000044E-2</v>
      </c>
      <c r="O281" s="441">
        <f t="shared" si="93"/>
        <v>5.0000000000000044E-2</v>
      </c>
    </row>
    <row r="282" spans="3:15" ht="13.5" customHeight="1">
      <c r="D282" t="s">
        <v>2</v>
      </c>
      <c r="H282" s="124"/>
      <c r="I282" s="441">
        <f t="shared" ref="I282:O282" si="94">I26/H26-1</f>
        <v>0.30416666666666625</v>
      </c>
      <c r="J282" s="441">
        <f t="shared" si="94"/>
        <v>0.21086261980830656</v>
      </c>
      <c r="K282" s="441">
        <f t="shared" si="94"/>
        <v>-2.3007915567282655E-2</v>
      </c>
      <c r="L282" s="441">
        <f t="shared" si="94"/>
        <v>1.1515474775845469E-2</v>
      </c>
      <c r="M282" s="441">
        <f t="shared" si="94"/>
        <v>4.9999999999999822E-2</v>
      </c>
      <c r="N282" s="441">
        <f t="shared" si="94"/>
        <v>7.9568258945312165E-2</v>
      </c>
      <c r="O282" s="441">
        <f t="shared" si="94"/>
        <v>7.8484525224154833E-2</v>
      </c>
    </row>
    <row r="283" spans="3:15" ht="13.5" customHeight="1">
      <c r="D283" t="s">
        <v>162</v>
      </c>
      <c r="H283" s="124"/>
      <c r="I283" s="441"/>
      <c r="J283" s="441">
        <f t="shared" ref="J283:O283" si="95">J275/I275-1</f>
        <v>0.30288461538461542</v>
      </c>
      <c r="K283" s="441">
        <f t="shared" si="95"/>
        <v>-1.5254612546125812E-2</v>
      </c>
      <c r="L283" s="441">
        <f t="shared" si="95"/>
        <v>1.696710883272301E-2</v>
      </c>
      <c r="M283" s="441">
        <f t="shared" si="95"/>
        <v>5.7599748348172053E-2</v>
      </c>
      <c r="N283" s="441">
        <f t="shared" si="95"/>
        <v>9.062495980631935E-2</v>
      </c>
      <c r="O283" s="441">
        <f t="shared" si="95"/>
        <v>8.8704427873143477E-2</v>
      </c>
    </row>
    <row r="284" spans="3:15" ht="13.5" customHeight="1">
      <c r="H284" s="124"/>
      <c r="I284" s="124"/>
      <c r="J284" s="124"/>
      <c r="K284" s="124"/>
      <c r="L284" s="124"/>
      <c r="M284" s="124"/>
      <c r="N284" s="124"/>
      <c r="O284" s="124"/>
    </row>
    <row r="285" spans="3:15" ht="13.5" customHeight="1">
      <c r="C285" s="90" t="s">
        <v>163</v>
      </c>
      <c r="H285" s="124"/>
      <c r="I285" s="124"/>
      <c r="J285" s="124"/>
      <c r="K285" s="124"/>
      <c r="L285" s="124"/>
      <c r="M285" s="124"/>
      <c r="N285" s="124"/>
      <c r="O285" s="124"/>
    </row>
    <row r="286" spans="3:15" ht="13.5" customHeight="1">
      <c r="D286" t="s">
        <v>164</v>
      </c>
      <c r="H286" s="124"/>
      <c r="I286" s="124"/>
      <c r="J286" s="389">
        <v>41.7</v>
      </c>
      <c r="K286" s="437">
        <f t="shared" ref="K286:O286" si="96">$F$269/K274</f>
        <v>45.763519897472541</v>
      </c>
      <c r="L286" s="437">
        <f t="shared" si="96"/>
        <v>45</v>
      </c>
      <c r="M286" s="437">
        <f t="shared" si="96"/>
        <v>42.549178051795039</v>
      </c>
      <c r="N286" s="437">
        <f t="shared" si="96"/>
        <v>39.013574436579205</v>
      </c>
      <c r="O286" s="437">
        <f t="shared" si="96"/>
        <v>35.834863382336763</v>
      </c>
    </row>
    <row r="287" spans="3:15" ht="13.5" customHeight="1">
      <c r="D287" t="s">
        <v>180</v>
      </c>
      <c r="H287" s="124"/>
      <c r="I287" s="124"/>
      <c r="J287" s="389">
        <v>36</v>
      </c>
      <c r="K287" s="437">
        <f t="shared" ref="K287:O287" si="97">$F$269/K276</f>
        <v>36.89704611313865</v>
      </c>
      <c r="L287" s="437">
        <f t="shared" si="97"/>
        <v>35.798743366059391</v>
      </c>
      <c r="M287" s="437">
        <f t="shared" si="97"/>
        <v>32.662761536539385</v>
      </c>
      <c r="N287" s="437">
        <f t="shared" si="97"/>
        <v>30.736612424974506</v>
      </c>
      <c r="O287" s="437">
        <f t="shared" si="97"/>
        <v>30.716276569792921</v>
      </c>
    </row>
    <row r="288" spans="3:15" ht="13.5" customHeight="1">
      <c r="D288" t="s">
        <v>165</v>
      </c>
      <c r="H288" s="124"/>
      <c r="I288" s="124"/>
      <c r="J288" s="389">
        <v>12.1</v>
      </c>
      <c r="K288" s="437">
        <f t="shared" ref="K288:O288" si="98">$F$269/K278</f>
        <v>11.859284071837518</v>
      </c>
      <c r="L288" s="437">
        <f t="shared" si="98"/>
        <v>10.857775099553004</v>
      </c>
      <c r="M288" s="437">
        <f t="shared" si="98"/>
        <v>9.9675381465414343</v>
      </c>
      <c r="N288" s="437">
        <f t="shared" si="98"/>
        <v>9.1493893122790784</v>
      </c>
      <c r="O288" s="437">
        <f t="shared" si="98"/>
        <v>8.3988487645023007</v>
      </c>
    </row>
    <row r="289" spans="3:17" ht="13.5" customHeight="1">
      <c r="D289" t="s">
        <v>170</v>
      </c>
      <c r="H289" s="124"/>
      <c r="I289" s="124"/>
      <c r="J289" s="389">
        <v>6.4</v>
      </c>
      <c r="K289" s="437">
        <f>$F$269/K17</f>
        <v>6.9675618306158187</v>
      </c>
      <c r="L289" s="437">
        <f>$F$269/L17</f>
        <v>6.6995786832844404</v>
      </c>
      <c r="M289" s="437">
        <f>$F$269/M17</f>
        <v>6.3805511269375623</v>
      </c>
      <c r="N289" s="437">
        <f>$F$269/N17</f>
        <v>6.076715358988154</v>
      </c>
      <c r="O289" s="437">
        <f>$F$269/O17</f>
        <v>5.7873479609410987</v>
      </c>
    </row>
    <row r="290" spans="3:17" ht="13.5" customHeight="1">
      <c r="D290" t="s">
        <v>171</v>
      </c>
      <c r="H290" s="124"/>
      <c r="I290" s="124"/>
      <c r="J290" s="389">
        <v>29.2</v>
      </c>
      <c r="K290" s="437">
        <f>(($F$268*Assumptions!$N$10)+Model!$J$114-Model!$J$95)/Model!K26</f>
        <v>28.405004321054356</v>
      </c>
      <c r="L290" s="437">
        <f>(($F$268*Assumptions!$N$10)+Model!$J$114-Model!$J$95)/Model!L26</f>
        <v>28.081631007522628</v>
      </c>
      <c r="M290" s="437">
        <f>(($F$268*Assumptions!$N$10)+Model!$J$114-Model!$J$95)/Model!M26</f>
        <v>26.744410483354887</v>
      </c>
      <c r="N290" s="437">
        <f>(($F$268*Assumptions!$N$10)+Model!$J$114-Model!$J$95)/Model!N26</f>
        <v>24.773246398965941</v>
      </c>
      <c r="O290" s="437">
        <f>(($F$268*Assumptions!$N$10)+Model!$J$114-Model!$J$95)/Model!O26</f>
        <v>22.970423607902031</v>
      </c>
      <c r="Q290" s="473"/>
    </row>
    <row r="291" spans="3:17" ht="13.5" customHeight="1">
      <c r="D291" t="s">
        <v>166</v>
      </c>
      <c r="H291" s="124"/>
      <c r="I291" s="124"/>
      <c r="J291" s="473">
        <v>1.2E-2</v>
      </c>
      <c r="K291" s="439">
        <f t="shared" ref="K291:O291" si="99">K277/$F$269</f>
        <v>1.4203452913067962E-2</v>
      </c>
      <c r="L291" s="439">
        <f t="shared" si="99"/>
        <v>1.4444444444444444E-2</v>
      </c>
      <c r="M291" s="439">
        <f t="shared" si="99"/>
        <v>1.5276440809473598E-2</v>
      </c>
      <c r="N291" s="439">
        <f t="shared" si="99"/>
        <v>1.666086764381576E-2</v>
      </c>
      <c r="O291" s="439">
        <f t="shared" si="99"/>
        <v>1.8138760376030603E-2</v>
      </c>
    </row>
    <row r="292" spans="3:17" ht="13.5" customHeight="1">
      <c r="H292" s="124"/>
      <c r="I292" s="124"/>
      <c r="J292" s="124"/>
      <c r="K292" s="124"/>
      <c r="L292" s="124"/>
      <c r="M292" s="124"/>
      <c r="N292" s="124"/>
      <c r="O292" s="124"/>
    </row>
    <row r="293" spans="3:17" ht="13.5" customHeight="1">
      <c r="C293" s="90" t="s">
        <v>31</v>
      </c>
      <c r="H293" s="124"/>
      <c r="I293" s="124"/>
      <c r="J293" s="124"/>
      <c r="K293" s="124"/>
      <c r="L293" s="124"/>
      <c r="M293" s="124"/>
      <c r="N293" s="124"/>
      <c r="O293" s="124"/>
    </row>
    <row r="294" spans="3:17" ht="13.5" customHeight="1">
      <c r="D294" t="s">
        <v>167</v>
      </c>
      <c r="H294" s="439"/>
      <c r="I294" s="439">
        <f t="shared" ref="I294:O295" si="100">I45</f>
        <v>0.38648883734415768</v>
      </c>
      <c r="J294" s="439">
        <f t="shared" si="100"/>
        <v>0.43392504930966463</v>
      </c>
      <c r="K294" s="439">
        <f t="shared" si="100"/>
        <v>0.42293330269431828</v>
      </c>
      <c r="L294" s="439">
        <f t="shared" si="100"/>
        <v>0.41738458445099441</v>
      </c>
      <c r="M294" s="439">
        <f t="shared" si="100"/>
        <v>0.41738458445099441</v>
      </c>
      <c r="N294" s="439">
        <f t="shared" si="100"/>
        <v>0.42293330269431828</v>
      </c>
      <c r="O294" s="439">
        <f t="shared" si="100"/>
        <v>0.42842917600199149</v>
      </c>
    </row>
    <row r="295" spans="3:17" ht="13.5" customHeight="1">
      <c r="D295" t="s">
        <v>168</v>
      </c>
      <c r="H295" s="439"/>
      <c r="I295" s="439">
        <f t="shared" si="100"/>
        <v>0.18150188460423305</v>
      </c>
      <c r="J295" s="439">
        <f t="shared" si="100"/>
        <v>0.21358129050436736</v>
      </c>
      <c r="K295" s="439">
        <f t="shared" si="100"/>
        <v>0.20258954388902098</v>
      </c>
      <c r="L295" s="439">
        <f t="shared" si="100"/>
        <v>0.19704082564569714</v>
      </c>
      <c r="M295" s="439">
        <f t="shared" si="100"/>
        <v>0.19704082564569711</v>
      </c>
      <c r="N295" s="439">
        <f t="shared" si="100"/>
        <v>0.20258954388902098</v>
      </c>
      <c r="O295" s="439">
        <f t="shared" si="100"/>
        <v>0.20808541719669416</v>
      </c>
    </row>
    <row r="296" spans="3:17" ht="13.5" customHeight="1">
      <c r="D296" t="s">
        <v>169</v>
      </c>
      <c r="H296" s="439"/>
      <c r="I296" s="439">
        <f t="shared" ref="I296:O296" si="101">I48</f>
        <v>0.12061467091910694</v>
      </c>
      <c r="J296" s="439">
        <f t="shared" si="101"/>
        <v>0.1527190757959988</v>
      </c>
      <c r="K296" s="439">
        <f t="shared" si="101"/>
        <v>0.14600913152070721</v>
      </c>
      <c r="L296" s="439">
        <f t="shared" si="101"/>
        <v>0.14277546571710617</v>
      </c>
      <c r="M296" s="439">
        <f t="shared" si="101"/>
        <v>0.14380885391686149</v>
      </c>
      <c r="N296" s="439">
        <f t="shared" si="101"/>
        <v>0.1493728814503523</v>
      </c>
      <c r="O296" s="439">
        <f t="shared" si="101"/>
        <v>0.15487896898968442</v>
      </c>
    </row>
    <row r="297" spans="3:17" ht="13.5" customHeight="1">
      <c r="H297" s="439"/>
      <c r="I297" s="439"/>
      <c r="J297" s="439"/>
      <c r="K297" s="439"/>
      <c r="L297" s="439"/>
      <c r="M297" s="439"/>
      <c r="N297" s="439"/>
      <c r="O297" s="439"/>
    </row>
    <row r="298" spans="3:17" ht="13.5" customHeight="1">
      <c r="C298" s="90" t="s">
        <v>175</v>
      </c>
      <c r="H298" s="124"/>
      <c r="I298" s="124"/>
      <c r="J298" s="124"/>
      <c r="K298" s="124"/>
      <c r="L298" s="124"/>
      <c r="M298" s="124"/>
      <c r="N298" s="124"/>
      <c r="O298" s="124"/>
    </row>
    <row r="299" spans="3:17" ht="13.5" customHeight="1">
      <c r="D299" t="s">
        <v>176</v>
      </c>
      <c r="H299" s="439"/>
      <c r="I299" s="439">
        <f t="shared" ref="I299:O299" si="102">I29/(I105-I111)</f>
        <v>0.30125523012552297</v>
      </c>
      <c r="J299" s="439">
        <f t="shared" si="102"/>
        <v>0.31740791397443746</v>
      </c>
      <c r="K299" s="439">
        <f t="shared" si="102"/>
        <v>0.29117163598987678</v>
      </c>
      <c r="L299" s="439">
        <f t="shared" si="102"/>
        <v>0.27078721238403991</v>
      </c>
      <c r="M299" s="439">
        <f t="shared" si="102"/>
        <v>0.26278170720897803</v>
      </c>
      <c r="N299" s="439">
        <f t="shared" si="102"/>
        <v>0.2630053714494775</v>
      </c>
      <c r="O299" s="439">
        <f t="shared" si="102"/>
        <v>0.26277309747585864</v>
      </c>
    </row>
    <row r="300" spans="3:17" ht="13.5" customHeight="1">
      <c r="D300" t="s">
        <v>177</v>
      </c>
      <c r="H300" s="439"/>
      <c r="I300" s="439">
        <f t="shared" ref="I300:O300" si="103">I41/I121</f>
        <v>0.26013006503251612</v>
      </c>
      <c r="J300" s="439">
        <f t="shared" si="103"/>
        <v>0.28940623665100368</v>
      </c>
      <c r="K300" s="439">
        <f t="shared" si="103"/>
        <v>0.25914274291852474</v>
      </c>
      <c r="L300" s="439">
        <f t="shared" si="103"/>
        <v>0.24128389110117787</v>
      </c>
      <c r="M300" s="439">
        <f t="shared" si="103"/>
        <v>0.2342592407874006</v>
      </c>
      <c r="N300" s="439">
        <f t="shared" si="103"/>
        <v>0.23451809900557569</v>
      </c>
      <c r="O300" s="439">
        <f t="shared" si="103"/>
        <v>0.23437646949819679</v>
      </c>
    </row>
    <row r="301" spans="3:17" ht="13.5" customHeight="1">
      <c r="D301" t="s">
        <v>178</v>
      </c>
      <c r="H301" s="439"/>
      <c r="I301" s="439">
        <f t="shared" ref="I301:O301" si="104">I29*(1-$E$157)/(I114+I121-I95)</f>
        <v>0.23710555588080315</v>
      </c>
      <c r="J301" s="439">
        <f t="shared" si="104"/>
        <v>0.25089472114524297</v>
      </c>
      <c r="K301" s="439">
        <f t="shared" si="104"/>
        <v>0.24360515433155691</v>
      </c>
      <c r="L301" s="439">
        <f t="shared" si="104"/>
        <v>0.23913016398205622</v>
      </c>
      <c r="M301" s="439">
        <f t="shared" si="104"/>
        <v>0.24863027654156603</v>
      </c>
      <c r="N301" s="439">
        <f t="shared" si="104"/>
        <v>0.26625080627716985</v>
      </c>
      <c r="O301" s="439">
        <f t="shared" si="104"/>
        <v>0.27716560080733349</v>
      </c>
    </row>
    <row r="302" spans="3:17" ht="13.5" customHeight="1">
      <c r="D302" t="s">
        <v>182</v>
      </c>
      <c r="H302" s="439"/>
      <c r="I302" s="439">
        <f t="shared" ref="I302:O302" si="105">I41/I105</f>
        <v>0.16137165910237009</v>
      </c>
      <c r="J302" s="439">
        <f t="shared" si="105"/>
        <v>0.18126484064078116</v>
      </c>
      <c r="K302" s="439">
        <f t="shared" si="105"/>
        <v>0.1711992626715429</v>
      </c>
      <c r="L302" s="439">
        <f t="shared" si="105"/>
        <v>0.1633927510067022</v>
      </c>
      <c r="M302" s="439">
        <f t="shared" si="105"/>
        <v>0.16218934793385084</v>
      </c>
      <c r="N302" s="439">
        <f t="shared" si="105"/>
        <v>0.16627279963958011</v>
      </c>
      <c r="O302" s="439">
        <f t="shared" si="105"/>
        <v>0.16966160307189529</v>
      </c>
    </row>
    <row r="303" spans="3:17" ht="13.5" customHeight="1">
      <c r="H303" s="439"/>
      <c r="I303" s="439"/>
      <c r="J303" s="439"/>
      <c r="K303" s="439"/>
      <c r="L303" s="439"/>
      <c r="M303" s="439"/>
      <c r="N303" s="439"/>
      <c r="O303" s="439"/>
    </row>
    <row r="304" spans="3:17" ht="13.5" customHeight="1">
      <c r="C304" s="90" t="s">
        <v>183</v>
      </c>
      <c r="H304" s="439"/>
      <c r="I304" s="439"/>
      <c r="J304" s="439"/>
      <c r="K304" s="439"/>
      <c r="L304" s="439"/>
      <c r="M304" s="439"/>
      <c r="N304" s="439"/>
      <c r="O304" s="439"/>
    </row>
    <row r="305" spans="3:15" ht="13.5" customHeight="1">
      <c r="D305" t="s">
        <v>184</v>
      </c>
      <c r="H305" s="437"/>
      <c r="I305" s="437">
        <f t="shared" ref="I305:O305" si="106">I99/I111</f>
        <v>1.8752228163992868</v>
      </c>
      <c r="J305" s="437">
        <f t="shared" si="106"/>
        <v>1.7783398482409749</v>
      </c>
      <c r="K305" s="437">
        <f t="shared" si="106"/>
        <v>1.8986979925856351</v>
      </c>
      <c r="L305" s="437">
        <f t="shared" si="106"/>
        <v>1.9471393870108031</v>
      </c>
      <c r="M305" s="437">
        <f t="shared" si="106"/>
        <v>2.0099013946439834</v>
      </c>
      <c r="N305" s="437">
        <f t="shared" si="106"/>
        <v>2.1067394009569047</v>
      </c>
      <c r="O305" s="437">
        <f t="shared" si="106"/>
        <v>2.2151088495706088</v>
      </c>
    </row>
    <row r="306" spans="3:15" ht="13.5" customHeight="1">
      <c r="D306" t="s">
        <v>185</v>
      </c>
      <c r="H306" s="437"/>
      <c r="I306" s="437">
        <f t="shared" ref="I306:O306" si="107">I190+I191-I193</f>
        <v>93.507122417335864</v>
      </c>
      <c r="J306" s="437">
        <f t="shared" si="107"/>
        <v>88.531199542885417</v>
      </c>
      <c r="K306" s="437">
        <f t="shared" si="107"/>
        <v>85</v>
      </c>
      <c r="L306" s="437">
        <f t="shared" si="107"/>
        <v>75</v>
      </c>
      <c r="M306" s="437">
        <f t="shared" si="107"/>
        <v>70</v>
      </c>
      <c r="N306" s="437">
        <f t="shared" si="107"/>
        <v>60</v>
      </c>
      <c r="O306" s="437">
        <f t="shared" si="107"/>
        <v>60</v>
      </c>
    </row>
    <row r="307" spans="3:15" ht="13.5" customHeight="1">
      <c r="H307" s="439"/>
      <c r="I307" s="439"/>
      <c r="J307" s="439"/>
      <c r="K307" s="439"/>
      <c r="L307" s="439"/>
      <c r="M307" s="439"/>
      <c r="N307" s="439"/>
      <c r="O307" s="439"/>
    </row>
    <row r="308" spans="3:15" ht="13.5" customHeight="1">
      <c r="C308" s="90" t="s">
        <v>181</v>
      </c>
      <c r="H308" s="439"/>
      <c r="I308" s="439"/>
      <c r="J308" s="439"/>
      <c r="K308" s="439"/>
      <c r="L308" s="439"/>
      <c r="M308" s="439"/>
      <c r="N308" s="439"/>
      <c r="O308" s="439"/>
    </row>
    <row r="309" spans="3:15" ht="13.5" customHeight="1">
      <c r="D309" t="s">
        <v>172</v>
      </c>
      <c r="H309" s="438"/>
      <c r="I309" s="438">
        <f t="shared" ref="I309:O309" si="108">(I114-I95)/I121</f>
        <v>6.8096548274137053E-2</v>
      </c>
      <c r="J309" s="438">
        <f t="shared" si="108"/>
        <v>7.4220418624519433E-2</v>
      </c>
      <c r="K309" s="438">
        <f t="shared" si="108"/>
        <v>-7.799375881842702E-3</v>
      </c>
      <c r="L309" s="438">
        <f t="shared" si="108"/>
        <v>-7.8037051889933248E-2</v>
      </c>
      <c r="M309" s="438">
        <f t="shared" si="108"/>
        <v>-0.15393760071853502</v>
      </c>
      <c r="N309" s="438">
        <f t="shared" si="108"/>
        <v>-0.2209839113805098</v>
      </c>
      <c r="O309" s="438">
        <f t="shared" si="108"/>
        <v>-0.26205052245620652</v>
      </c>
    </row>
    <row r="310" spans="3:15" ht="13.5" customHeight="1">
      <c r="D310" t="s">
        <v>173</v>
      </c>
      <c r="H310" s="438"/>
      <c r="I310" s="438">
        <f t="shared" ref="I310:O310" si="109">(I114-I95)/I26</f>
        <v>0.17396166134185306</v>
      </c>
      <c r="J310" s="438">
        <f t="shared" si="109"/>
        <v>0.18337730870712407</v>
      </c>
      <c r="K310" s="438">
        <f t="shared" si="109"/>
        <v>-2.1691210600591052E-2</v>
      </c>
      <c r="L310" s="438">
        <f t="shared" si="109"/>
        <v>-0.23435266306003566</v>
      </c>
      <c r="M310" s="438">
        <f t="shared" si="109"/>
        <v>-0.47959802771867616</v>
      </c>
      <c r="N310" s="438">
        <f t="shared" si="109"/>
        <v>-0.69476674565587937</v>
      </c>
      <c r="O310" s="438">
        <f t="shared" si="109"/>
        <v>-0.83218872086406492</v>
      </c>
    </row>
    <row r="311" spans="3:15" ht="13.5" customHeight="1">
      <c r="D311" t="s">
        <v>186</v>
      </c>
      <c r="H311" s="438"/>
      <c r="I311" s="438">
        <f t="shared" ref="I311:O311" si="110">I114/I105</f>
        <v>7.4983513712711905E-2</v>
      </c>
      <c r="J311" s="438">
        <f t="shared" si="110"/>
        <v>8.273970770208354E-2</v>
      </c>
      <c r="K311" s="438">
        <f t="shared" si="110"/>
        <v>6.6525385545700894E-2</v>
      </c>
      <c r="L311" s="438">
        <f t="shared" si="110"/>
        <v>5.0391593247161491E-2</v>
      </c>
      <c r="M311" s="438">
        <f t="shared" si="110"/>
        <v>3.5994841717901849E-2</v>
      </c>
      <c r="N311" s="438">
        <f t="shared" si="110"/>
        <v>2.3211634412283667E-2</v>
      </c>
      <c r="O311" s="438">
        <f t="shared" si="110"/>
        <v>1.179845113992139E-2</v>
      </c>
    </row>
    <row r="312" spans="3:15" ht="13.5" customHeight="1">
      <c r="H312" s="438"/>
      <c r="I312" s="438"/>
      <c r="J312" s="438"/>
      <c r="K312" s="438"/>
      <c r="L312" s="438"/>
      <c r="M312" s="438"/>
      <c r="N312" s="438"/>
      <c r="O312" s="438"/>
    </row>
    <row r="313" spans="3:15" ht="13.5" customHeight="1">
      <c r="C313" s="90" t="s">
        <v>187</v>
      </c>
      <c r="H313" s="438"/>
      <c r="I313" s="438"/>
      <c r="J313" s="438"/>
      <c r="K313" s="438"/>
      <c r="L313" s="438"/>
      <c r="M313" s="438"/>
      <c r="N313" s="438"/>
      <c r="O313" s="438"/>
    </row>
    <row r="314" spans="3:15" ht="13.5" customHeight="1">
      <c r="D314" t="s">
        <v>174</v>
      </c>
      <c r="H314" s="437"/>
      <c r="I314" s="437">
        <f t="shared" ref="I314:O314" si="111">I17/I101</f>
        <v>5.9774696707105717</v>
      </c>
      <c r="J314" s="437">
        <f t="shared" si="111"/>
        <v>4.9657198824681679</v>
      </c>
      <c r="K314" s="437">
        <f t="shared" si="111"/>
        <v>4.581382718731331</v>
      </c>
      <c r="L314" s="437">
        <f t="shared" si="111"/>
        <v>4.3196427651612712</v>
      </c>
      <c r="M314" s="437">
        <f t="shared" si="111"/>
        <v>4.1848774344153732</v>
      </c>
      <c r="N314" s="437">
        <f t="shared" si="111"/>
        <v>4.117170489774268</v>
      </c>
      <c r="O314" s="437">
        <f t="shared" si="111"/>
        <v>4.0925559093318462</v>
      </c>
    </row>
    <row r="315" spans="3:15" ht="13.5" customHeight="1">
      <c r="D315" t="s">
        <v>188</v>
      </c>
      <c r="H315" s="124"/>
      <c r="I315" s="437">
        <f t="shared" ref="I315:O315" si="112">I20/I97</f>
        <v>3.4068587989051684</v>
      </c>
      <c r="J315" s="437">
        <f t="shared" si="112"/>
        <v>3.3918622319770391</v>
      </c>
      <c r="K315" s="437">
        <f t="shared" si="112"/>
        <v>3.6499999999999995</v>
      </c>
      <c r="L315" s="437">
        <f t="shared" si="112"/>
        <v>4.0555555555555554</v>
      </c>
      <c r="M315" s="437">
        <f t="shared" si="112"/>
        <v>4.0555555555555554</v>
      </c>
      <c r="N315" s="437">
        <f t="shared" si="112"/>
        <v>4.5750000000000002</v>
      </c>
      <c r="O315" s="437">
        <f t="shared" si="112"/>
        <v>4.5625</v>
      </c>
    </row>
    <row r="316" spans="3:15" ht="13.5" customHeight="1">
      <c r="D316" t="s">
        <v>194</v>
      </c>
      <c r="H316" s="124"/>
      <c r="I316" s="437">
        <f>I17/I96</f>
        <v>7.4379987060599522</v>
      </c>
      <c r="J316" s="437">
        <f t="shared" ref="J316:O316" si="113">J17/J96</f>
        <v>7.2591532010636115</v>
      </c>
      <c r="K316" s="437">
        <f t="shared" si="113"/>
        <v>7.3</v>
      </c>
      <c r="L316" s="437">
        <f t="shared" si="113"/>
        <v>7.3</v>
      </c>
      <c r="M316" s="437">
        <f t="shared" si="113"/>
        <v>8.1111111111111107</v>
      </c>
      <c r="N316" s="437">
        <f t="shared" si="113"/>
        <v>8.1333333333333329</v>
      </c>
      <c r="O316" s="437">
        <f t="shared" si="113"/>
        <v>8.1111111111111107</v>
      </c>
    </row>
    <row r="317" spans="3:15" ht="13.5" customHeight="1">
      <c r="D317" t="s">
        <v>195</v>
      </c>
      <c r="H317" s="124"/>
      <c r="I317" s="437">
        <f>I20/I109</f>
        <v>5.8211829436038514</v>
      </c>
      <c r="J317" s="437">
        <f t="shared" ref="J317:O317" si="114">J20/J109</f>
        <v>5.2440616027146953</v>
      </c>
      <c r="K317" s="437">
        <f t="shared" si="114"/>
        <v>5.6153846153846159</v>
      </c>
      <c r="L317" s="437">
        <f t="shared" si="114"/>
        <v>5.6153846153846159</v>
      </c>
      <c r="M317" s="437">
        <f t="shared" si="114"/>
        <v>5.615384615384615</v>
      </c>
      <c r="N317" s="437">
        <f t="shared" si="114"/>
        <v>5.6307692307692303</v>
      </c>
      <c r="O317" s="437">
        <f t="shared" si="114"/>
        <v>5.615384615384615</v>
      </c>
    </row>
    <row r="318" spans="3:15" ht="13.5" customHeight="1">
      <c r="H318" s="124"/>
      <c r="I318" s="124"/>
      <c r="J318" s="439"/>
      <c r="K318" s="124"/>
      <c r="L318" s="124"/>
      <c r="M318" s="124"/>
      <c r="N318" s="124"/>
      <c r="O318" s="124"/>
    </row>
    <row r="319" spans="3:15" ht="13.5" customHeight="1">
      <c r="H319" s="124"/>
      <c r="I319" s="124"/>
      <c r="J319" s="124"/>
      <c r="K319" s="124"/>
      <c r="L319" s="124"/>
      <c r="M319" s="124"/>
      <c r="N319" s="124"/>
      <c r="O319" s="124"/>
    </row>
    <row r="320" spans="3:15" ht="13.5" customHeight="1">
      <c r="H320" s="124"/>
      <c r="I320" s="124"/>
      <c r="J320" s="124"/>
      <c r="K320" s="124"/>
      <c r="L320" s="124"/>
      <c r="M320" s="124"/>
      <c r="N320" s="124"/>
      <c r="O320" s="124"/>
    </row>
    <row r="321" spans="8:15" ht="13.5" customHeight="1">
      <c r="H321" s="124"/>
      <c r="I321" s="124"/>
      <c r="J321" s="124"/>
      <c r="K321" s="124"/>
      <c r="L321" s="124"/>
      <c r="M321" s="124"/>
      <c r="N321" s="124"/>
      <c r="O321" s="124"/>
    </row>
    <row r="322" spans="8:15" ht="13.5" customHeight="1">
      <c r="H322" s="124"/>
      <c r="I322" s="124"/>
      <c r="J322" s="124"/>
      <c r="K322" s="124"/>
      <c r="L322" s="124"/>
      <c r="M322" s="124"/>
      <c r="N322" s="124"/>
      <c r="O322" s="124"/>
    </row>
    <row r="323" spans="8:15" ht="13.5" customHeight="1">
      <c r="H323" s="124"/>
      <c r="I323" s="124"/>
      <c r="J323" s="124"/>
      <c r="K323" s="124"/>
      <c r="L323" s="124"/>
      <c r="M323" s="124"/>
      <c r="N323" s="124"/>
      <c r="O323" s="124"/>
    </row>
    <row r="324" spans="8:15" ht="13.5" customHeight="1"/>
    <row r="325" spans="8:15" ht="13.5" customHeight="1"/>
    <row r="326" spans="8:15" ht="13.5" customHeight="1"/>
    <row r="327" spans="8:15" ht="13.5" customHeight="1"/>
    <row r="328" spans="8:15" ht="13.5" customHeight="1"/>
    <row r="329" spans="8:15" ht="13.5" customHeight="1"/>
    <row r="330" spans="8:15" ht="13.5" customHeight="1"/>
    <row r="331" spans="8:15" ht="13.5" customHeight="1"/>
    <row r="332" spans="8:15" ht="13.5" customHeight="1"/>
    <row r="333" spans="8:15" ht="13.5" customHeight="1"/>
    <row r="334" spans="8:15" ht="13.5" customHeight="1"/>
    <row r="335" spans="8:15" ht="13.5" customHeight="1"/>
    <row r="336" spans="8:15" ht="13.5" customHeight="1"/>
    <row r="337" ht="13.5" customHeight="1"/>
    <row r="338" ht="13.5" customHeight="1"/>
    <row r="339" ht="13.5" customHeight="1"/>
  </sheetData>
  <sheetProtection formatCells="0" formatColumns="0" formatRows="0" insertColumns="0" insertRows="0"/>
  <phoneticPr fontId="0" type="noConversion"/>
  <printOptions horizontalCentered="1"/>
  <pageMargins left="0.25" right="0.25" top="0.25" bottom="0.5" header="0.25" footer="0.25"/>
  <pageSetup scale="95" orientation="landscape" r:id="rId1"/>
  <headerFooter alignWithMargins="0"/>
  <ignoredErrors>
    <ignoredError sqref="H60:I60 H25:J25 H61:H62 I61:I62 J60:J6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7B2F2C-E8EE-4BB5-A717-F68210001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4690-06d1-49fb-852d-53eb500a6f07"/>
    <ds:schemaRef ds:uri="7c7e0179-495a-4ef3-8969-463b3802b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85162E-4F6A-4F9A-AA32-41B2CBEE217C}">
  <ds:schemaRefs>
    <ds:schemaRef ds:uri="http://schemas.microsoft.com/office/2006/metadata/properties"/>
    <ds:schemaRef ds:uri="http://schemas.microsoft.com/office/infopath/2007/PartnerControls"/>
    <ds:schemaRef ds:uri="90f44690-06d1-49fb-852d-53eb500a6f07"/>
    <ds:schemaRef ds:uri="7c7e0179-495a-4ef3-8969-463b3802bcab"/>
  </ds:schemaRefs>
</ds:datastoreItem>
</file>

<file path=customXml/itemProps3.xml><?xml version="1.0" encoding="utf-8"?>
<ds:datastoreItem xmlns:ds="http://schemas.openxmlformats.org/officeDocument/2006/customXml" ds:itemID="{C39E450A-0AD5-4057-8FCE-28839633CB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Summary</vt:lpstr>
      <vt:lpstr>Assumptions</vt:lpstr>
      <vt:lpstr>Scenarios</vt:lpstr>
      <vt:lpstr>Model</vt:lpstr>
      <vt:lpstr>Assumptions!Print_Area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Rohit Jacob</cp:lastModifiedBy>
  <cp:lastPrinted>2022-12-03T17:37:29Z</cp:lastPrinted>
  <dcterms:created xsi:type="dcterms:W3CDTF">2018-03-28T17:44:41Z</dcterms:created>
  <dcterms:modified xsi:type="dcterms:W3CDTF">2025-03-08T02:22:08Z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