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hit Jacob\Downloads\Rohit Jacob\CFA\Level 1\Financial Modelling Module\"/>
    </mc:Choice>
  </mc:AlternateContent>
  <xr:revisionPtr revIDLastSave="0" documentId="13_ncr:1_{E99F8565-86AF-4AF0-BBB9-99C4305D2F08}" xr6:coauthVersionLast="47" xr6:coauthVersionMax="47" xr10:uidLastSave="{00000000-0000-0000-0000-000000000000}"/>
  <bookViews>
    <workbookView xWindow="28690" yWindow="-110" windowWidth="29020" windowHeight="15700" tabRatio="845" xr2:uid="{00000000-000D-0000-FFFF-FFFF00000000}"/>
  </bookViews>
  <sheets>
    <sheet name="Cover" sheetId="23" r:id="rId1"/>
    <sheet name="Summary" sheetId="21" r:id="rId2"/>
    <sheet name="Assumptions" sheetId="2" r:id="rId3"/>
    <sheet name="Scenarios" sheetId="7" r:id="rId4"/>
    <sheet name="Model" sheetId="6" r:id="rId5"/>
  </sheets>
  <definedNames>
    <definedName name="_xlnm.Print_Area" localSheetId="2">Assumptions!$B$1:$O$42,Assumptions!$B$44:$O$75</definedName>
    <definedName name="_xlnm.Print_Area" localSheetId="3">Scenarios!$B$1:$K$36</definedName>
    <definedName name="_xlnm.Print_Area" localSheetId="1">Summary!$B$1:$Q$66</definedName>
  </definedNames>
  <calcPr calcId="191029"/>
</workbook>
</file>

<file path=xl/calcChain.xml><?xml version="1.0" encoding="utf-8"?>
<calcChain xmlns="http://schemas.openxmlformats.org/spreadsheetml/2006/main">
  <c r="Y22" i="21" l="1"/>
  <c r="Z22" i="21"/>
  <c r="X22" i="21"/>
  <c r="Z23" i="21"/>
  <c r="Y23" i="21"/>
  <c r="Y21" i="21"/>
  <c r="Z21" i="21"/>
  <c r="X21" i="21"/>
  <c r="Y17" i="21"/>
  <c r="Z17" i="21"/>
  <c r="X17" i="21"/>
  <c r="Z18" i="21"/>
  <c r="Y18" i="21"/>
  <c r="Y16" i="21"/>
  <c r="Z16" i="21"/>
  <c r="X16" i="21"/>
  <c r="Z13" i="21"/>
  <c r="Y13" i="21"/>
  <c r="Y12" i="21"/>
  <c r="Z12" i="21"/>
  <c r="X12" i="21"/>
  <c r="B1" i="2"/>
  <c r="B1" i="7" s="1"/>
  <c r="B2" i="6" s="1"/>
  <c r="B1" i="21"/>
  <c r="B44" i="2" s="1"/>
  <c r="B6" i="23"/>
  <c r="L164" i="6"/>
  <c r="M164" i="6"/>
  <c r="N164" i="6" s="1"/>
  <c r="O164" i="6" s="1"/>
  <c r="K164" i="6"/>
  <c r="L182" i="6"/>
  <c r="M182" i="6"/>
  <c r="N182" i="6"/>
  <c r="O182" i="6"/>
  <c r="K182" i="6"/>
  <c r="K338" i="6"/>
  <c r="J341" i="6"/>
  <c r="L328" i="6"/>
  <c r="L330" i="6" s="1"/>
  <c r="K330" i="6"/>
  <c r="K328" i="6"/>
  <c r="J330" i="6"/>
  <c r="K143" i="6"/>
  <c r="K97" i="6"/>
  <c r="L177" i="6"/>
  <c r="M177" i="6"/>
  <c r="N177" i="6"/>
  <c r="O177" i="6"/>
  <c r="K177" i="6"/>
  <c r="K316" i="6"/>
  <c r="K304" i="6"/>
  <c r="L136" i="6"/>
  <c r="M136" i="6"/>
  <c r="N136" i="6"/>
  <c r="O136" i="6"/>
  <c r="K136" i="6"/>
  <c r="L137" i="6"/>
  <c r="M137" i="6"/>
  <c r="N137" i="6"/>
  <c r="O137" i="6"/>
  <c r="K137" i="6"/>
  <c r="K332" i="6"/>
  <c r="L332" i="6" s="1"/>
  <c r="M332" i="6" s="1"/>
  <c r="N332" i="6" s="1"/>
  <c r="O332" i="6" s="1"/>
  <c r="L295" i="6"/>
  <c r="M295" i="6"/>
  <c r="N295" i="6"/>
  <c r="O295" i="6"/>
  <c r="K295" i="6"/>
  <c r="L329" i="6"/>
  <c r="M329" i="6"/>
  <c r="N329" i="6"/>
  <c r="O329" i="6"/>
  <c r="K329" i="6"/>
  <c r="L294" i="6"/>
  <c r="M294" i="6"/>
  <c r="N294" i="6"/>
  <c r="O294" i="6"/>
  <c r="K294" i="6"/>
  <c r="L293" i="6"/>
  <c r="M293" i="6"/>
  <c r="N293" i="6"/>
  <c r="O293" i="6"/>
  <c r="K293" i="6"/>
  <c r="L313" i="6"/>
  <c r="M313" i="6"/>
  <c r="N313" i="6"/>
  <c r="O313" i="6"/>
  <c r="K313" i="6"/>
  <c r="L309" i="6"/>
  <c r="M309" i="6"/>
  <c r="N309" i="6"/>
  <c r="O309" i="6"/>
  <c r="K309" i="6"/>
  <c r="K310" i="6" s="1"/>
  <c r="L308" i="6" s="1"/>
  <c r="L310" i="6" s="1"/>
  <c r="M308" i="6" s="1"/>
  <c r="K288" i="6"/>
  <c r="K308" i="6"/>
  <c r="K299" i="6"/>
  <c r="J310" i="6"/>
  <c r="J301" i="6"/>
  <c r="K283" i="6"/>
  <c r="J285" i="6"/>
  <c r="M312" i="6"/>
  <c r="N312" i="6"/>
  <c r="O312" i="6"/>
  <c r="L312" i="6"/>
  <c r="K312" i="6"/>
  <c r="M303" i="6"/>
  <c r="N303" i="6"/>
  <c r="O303" i="6" s="1"/>
  <c r="L303" i="6"/>
  <c r="K303" i="6"/>
  <c r="M287" i="6"/>
  <c r="N287" i="6" s="1"/>
  <c r="O287" i="6" s="1"/>
  <c r="L287" i="6"/>
  <c r="K287" i="6"/>
  <c r="J269" i="6"/>
  <c r="J246" i="6"/>
  <c r="K246" i="6"/>
  <c r="L246" i="6"/>
  <c r="M246" i="6"/>
  <c r="N246" i="6"/>
  <c r="O246" i="6"/>
  <c r="J258" i="6"/>
  <c r="I246" i="6"/>
  <c r="I256" i="6" s="1"/>
  <c r="J267" i="6"/>
  <c r="I267" i="6"/>
  <c r="J255" i="6"/>
  <c r="J256" i="6"/>
  <c r="J257" i="6"/>
  <c r="J253" i="6"/>
  <c r="I266" i="6"/>
  <c r="J266" i="6"/>
  <c r="J265" i="6"/>
  <c r="I265" i="6"/>
  <c r="I262" i="6"/>
  <c r="J262" i="6"/>
  <c r="I263" i="6"/>
  <c r="J263" i="6"/>
  <c r="I264" i="6"/>
  <c r="J264" i="6"/>
  <c r="J261" i="6"/>
  <c r="I261" i="6"/>
  <c r="K254" i="6"/>
  <c r="L254" i="6"/>
  <c r="M254" i="6"/>
  <c r="N254" i="6"/>
  <c r="O254" i="6"/>
  <c r="K255" i="6"/>
  <c r="L255" i="6"/>
  <c r="M255" i="6"/>
  <c r="N255" i="6"/>
  <c r="O255" i="6"/>
  <c r="K256" i="6"/>
  <c r="L256" i="6"/>
  <c r="M256" i="6"/>
  <c r="N256" i="6"/>
  <c r="O256" i="6"/>
  <c r="K257" i="6"/>
  <c r="L257" i="6"/>
  <c r="M257" i="6"/>
  <c r="N257" i="6"/>
  <c r="O257" i="6"/>
  <c r="K258" i="6"/>
  <c r="L258" i="6"/>
  <c r="M258" i="6"/>
  <c r="N258" i="6"/>
  <c r="O258" i="6"/>
  <c r="L253" i="6"/>
  <c r="M253" i="6"/>
  <c r="N253" i="6"/>
  <c r="O253" i="6"/>
  <c r="K253" i="6"/>
  <c r="J250" i="6"/>
  <c r="I250" i="6"/>
  <c r="J249" i="6"/>
  <c r="I249" i="6"/>
  <c r="L225" i="6"/>
  <c r="M225" i="6"/>
  <c r="N225" i="6"/>
  <c r="O225" i="6"/>
  <c r="K225" i="6"/>
  <c r="E220" i="6"/>
  <c r="L91" i="6"/>
  <c r="M91" i="6"/>
  <c r="N91" i="6"/>
  <c r="O91" i="6"/>
  <c r="K91" i="6"/>
  <c r="K88" i="6"/>
  <c r="K202" i="6"/>
  <c r="E206" i="6"/>
  <c r="M206" i="6" s="1"/>
  <c r="E207" i="6"/>
  <c r="M207" i="6" s="1"/>
  <c r="E208" i="6"/>
  <c r="N208" i="6" s="1"/>
  <c r="E209" i="6"/>
  <c r="O209" i="6" s="1"/>
  <c r="E205" i="6"/>
  <c r="L205" i="6" s="1"/>
  <c r="F200" i="6"/>
  <c r="F199" i="6"/>
  <c r="K131" i="6"/>
  <c r="L131" i="6"/>
  <c r="M131" i="6"/>
  <c r="N131" i="6"/>
  <c r="O131" i="6"/>
  <c r="L130" i="6"/>
  <c r="M130" i="6"/>
  <c r="N130" i="6"/>
  <c r="O130" i="6"/>
  <c r="K130" i="6"/>
  <c r="L129" i="6"/>
  <c r="M129" i="6"/>
  <c r="N129" i="6"/>
  <c r="O129" i="6"/>
  <c r="K129" i="6"/>
  <c r="K67" i="6"/>
  <c r="K66" i="6"/>
  <c r="K65" i="6"/>
  <c r="K64" i="6"/>
  <c r="K46" i="6"/>
  <c r="K45" i="6"/>
  <c r="K44" i="6"/>
  <c r="K17" i="6"/>
  <c r="H26" i="7"/>
  <c r="I26" i="7"/>
  <c r="J26" i="7"/>
  <c r="K26" i="7"/>
  <c r="H27" i="7"/>
  <c r="I27" i="7"/>
  <c r="J27" i="7"/>
  <c r="K27" i="7"/>
  <c r="G27" i="7"/>
  <c r="G26" i="7"/>
  <c r="H30" i="7"/>
  <c r="L19" i="6" s="1"/>
  <c r="I30" i="7"/>
  <c r="M19" i="6" s="1"/>
  <c r="J30" i="7"/>
  <c r="N19" i="6" s="1"/>
  <c r="K30" i="7"/>
  <c r="O19" i="6" s="1"/>
  <c r="G30" i="7"/>
  <c r="K19" i="6" s="1"/>
  <c r="K20" i="6" s="1"/>
  <c r="H23" i="7"/>
  <c r="L10" i="6" s="1"/>
  <c r="I23" i="7"/>
  <c r="M10" i="6" s="1"/>
  <c r="J23" i="7"/>
  <c r="N10" i="6" s="1"/>
  <c r="K23" i="7"/>
  <c r="O10" i="6" s="1"/>
  <c r="G23" i="7"/>
  <c r="K10" i="6" s="1"/>
  <c r="C27" i="7"/>
  <c r="C26" i="7"/>
  <c r="O1" i="6"/>
  <c r="O72" i="6" s="1"/>
  <c r="H12" i="7"/>
  <c r="L11" i="6" s="1"/>
  <c r="L40" i="6" s="1"/>
  <c r="L88" i="6" s="1"/>
  <c r="M88" i="6" s="1"/>
  <c r="I12" i="7"/>
  <c r="M11" i="6" s="1"/>
  <c r="M40" i="6" s="1"/>
  <c r="J12" i="7"/>
  <c r="N11" i="6" s="1"/>
  <c r="N40" i="6" s="1"/>
  <c r="K12" i="7"/>
  <c r="O11" i="6" s="1"/>
  <c r="O40" i="6" s="1"/>
  <c r="G12" i="7"/>
  <c r="K11" i="6" s="1"/>
  <c r="K12" i="6" s="1"/>
  <c r="J20" i="6"/>
  <c r="J27" i="6"/>
  <c r="J26" i="6"/>
  <c r="I188" i="6"/>
  <c r="J188" i="6"/>
  <c r="H188" i="6"/>
  <c r="A27" i="7"/>
  <c r="A26" i="7"/>
  <c r="J165" i="6"/>
  <c r="I165" i="6"/>
  <c r="H165" i="6"/>
  <c r="I184" i="6"/>
  <c r="H184" i="6"/>
  <c r="I178" i="6"/>
  <c r="H178" i="6"/>
  <c r="I174" i="6"/>
  <c r="I180" i="6"/>
  <c r="H174" i="6"/>
  <c r="I161" i="6"/>
  <c r="I167" i="6"/>
  <c r="H161" i="6"/>
  <c r="H167" i="6"/>
  <c r="J139" i="6"/>
  <c r="I139" i="6"/>
  <c r="H139" i="6"/>
  <c r="J85" i="6"/>
  <c r="I85" i="6"/>
  <c r="H85" i="6"/>
  <c r="D231" i="6"/>
  <c r="L202" i="6"/>
  <c r="M202" i="6" s="1"/>
  <c r="N202" i="6" s="1"/>
  <c r="O202" i="6" s="1"/>
  <c r="J184" i="6"/>
  <c r="J178" i="6"/>
  <c r="J174" i="6"/>
  <c r="J161" i="6"/>
  <c r="J167" i="6"/>
  <c r="J131" i="6"/>
  <c r="I131" i="6"/>
  <c r="H131" i="6"/>
  <c r="H142" i="6"/>
  <c r="H144" i="6"/>
  <c r="I143" i="6"/>
  <c r="J102" i="6"/>
  <c r="I102" i="6"/>
  <c r="H102" i="6"/>
  <c r="D66" i="6"/>
  <c r="D50" i="6"/>
  <c r="D65" i="6"/>
  <c r="D49" i="6"/>
  <c r="D64" i="6"/>
  <c r="D45" i="6"/>
  <c r="D60" i="6"/>
  <c r="D44" i="6"/>
  <c r="D59" i="6"/>
  <c r="L17" i="6"/>
  <c r="M17" i="6" s="1"/>
  <c r="N17" i="6" s="1"/>
  <c r="O17" i="6" s="1"/>
  <c r="J13" i="6"/>
  <c r="J9" i="2"/>
  <c r="J48" i="2"/>
  <c r="K48" i="2" s="1"/>
  <c r="L48" i="2" s="1"/>
  <c r="M48" i="2" s="1"/>
  <c r="N48" i="2" s="1"/>
  <c r="G6" i="7"/>
  <c r="K7" i="6" s="1"/>
  <c r="J8" i="2"/>
  <c r="C14" i="7"/>
  <c r="E26" i="2"/>
  <c r="C15" i="7"/>
  <c r="C16" i="7"/>
  <c r="H89" i="6"/>
  <c r="H92" i="6"/>
  <c r="I89" i="6"/>
  <c r="I125" i="6"/>
  <c r="H125" i="6"/>
  <c r="J89" i="6"/>
  <c r="J125" i="6"/>
  <c r="T5" i="21"/>
  <c r="C25" i="7"/>
  <c r="C32" i="7"/>
  <c r="C34" i="7"/>
  <c r="C33" i="7"/>
  <c r="D228" i="6"/>
  <c r="J180" i="6"/>
  <c r="J186" i="6"/>
  <c r="J28" i="6"/>
  <c r="I142" i="6"/>
  <c r="I144" i="6"/>
  <c r="J143" i="6"/>
  <c r="J144" i="6"/>
  <c r="I186" i="6"/>
  <c r="H180" i="6"/>
  <c r="H186" i="6"/>
  <c r="J142" i="6"/>
  <c r="H108" i="6"/>
  <c r="H95" i="6"/>
  <c r="J92" i="6"/>
  <c r="I92" i="6"/>
  <c r="H109" i="6"/>
  <c r="H98" i="6"/>
  <c r="H104" i="6"/>
  <c r="I95" i="6"/>
  <c r="I108" i="6"/>
  <c r="J108" i="6"/>
  <c r="J95" i="6"/>
  <c r="J80" i="6"/>
  <c r="J39" i="6"/>
  <c r="J109" i="6"/>
  <c r="J98" i="6"/>
  <c r="J104" i="6"/>
  <c r="I98" i="6"/>
  <c r="I104" i="6"/>
  <c r="I109" i="6"/>
  <c r="J110" i="6"/>
  <c r="N88" i="6" l="1"/>
  <c r="O88" i="6" s="1"/>
  <c r="L45" i="6"/>
  <c r="L64" i="6"/>
  <c r="L66" i="6"/>
  <c r="L65" i="6"/>
  <c r="L44" i="6"/>
  <c r="M330" i="6"/>
  <c r="M328" i="6"/>
  <c r="M310" i="6"/>
  <c r="N308" i="6" s="1"/>
  <c r="J254" i="6"/>
  <c r="I253" i="6"/>
  <c r="I254" i="6"/>
  <c r="I255" i="6"/>
  <c r="I258" i="6"/>
  <c r="I257" i="6"/>
  <c r="O208" i="6"/>
  <c r="L206" i="6"/>
  <c r="L211" i="6" s="1"/>
  <c r="L94" i="6" s="1"/>
  <c r="L122" i="6" s="1"/>
  <c r="M205" i="6"/>
  <c r="M211" i="6" s="1"/>
  <c r="M94" i="6" s="1"/>
  <c r="M122" i="6" s="1"/>
  <c r="K205" i="6"/>
  <c r="K211" i="6" s="1"/>
  <c r="K94" i="6" s="1"/>
  <c r="O207" i="6"/>
  <c r="N206" i="6"/>
  <c r="O205" i="6"/>
  <c r="N207" i="6"/>
  <c r="N205" i="6"/>
  <c r="O206" i="6"/>
  <c r="L12" i="6"/>
  <c r="M12" i="6" s="1"/>
  <c r="N12" i="6" s="1"/>
  <c r="O12" i="6" s="1"/>
  <c r="O13" i="6" s="1"/>
  <c r="K13" i="6"/>
  <c r="K39" i="6"/>
  <c r="K22" i="6"/>
  <c r="L20" i="6"/>
  <c r="K27" i="6"/>
  <c r="K84" i="6" s="1"/>
  <c r="K26" i="6"/>
  <c r="K83" i="6" s="1"/>
  <c r="K85" i="6" s="1"/>
  <c r="AA7" i="21"/>
  <c r="K7" i="21" s="1"/>
  <c r="K28" i="21" s="1"/>
  <c r="K49" i="21" s="1"/>
  <c r="K220" i="6"/>
  <c r="K37" i="6"/>
  <c r="J7" i="6"/>
  <c r="K78" i="6"/>
  <c r="K244" i="6"/>
  <c r="K197" i="6"/>
  <c r="D205" i="6" s="1"/>
  <c r="D206" i="6" s="1"/>
  <c r="D207" i="6" s="1"/>
  <c r="D208" i="6" s="1"/>
  <c r="D209" i="6" s="1"/>
  <c r="K119" i="6"/>
  <c r="K325" i="6"/>
  <c r="K278" i="6"/>
  <c r="K153" i="6"/>
  <c r="H6" i="7"/>
  <c r="B273" i="6"/>
  <c r="B239" i="6"/>
  <c r="B215" i="6"/>
  <c r="B320" i="6"/>
  <c r="B192" i="6"/>
  <c r="B32" i="6"/>
  <c r="B148" i="6"/>
  <c r="B114" i="6"/>
  <c r="B73" i="6"/>
  <c r="O113" i="6"/>
  <c r="O147" i="6"/>
  <c r="O214" i="6"/>
  <c r="O272" i="6"/>
  <c r="O31" i="6"/>
  <c r="O238" i="6"/>
  <c r="O191" i="6"/>
  <c r="O319" i="6"/>
  <c r="AA12" i="21" l="1"/>
  <c r="AA13" i="21" s="1"/>
  <c r="K249" i="6"/>
  <c r="K261" i="6" s="1"/>
  <c r="K157" i="6" s="1"/>
  <c r="M44" i="6"/>
  <c r="L46" i="6"/>
  <c r="L67" i="6"/>
  <c r="M64" i="6"/>
  <c r="L60" i="6"/>
  <c r="M45" i="6"/>
  <c r="M65" i="6"/>
  <c r="K50" i="6"/>
  <c r="K51" i="6"/>
  <c r="K80" i="6"/>
  <c r="K49" i="6"/>
  <c r="K52" i="6" s="1"/>
  <c r="K54" i="6" s="1"/>
  <c r="K60" i="6"/>
  <c r="K59" i="6"/>
  <c r="M66" i="6"/>
  <c r="N328" i="6"/>
  <c r="N330" i="6" s="1"/>
  <c r="N310" i="6"/>
  <c r="O308" i="6" s="1"/>
  <c r="O310" i="6" s="1"/>
  <c r="K122" i="6"/>
  <c r="K163" i="6" s="1"/>
  <c r="N211" i="6"/>
  <c r="N94" i="6" s="1"/>
  <c r="N122" i="6" s="1"/>
  <c r="O211" i="6"/>
  <c r="O94" i="6" s="1"/>
  <c r="O122" i="6" s="1"/>
  <c r="L13" i="6"/>
  <c r="N13" i="6"/>
  <c r="M20" i="6"/>
  <c r="L27" i="6"/>
  <c r="L84" i="6" s="1"/>
  <c r="L26" i="6"/>
  <c r="L22" i="6"/>
  <c r="L39" i="6"/>
  <c r="L80" i="6" s="1"/>
  <c r="K28" i="6"/>
  <c r="M13" i="6"/>
  <c r="L7" i="6"/>
  <c r="I6" i="7"/>
  <c r="J278" i="6"/>
  <c r="I7" i="6"/>
  <c r="J153" i="6"/>
  <c r="J325" i="6"/>
  <c r="Z7" i="21"/>
  <c r="J7" i="21" s="1"/>
  <c r="J28" i="21" s="1"/>
  <c r="J49" i="21" s="1"/>
  <c r="J37" i="6"/>
  <c r="J197" i="6"/>
  <c r="J78" i="6"/>
  <c r="J244" i="6"/>
  <c r="J119" i="6"/>
  <c r="L59" i="6" l="1"/>
  <c r="L61" i="6" s="1"/>
  <c r="L69" i="6" s="1"/>
  <c r="L87" i="6" s="1"/>
  <c r="L49" i="6"/>
  <c r="L52" i="6" s="1"/>
  <c r="L54" i="6" s="1"/>
  <c r="M67" i="6"/>
  <c r="N64" i="6"/>
  <c r="N66" i="6"/>
  <c r="N65" i="6"/>
  <c r="L28" i="6"/>
  <c r="L83" i="6"/>
  <c r="L85" i="6" s="1"/>
  <c r="L51" i="6"/>
  <c r="L50" i="6"/>
  <c r="M46" i="6"/>
  <c r="N44" i="6"/>
  <c r="K61" i="6"/>
  <c r="K69" i="6" s="1"/>
  <c r="K87" i="6" s="1"/>
  <c r="N45" i="6"/>
  <c r="L163" i="6"/>
  <c r="K165" i="6"/>
  <c r="O328" i="6"/>
  <c r="O330" i="6" s="1"/>
  <c r="N20" i="6"/>
  <c r="M22" i="6"/>
  <c r="M27" i="6"/>
  <c r="M84" i="6" s="1"/>
  <c r="M26" i="6"/>
  <c r="M39" i="6"/>
  <c r="M80" i="6" s="1"/>
  <c r="I78" i="6"/>
  <c r="I153" i="6"/>
  <c r="I244" i="6"/>
  <c r="I119" i="6"/>
  <c r="I37" i="6"/>
  <c r="H7" i="6"/>
  <c r="Y7" i="21"/>
  <c r="I7" i="21" s="1"/>
  <c r="I28" i="21" s="1"/>
  <c r="I49" i="21" s="1"/>
  <c r="I197" i="6"/>
  <c r="J6" i="7"/>
  <c r="M7" i="6"/>
  <c r="L244" i="6"/>
  <c r="L278" i="6"/>
  <c r="AB7" i="21"/>
  <c r="L7" i="21" s="1"/>
  <c r="L28" i="21" s="1"/>
  <c r="L49" i="21" s="1"/>
  <c r="L325" i="6"/>
  <c r="L197" i="6"/>
  <c r="L220" i="6"/>
  <c r="L37" i="6"/>
  <c r="L119" i="6"/>
  <c r="L78" i="6"/>
  <c r="L153" i="6"/>
  <c r="M50" i="6" l="1"/>
  <c r="M59" i="6"/>
  <c r="O44" i="6"/>
  <c r="N46" i="6"/>
  <c r="O65" i="6"/>
  <c r="M28" i="6"/>
  <c r="M83" i="6"/>
  <c r="M85" i="6" s="1"/>
  <c r="M51" i="6"/>
  <c r="K250" i="6"/>
  <c r="K89" i="6"/>
  <c r="K92" i="6" s="1"/>
  <c r="L250" i="6"/>
  <c r="L89" i="6"/>
  <c r="L92" i="6" s="1"/>
  <c r="O66" i="6"/>
  <c r="O45" i="6"/>
  <c r="AB12" i="21"/>
  <c r="AB13" i="21" s="1"/>
  <c r="L249" i="6"/>
  <c r="L261" i="6" s="1"/>
  <c r="O64" i="6"/>
  <c r="N67" i="6"/>
  <c r="M60" i="6"/>
  <c r="M49" i="6"/>
  <c r="M163" i="6"/>
  <c r="L165" i="6"/>
  <c r="O20" i="6"/>
  <c r="N22" i="6"/>
  <c r="N27" i="6"/>
  <c r="N84" i="6" s="1"/>
  <c r="N26" i="6"/>
  <c r="N83" i="6" s="1"/>
  <c r="N85" i="6" s="1"/>
  <c r="N39" i="6"/>
  <c r="N80" i="6" s="1"/>
  <c r="H78" i="6"/>
  <c r="H244" i="6"/>
  <c r="H153" i="6"/>
  <c r="H37" i="6"/>
  <c r="H197" i="6"/>
  <c r="X7" i="21"/>
  <c r="H7" i="21" s="1"/>
  <c r="H28" i="21" s="1"/>
  <c r="H49" i="21" s="1"/>
  <c r="H119" i="6"/>
  <c r="M325" i="6"/>
  <c r="M153" i="6"/>
  <c r="M244" i="6"/>
  <c r="M37" i="6"/>
  <c r="M220" i="6"/>
  <c r="M197" i="6"/>
  <c r="M278" i="6"/>
  <c r="AC7" i="21"/>
  <c r="M7" i="21" s="1"/>
  <c r="M28" i="21" s="1"/>
  <c r="M49" i="21" s="1"/>
  <c r="M78" i="6"/>
  <c r="M119" i="6"/>
  <c r="N7" i="6"/>
  <c r="K6" i="7"/>
  <c r="N60" i="6" l="1"/>
  <c r="N61" i="6" s="1"/>
  <c r="N69" i="6" s="1"/>
  <c r="N87" i="6" s="1"/>
  <c r="M52" i="6"/>
  <c r="M54" i="6" s="1"/>
  <c r="N51" i="6"/>
  <c r="M61" i="6"/>
  <c r="M69" i="6" s="1"/>
  <c r="M87" i="6" s="1"/>
  <c r="M250" i="6" s="1"/>
  <c r="N49" i="6"/>
  <c r="N50" i="6"/>
  <c r="N59" i="6"/>
  <c r="AB16" i="21"/>
  <c r="L108" i="6"/>
  <c r="L95" i="6"/>
  <c r="L109" i="6" s="1"/>
  <c r="O46" i="6"/>
  <c r="AC12" i="21"/>
  <c r="AC13" i="21" s="1"/>
  <c r="M249" i="6"/>
  <c r="M261" i="6" s="1"/>
  <c r="AD12" i="21"/>
  <c r="N249" i="6"/>
  <c r="N261" i="6" s="1"/>
  <c r="O67" i="6"/>
  <c r="L262" i="6"/>
  <c r="L158" i="6" s="1"/>
  <c r="L264" i="6"/>
  <c r="L160" i="6" s="1"/>
  <c r="L265" i="6"/>
  <c r="L172" i="6" s="1"/>
  <c r="L266" i="6"/>
  <c r="L173" i="6" s="1"/>
  <c r="L263" i="6"/>
  <c r="L159" i="6" s="1"/>
  <c r="L157" i="6"/>
  <c r="AA16" i="21"/>
  <c r="K108" i="6"/>
  <c r="K95" i="6"/>
  <c r="K265" i="6"/>
  <c r="K172" i="6" s="1"/>
  <c r="K266" i="6"/>
  <c r="K173" i="6" s="1"/>
  <c r="K262" i="6"/>
  <c r="K264" i="6"/>
  <c r="K160" i="6" s="1"/>
  <c r="K263" i="6"/>
  <c r="K159" i="6" s="1"/>
  <c r="N163" i="6"/>
  <c r="M165" i="6"/>
  <c r="O22" i="6"/>
  <c r="O27" i="6"/>
  <c r="O84" i="6" s="1"/>
  <c r="O26" i="6"/>
  <c r="O39" i="6"/>
  <c r="O80" i="6" s="1"/>
  <c r="N28" i="6"/>
  <c r="O7" i="6"/>
  <c r="E17" i="2"/>
  <c r="N78" i="6"/>
  <c r="N37" i="6"/>
  <c r="AD7" i="21"/>
  <c r="N7" i="21" s="1"/>
  <c r="N28" i="21" s="1"/>
  <c r="N49" i="21" s="1"/>
  <c r="N325" i="6"/>
  <c r="N278" i="6"/>
  <c r="N220" i="6"/>
  <c r="N244" i="6"/>
  <c r="N197" i="6"/>
  <c r="N119" i="6"/>
  <c r="N153" i="6"/>
  <c r="O51" i="6" l="1"/>
  <c r="N52" i="6"/>
  <c r="N54" i="6" s="1"/>
  <c r="O50" i="6"/>
  <c r="O49" i="6"/>
  <c r="O60" i="6"/>
  <c r="O59" i="6"/>
  <c r="O52" i="6"/>
  <c r="O54" i="6" s="1"/>
  <c r="M89" i="6"/>
  <c r="M92" i="6" s="1"/>
  <c r="AC16" i="21" s="1"/>
  <c r="L267" i="6"/>
  <c r="M157" i="6"/>
  <c r="M265" i="6"/>
  <c r="M172" i="6" s="1"/>
  <c r="M266" i="6"/>
  <c r="M173" i="6" s="1"/>
  <c r="M262" i="6"/>
  <c r="M158" i="6" s="1"/>
  <c r="M263" i="6"/>
  <c r="M159" i="6" s="1"/>
  <c r="M264" i="6"/>
  <c r="M160" i="6" s="1"/>
  <c r="K158" i="6"/>
  <c r="K267" i="6"/>
  <c r="AA18" i="21"/>
  <c r="AA17" i="21"/>
  <c r="N250" i="6"/>
  <c r="N89" i="6"/>
  <c r="N92" i="6" s="1"/>
  <c r="K109" i="6"/>
  <c r="K98" i="6"/>
  <c r="K223" i="6" s="1"/>
  <c r="N157" i="6"/>
  <c r="O28" i="6"/>
  <c r="O83" i="6"/>
  <c r="O85" i="6" s="1"/>
  <c r="AD13" i="21"/>
  <c r="AB18" i="21"/>
  <c r="AB17" i="21"/>
  <c r="O163" i="6"/>
  <c r="O165" i="6" s="1"/>
  <c r="N165" i="6"/>
  <c r="O153" i="6"/>
  <c r="O278" i="6"/>
  <c r="O197" i="6"/>
  <c r="O244" i="6"/>
  <c r="O220" i="6"/>
  <c r="O78" i="6"/>
  <c r="O37" i="6"/>
  <c r="O119" i="6"/>
  <c r="AE7" i="21"/>
  <c r="O7" i="21" s="1"/>
  <c r="O28" i="21" s="1"/>
  <c r="O49" i="21" s="1"/>
  <c r="O325" i="6"/>
  <c r="O61" i="6" l="1"/>
  <c r="O69" i="6" s="1"/>
  <c r="O87" i="6" s="1"/>
  <c r="M95" i="6"/>
  <c r="M109" i="6" s="1"/>
  <c r="M108" i="6"/>
  <c r="N264" i="6"/>
  <c r="N160" i="6" s="1"/>
  <c r="N262" i="6"/>
  <c r="N265" i="6"/>
  <c r="N172" i="6" s="1"/>
  <c r="N266" i="6"/>
  <c r="N173" i="6" s="1"/>
  <c r="N263" i="6"/>
  <c r="N159" i="6" s="1"/>
  <c r="AC18" i="21"/>
  <c r="AC17" i="21"/>
  <c r="AE12" i="21"/>
  <c r="AE13" i="21" s="1"/>
  <c r="O249" i="6"/>
  <c r="O261" i="6" s="1"/>
  <c r="O157" i="6" s="1"/>
  <c r="O250" i="6"/>
  <c r="O89" i="6"/>
  <c r="O92" i="6" s="1"/>
  <c r="M267" i="6"/>
  <c r="K226" i="6"/>
  <c r="K231" i="6" s="1"/>
  <c r="K228" i="6"/>
  <c r="K269" i="6"/>
  <c r="K124" i="6" s="1"/>
  <c r="L269" i="6"/>
  <c r="L124" i="6" s="1"/>
  <c r="N108" i="6"/>
  <c r="AD16" i="21"/>
  <c r="N95" i="6"/>
  <c r="N109" i="6" s="1"/>
  <c r="K232" i="6" l="1"/>
  <c r="O108" i="6"/>
  <c r="AE16" i="21"/>
  <c r="O95" i="6"/>
  <c r="O109" i="6" s="1"/>
  <c r="N158" i="6"/>
  <c r="N267" i="6"/>
  <c r="K101" i="6"/>
  <c r="K123" i="6" s="1"/>
  <c r="K176" i="6"/>
  <c r="K178" i="6" s="1"/>
  <c r="K100" i="6"/>
  <c r="K233" i="6"/>
  <c r="N269" i="6"/>
  <c r="N124" i="6" s="1"/>
  <c r="M269" i="6"/>
  <c r="M124" i="6" s="1"/>
  <c r="AD18" i="21"/>
  <c r="AD17" i="21"/>
  <c r="O265" i="6"/>
  <c r="O172" i="6" s="1"/>
  <c r="O262" i="6"/>
  <c r="O158" i="6" s="1"/>
  <c r="O263" i="6"/>
  <c r="O264" i="6"/>
  <c r="O160" i="6" s="1"/>
  <c r="O266" i="6"/>
  <c r="O173" i="6" s="1"/>
  <c r="K102" i="6" l="1"/>
  <c r="K104" i="6" s="1"/>
  <c r="AA21" i="21" s="1"/>
  <c r="AE18" i="21"/>
  <c r="AE17" i="21"/>
  <c r="O267" i="6"/>
  <c r="O269" i="6" s="1"/>
  <c r="O124" i="6" s="1"/>
  <c r="O159" i="6"/>
  <c r="K333" i="6"/>
  <c r="K334" i="6" s="1"/>
  <c r="K339" i="6" l="1"/>
  <c r="K121" i="6"/>
  <c r="K125" i="6" s="1"/>
  <c r="K292" i="6" s="1"/>
  <c r="K340" i="6"/>
  <c r="K341" i="6" s="1"/>
  <c r="K138" i="6"/>
  <c r="K296" i="6" s="1"/>
  <c r="K297" i="6" s="1"/>
  <c r="K300" i="6" s="1"/>
  <c r="AA23" i="21"/>
  <c r="AA22" i="21"/>
  <c r="K135" i="6" l="1"/>
  <c r="K139" i="6" s="1"/>
  <c r="K142" i="6" s="1"/>
  <c r="K301" i="6"/>
  <c r="K183" i="6"/>
  <c r="K184" i="6" s="1"/>
  <c r="K110" i="6" s="1"/>
  <c r="L338" i="6"/>
  <c r="L299" i="6" l="1"/>
  <c r="L304" i="6" s="1"/>
  <c r="K171" i="6"/>
  <c r="K174" i="6" s="1"/>
  <c r="K180" i="6" s="1"/>
  <c r="K186" i="6" s="1"/>
  <c r="K144" i="6"/>
  <c r="K284" i="6"/>
  <c r="K285" i="6" s="1"/>
  <c r="L283" i="6" s="1"/>
  <c r="L288" i="6" s="1"/>
  <c r="L316" i="6" l="1"/>
  <c r="L97" i="6" s="1"/>
  <c r="L98" i="6" s="1"/>
  <c r="L223" i="6" s="1"/>
  <c r="L228" i="6" s="1"/>
  <c r="L143" i="6"/>
  <c r="K156" i="6"/>
  <c r="K161" i="6" s="1"/>
  <c r="K167" i="6" s="1"/>
  <c r="K188" i="6" s="1"/>
  <c r="L226" i="6" l="1"/>
  <c r="L231" i="6" s="1"/>
  <c r="L232" i="6" s="1"/>
  <c r="L100" i="6"/>
  <c r="L176" i="6" l="1"/>
  <c r="L178" i="6" s="1"/>
  <c r="L101" i="6"/>
  <c r="L123" i="6" s="1"/>
  <c r="L233" i="6"/>
  <c r="L102" i="6"/>
  <c r="L104" i="6" s="1"/>
  <c r="L121" i="6" l="1"/>
  <c r="L125" i="6" s="1"/>
  <c r="L292" i="6" s="1"/>
  <c r="AB21" i="21"/>
  <c r="L339" i="6"/>
  <c r="L333" i="6"/>
  <c r="L334" i="6" s="1"/>
  <c r="L138" i="6" l="1"/>
  <c r="L296" i="6" s="1"/>
  <c r="L297" i="6" s="1"/>
  <c r="L300" i="6" s="1"/>
  <c r="L340" i="6"/>
  <c r="L341" i="6" s="1"/>
  <c r="AB23" i="21"/>
  <c r="AB22" i="21"/>
  <c r="M338" i="6" l="1"/>
  <c r="L183" i="6"/>
  <c r="L184" i="6" s="1"/>
  <c r="L110" i="6" s="1"/>
  <c r="L301" i="6"/>
  <c r="L135" i="6"/>
  <c r="L139" i="6" s="1"/>
  <c r="L142" i="6" s="1"/>
  <c r="L144" i="6" l="1"/>
  <c r="L284" i="6"/>
  <c r="L285" i="6" s="1"/>
  <c r="M283" i="6" s="1"/>
  <c r="M288" i="6" s="1"/>
  <c r="M299" i="6"/>
  <c r="M304" i="6" s="1"/>
  <c r="L171" i="6"/>
  <c r="L174" i="6" s="1"/>
  <c r="L180" i="6" s="1"/>
  <c r="L186" i="6" s="1"/>
  <c r="M316" i="6" l="1"/>
  <c r="M97" i="6" s="1"/>
  <c r="M98" i="6" s="1"/>
  <c r="M223" i="6" s="1"/>
  <c r="L156" i="6"/>
  <c r="L161" i="6" s="1"/>
  <c r="L167" i="6" s="1"/>
  <c r="L188" i="6" s="1"/>
  <c r="M143" i="6"/>
  <c r="M226" i="6" l="1"/>
  <c r="M231" i="6" s="1"/>
  <c r="M228" i="6"/>
  <c r="M100" i="6" l="1"/>
  <c r="M232" i="6"/>
  <c r="M101" i="6" l="1"/>
  <c r="M123" i="6" s="1"/>
  <c r="M176" i="6"/>
  <c r="M178" i="6" s="1"/>
  <c r="M233" i="6"/>
  <c r="M102" i="6" l="1"/>
  <c r="M104" i="6" s="1"/>
  <c r="AC21" i="21" s="1"/>
  <c r="M333" i="6"/>
  <c r="M334" i="6" s="1"/>
  <c r="M339" i="6" l="1"/>
  <c r="M121" i="6"/>
  <c r="M125" i="6" s="1"/>
  <c r="M292" i="6" s="1"/>
  <c r="AC23" i="21"/>
  <c r="AC22" i="21"/>
  <c r="M138" i="6"/>
  <c r="M296" i="6" s="1"/>
  <c r="M340" i="6"/>
  <c r="M341" i="6" s="1"/>
  <c r="M297" i="6" l="1"/>
  <c r="M300" i="6" s="1"/>
  <c r="M301" i="6" s="1"/>
  <c r="M183" i="6"/>
  <c r="M184" i="6" s="1"/>
  <c r="M110" i="6" s="1"/>
  <c r="N338" i="6"/>
  <c r="M135" i="6" l="1"/>
  <c r="M139" i="6" s="1"/>
  <c r="M142" i="6" s="1"/>
  <c r="M284" i="6" s="1"/>
  <c r="M285" i="6" s="1"/>
  <c r="N283" i="6" s="1"/>
  <c r="N288" i="6" s="1"/>
  <c r="N299" i="6"/>
  <c r="N304" i="6" s="1"/>
  <c r="M171" i="6"/>
  <c r="M174" i="6" s="1"/>
  <c r="M180" i="6" s="1"/>
  <c r="M186" i="6" s="1"/>
  <c r="M144" i="6" l="1"/>
  <c r="N143" i="6" s="1"/>
  <c r="N316" i="6"/>
  <c r="N97" i="6" s="1"/>
  <c r="N98" i="6" s="1"/>
  <c r="N223" i="6" s="1"/>
  <c r="M156" i="6" l="1"/>
  <c r="M161" i="6" s="1"/>
  <c r="M167" i="6" s="1"/>
  <c r="M188" i="6" s="1"/>
  <c r="N228" i="6"/>
  <c r="N226" i="6"/>
  <c r="N231" i="6" s="1"/>
  <c r="N232" i="6" l="1"/>
  <c r="N233" i="6"/>
  <c r="N100" i="6"/>
  <c r="N101" i="6" l="1"/>
  <c r="N123" i="6" s="1"/>
  <c r="N176" i="6"/>
  <c r="N178" i="6" s="1"/>
  <c r="N102" i="6" l="1"/>
  <c r="N104" i="6" s="1"/>
  <c r="AD21" i="21" l="1"/>
  <c r="N339" i="6"/>
  <c r="N121" i="6"/>
  <c r="N125" i="6" s="1"/>
  <c r="N292" i="6" s="1"/>
  <c r="N333" i="6"/>
  <c r="N334" i="6" s="1"/>
  <c r="N138" i="6" l="1"/>
  <c r="N296" i="6" s="1"/>
  <c r="N297" i="6" s="1"/>
  <c r="N300" i="6" s="1"/>
  <c r="N340" i="6"/>
  <c r="N341" i="6" s="1"/>
  <c r="AD23" i="21"/>
  <c r="AD22" i="21"/>
  <c r="N183" i="6" l="1"/>
  <c r="N184" i="6" s="1"/>
  <c r="N110" i="6" s="1"/>
  <c r="O338" i="6"/>
  <c r="N301" i="6"/>
  <c r="N135" i="6"/>
  <c r="N139" i="6" s="1"/>
  <c r="N142" i="6" s="1"/>
  <c r="N144" i="6" l="1"/>
  <c r="N284" i="6"/>
  <c r="N285" i="6" s="1"/>
  <c r="O283" i="6" s="1"/>
  <c r="O288" i="6" s="1"/>
  <c r="O299" i="6"/>
  <c r="O304" i="6" s="1"/>
  <c r="O316" i="6" s="1"/>
  <c r="O97" i="6" s="1"/>
  <c r="O98" i="6" s="1"/>
  <c r="O223" i="6" s="1"/>
  <c r="N171" i="6"/>
  <c r="N174" i="6" s="1"/>
  <c r="N180" i="6" s="1"/>
  <c r="N186" i="6" s="1"/>
  <c r="O226" i="6" l="1"/>
  <c r="O231" i="6" s="1"/>
  <c r="O228" i="6"/>
  <c r="O232" i="6" s="1"/>
  <c r="O143" i="6"/>
  <c r="N156" i="6"/>
  <c r="N161" i="6" s="1"/>
  <c r="N167" i="6" s="1"/>
  <c r="N188" i="6" s="1"/>
  <c r="O101" i="6" l="1"/>
  <c r="O123" i="6" s="1"/>
  <c r="O176" i="6"/>
  <c r="O178" i="6" s="1"/>
  <c r="O233" i="6"/>
  <c r="O100" i="6"/>
  <c r="O102" i="6" s="1"/>
  <c r="O104" i="6" s="1"/>
  <c r="O121" i="6" l="1"/>
  <c r="O125" i="6" s="1"/>
  <c r="O292" i="6" s="1"/>
  <c r="AE21" i="21"/>
  <c r="O333" i="6"/>
  <c r="O334" i="6" s="1"/>
  <c r="O339" i="6"/>
  <c r="O138" i="6" l="1"/>
  <c r="O296" i="6" s="1"/>
  <c r="O297" i="6" s="1"/>
  <c r="O300" i="6" s="1"/>
  <c r="O340" i="6"/>
  <c r="O341" i="6" s="1"/>
  <c r="O183" i="6" s="1"/>
  <c r="O184" i="6" s="1"/>
  <c r="AE23" i="21"/>
  <c r="AE22" i="21"/>
  <c r="O110" i="6" l="1"/>
  <c r="O135" i="6"/>
  <c r="O139" i="6" s="1"/>
  <c r="O142" i="6" s="1"/>
  <c r="O301" i="6"/>
  <c r="O171" i="6" s="1"/>
  <c r="O174" i="6" s="1"/>
  <c r="O180" i="6" s="1"/>
  <c r="O186" i="6" s="1"/>
  <c r="O144" i="6" l="1"/>
  <c r="O156" i="6" s="1"/>
  <c r="O161" i="6" s="1"/>
  <c r="O167" i="6" s="1"/>
  <c r="O188" i="6" s="1"/>
  <c r="O284" i="6"/>
  <c r="O28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288" authorId="0" shapeId="0" xr:uid="{9348DE71-38AA-42E6-8F50-93D8511549CA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  <comment ref="K304" authorId="0" shapeId="0" xr:uid="{AC8474A6-D4A4-4FEA-8C4F-EE553D3A978B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  <comment ref="K313" authorId="0" shapeId="0" xr:uid="{190634BD-9407-42EF-BA36-6EA5AB3FFB02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</commentList>
</comments>
</file>

<file path=xl/sharedStrings.xml><?xml version="1.0" encoding="utf-8"?>
<sst xmlns="http://schemas.openxmlformats.org/spreadsheetml/2006/main" count="398" uniqueCount="199">
  <si>
    <t>Pricing Case</t>
  </si>
  <si>
    <t>Pricing</t>
  </si>
  <si>
    <t>Projected</t>
  </si>
  <si>
    <t>Net Revenue</t>
  </si>
  <si>
    <t>Cost of Sales</t>
  </si>
  <si>
    <t>EBITDA</t>
  </si>
  <si>
    <t>Depreciation &amp; Amortization</t>
  </si>
  <si>
    <t>EBIT</t>
  </si>
  <si>
    <t>Net Income</t>
  </si>
  <si>
    <t>Operating Activities</t>
  </si>
  <si>
    <t>Other</t>
  </si>
  <si>
    <t>Operating Cash Flow</t>
  </si>
  <si>
    <t>ASSETS</t>
  </si>
  <si>
    <t>Cash</t>
  </si>
  <si>
    <t>Accounts Receivable</t>
  </si>
  <si>
    <t>Inventory</t>
  </si>
  <si>
    <t>Total Current Assets</t>
  </si>
  <si>
    <t>Net PP&amp;E</t>
  </si>
  <si>
    <t>Total Assets</t>
  </si>
  <si>
    <t>LIABILITIES AND EQUITY</t>
  </si>
  <si>
    <t>Accounts Payable</t>
  </si>
  <si>
    <t>Total Current Liabilities</t>
  </si>
  <si>
    <t>Total Long Term Liabilities</t>
  </si>
  <si>
    <t>Total Liabilities</t>
  </si>
  <si>
    <t>Shareholder's Equity</t>
  </si>
  <si>
    <t>Total Liabilities and Equity</t>
  </si>
  <si>
    <t>Check</t>
  </si>
  <si>
    <t>Days In</t>
  </si>
  <si>
    <t>Inventories</t>
  </si>
  <si>
    <t>Account Balances</t>
  </si>
  <si>
    <t>Net Working Capital</t>
  </si>
  <si>
    <t>A</t>
  </si>
  <si>
    <t>B</t>
  </si>
  <si>
    <t>Variable Costs</t>
  </si>
  <si>
    <t>Total Variable Costs</t>
  </si>
  <si>
    <t>Fixed Costs</t>
  </si>
  <si>
    <t>S,G &amp; A</t>
  </si>
  <si>
    <t>Income Statement</t>
  </si>
  <si>
    <t>Margins</t>
  </si>
  <si>
    <t>EBITDA Margin</t>
  </si>
  <si>
    <t>EBIT Margin</t>
  </si>
  <si>
    <t>Depreciation to Existing Assets</t>
  </si>
  <si>
    <t>Total Depreciation</t>
  </si>
  <si>
    <t>Revenue</t>
  </si>
  <si>
    <t>Gross Revenue</t>
  </si>
  <si>
    <t>Total Costs</t>
  </si>
  <si>
    <t>Depreciation</t>
  </si>
  <si>
    <t>Cash Flow Statement</t>
  </si>
  <si>
    <t>Income Tax Schedule</t>
  </si>
  <si>
    <t>Working Capital Schedule</t>
  </si>
  <si>
    <t>Total Fixed Costs</t>
  </si>
  <si>
    <t>Freight &amp; Warehousing</t>
  </si>
  <si>
    <t>Implied Operating Rate</t>
  </si>
  <si>
    <t>Operating Labour</t>
  </si>
  <si>
    <t>CAPEX</t>
  </si>
  <si>
    <t>Change in the Cash Position</t>
  </si>
  <si>
    <t>Beginning Cash</t>
  </si>
  <si>
    <t>Ending Cash</t>
  </si>
  <si>
    <t>Base Case</t>
  </si>
  <si>
    <t>Best Case</t>
  </si>
  <si>
    <t>Worst Case</t>
  </si>
  <si>
    <t>(days)</t>
  </si>
  <si>
    <t xml:space="preserve">Gross Sales Price </t>
  </si>
  <si>
    <t>Debt and Interest Schedule</t>
  </si>
  <si>
    <t>Net Sales Price</t>
  </si>
  <si>
    <t>Amount Outstanding - Beginning</t>
  </si>
  <si>
    <t>Additions / (Repayments)</t>
  </si>
  <si>
    <t>Amount Outstanding - Ending</t>
  </si>
  <si>
    <t>Interest Rate</t>
  </si>
  <si>
    <t>Annual Interest Expense</t>
  </si>
  <si>
    <t>Annual Interest Income</t>
  </si>
  <si>
    <t>Change in Cash</t>
  </si>
  <si>
    <t>Financing Activities</t>
  </si>
  <si>
    <t>Interest Expense</t>
  </si>
  <si>
    <t>Net Interest Expense</t>
  </si>
  <si>
    <t>EBT</t>
  </si>
  <si>
    <t>(000's units)</t>
  </si>
  <si>
    <t>COSTS PER UNIT</t>
  </si>
  <si>
    <t>The product pricing cases used in the model are as follows:</t>
  </si>
  <si>
    <t>-</t>
  </si>
  <si>
    <t>GENERAL</t>
  </si>
  <si>
    <t>PRODUCT PRICING</t>
  </si>
  <si>
    <t>OPERATIONS</t>
  </si>
  <si>
    <t>TAXES</t>
  </si>
  <si>
    <t>COSTS</t>
  </si>
  <si>
    <t>Cost Item</t>
  </si>
  <si>
    <t>Raw Materials</t>
  </si>
  <si>
    <t>Increases</t>
  </si>
  <si>
    <t>Inflation on a unit basis</t>
  </si>
  <si>
    <t>SG&amp;A</t>
  </si>
  <si>
    <t>DEPRECIATION</t>
  </si>
  <si>
    <t>Straight Line</t>
  </si>
  <si>
    <t>ECONOMIC SCENARIOS</t>
  </si>
  <si>
    <t>Current Income Taxes</t>
  </si>
  <si>
    <t>Total Income Taxes</t>
  </si>
  <si>
    <t>Tax Rate</t>
  </si>
  <si>
    <t>Taxes as Appearing on Income Statement</t>
  </si>
  <si>
    <t>Total Income Taxes (Same as Accounting Taxes Above)</t>
  </si>
  <si>
    <t>Cost Inflation</t>
  </si>
  <si>
    <t>SCENARIO SWITCH:</t>
  </si>
  <si>
    <t>Revenue Schedule</t>
  </si>
  <si>
    <t>Capital Expenditures</t>
  </si>
  <si>
    <t>Investing Activities</t>
  </si>
  <si>
    <t>Investing Cash Flow</t>
  </si>
  <si>
    <t>Financing Cash Flow</t>
  </si>
  <si>
    <t>Balance Sheet</t>
  </si>
  <si>
    <t>Days per Year</t>
  </si>
  <si>
    <t>Inputs and Assumptions</t>
  </si>
  <si>
    <t>SALES SCENARIOS</t>
  </si>
  <si>
    <t>Sales Volume Growth</t>
  </si>
  <si>
    <t>(%)</t>
  </si>
  <si>
    <t>Sales Volume</t>
  </si>
  <si>
    <t>Annual Sales Volume</t>
  </si>
  <si>
    <t>Change in Working Capital</t>
  </si>
  <si>
    <t>Shareholders' Equity Schedule</t>
  </si>
  <si>
    <t>Common Shares</t>
  </si>
  <si>
    <t>Dividend Payout Rate</t>
  </si>
  <si>
    <t>Common Dividend</t>
  </si>
  <si>
    <t>Retained Earnings</t>
  </si>
  <si>
    <t>EQUITY</t>
  </si>
  <si>
    <t>Common Dividend Payout Rate</t>
  </si>
  <si>
    <t>Common Stock Issuance / (Buy-back)</t>
  </si>
  <si>
    <t>Common Shares Issuance/ (Buy-Back)</t>
  </si>
  <si>
    <t>Common Dividends</t>
  </si>
  <si>
    <t>New Issuance / (Buy-Back)</t>
  </si>
  <si>
    <t>Return on Equity</t>
  </si>
  <si>
    <t>Changes in working capital</t>
  </si>
  <si>
    <t>Dividends</t>
  </si>
  <si>
    <t>FINANCING COMPONENT</t>
  </si>
  <si>
    <t>and sales volume growth</t>
  </si>
  <si>
    <t>Revolver</t>
  </si>
  <si>
    <t>Senior Secured Term Debt</t>
  </si>
  <si>
    <t>Revolver Issuance / (Repayment)</t>
  </si>
  <si>
    <t>Term Debt Issuance / (Repayment)</t>
  </si>
  <si>
    <t>Bank Debt - Revolver</t>
  </si>
  <si>
    <t>Depreciation Schedule</t>
  </si>
  <si>
    <t>FCF After Mandatory Debt Repayment and Dividend</t>
  </si>
  <si>
    <t>Mandatory Debt Repayments</t>
  </si>
  <si>
    <t>Revolver Outstanding - Beginning</t>
  </si>
  <si>
    <t>Revolver Outstanding - Ending</t>
  </si>
  <si>
    <t>Research Forecast</t>
  </si>
  <si>
    <t xml:space="preserve"> </t>
  </si>
  <si>
    <t>Depreciation Years on New Assets:</t>
  </si>
  <si>
    <t>Income Statement Items</t>
  </si>
  <si>
    <t>First year of forecast in financial model:</t>
  </si>
  <si>
    <t>per Unit</t>
  </si>
  <si>
    <t>MM</t>
  </si>
  <si>
    <t>Deferred Income Taxes</t>
  </si>
  <si>
    <t>Increase (Decrease) in Deferred Income Taxes</t>
  </si>
  <si>
    <t>SUMMARY VALUES - BASE CASE</t>
  </si>
  <si>
    <t xml:space="preserve">   Growth</t>
  </si>
  <si>
    <t xml:space="preserve">   Margin</t>
  </si>
  <si>
    <t>SUMMARY VALUES - WORST CASE</t>
  </si>
  <si>
    <t>Utilities</t>
  </si>
  <si>
    <t>Rent</t>
  </si>
  <si>
    <t>Depreciation Methodology Used:</t>
  </si>
  <si>
    <t>Years remaining for depreciation of existing assets:</t>
  </si>
  <si>
    <t>Years used for depreciation of new assets:</t>
  </si>
  <si>
    <t>OTHER ASSUMPTIONS</t>
  </si>
  <si>
    <t>Working Capital Days</t>
  </si>
  <si>
    <t>days</t>
  </si>
  <si>
    <t>Change in Debt &amp; Equity</t>
  </si>
  <si>
    <t>Annual Factory Capacity</t>
  </si>
  <si>
    <t>Cost Adjustments - Gain/(Loss)</t>
  </si>
  <si>
    <t>Investing Activities - Other</t>
  </si>
  <si>
    <t>Prepaid Expenses</t>
  </si>
  <si>
    <t>Other Assets</t>
  </si>
  <si>
    <t>Other Liabilities</t>
  </si>
  <si>
    <t>Three scenarios have been used for Inflation, Product Pricing</t>
  </si>
  <si>
    <t>(MM)</t>
  </si>
  <si>
    <t>Sales Price - $/Unit</t>
  </si>
  <si>
    <t>($/unit)</t>
  </si>
  <si>
    <t>($ MM)</t>
  </si>
  <si>
    <t>($ Millions)</t>
  </si>
  <si>
    <t>Income Tax</t>
  </si>
  <si>
    <t xml:space="preserve">Accounting EBT (as is on I/S)   </t>
  </si>
  <si>
    <t>Government EBT</t>
  </si>
  <si>
    <t>(1) Assumes aggregate reduction in government pre-tax earnings due to timing differences between accounting and government rules.</t>
  </si>
  <si>
    <t>Reduction in EBT for timing differences</t>
  </si>
  <si>
    <t>Total Long Term Assets</t>
  </si>
  <si>
    <t>Summary Outputs</t>
  </si>
  <si>
    <t>SUMMARY VALUES - BEST CASE</t>
  </si>
  <si>
    <t>Costs of Production Schedule</t>
  </si>
  <si>
    <t>COSTS IN MILLIONS</t>
  </si>
  <si>
    <t>INTEREST RATES</t>
  </si>
  <si>
    <r>
      <t xml:space="preserve">Less: Reduction in EBT for timing differences </t>
    </r>
    <r>
      <rPr>
        <vertAlign val="superscript"/>
        <sz val="10"/>
        <rFont val="Arial"/>
        <family val="2"/>
      </rPr>
      <t>(1)</t>
    </r>
  </si>
  <si>
    <t>Senior Term Debt Issuance / (Repayment)</t>
  </si>
  <si>
    <t>Annual Factory Capacity (000's units):</t>
  </si>
  <si>
    <t>Tax rate assumed in the model:</t>
  </si>
  <si>
    <t>Additional tax assumptions in "Other Assumptions" box</t>
  </si>
  <si>
    <t>Interest rate on Bank Revolver:</t>
  </si>
  <si>
    <t>Interest rate on Senior Secured Term Debt:</t>
  </si>
  <si>
    <t>Inflation on a total basis</t>
  </si>
  <si>
    <t>Interest earned on Cash balances:</t>
  </si>
  <si>
    <t>Economic and Sales Scenarios</t>
  </si>
  <si>
    <t>Trend</t>
  </si>
  <si>
    <t>Years Remaining Existing Assets:</t>
  </si>
  <si>
    <t>Financial Model Worksheet</t>
  </si>
  <si>
    <t>Green Containers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</si>
</sst>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* #,##0.00_);_(* \(#,##0.00\);_(* &quot;-&quot;??_);_(@_)"/>
    <numFmt numFmtId="169" formatCode="_(* #,##0.0_);_(* \(#,##0.0\);_(* &quot;-&quot;??_);_(@_)"/>
    <numFmt numFmtId="170" formatCode="_(* #,##0_);_(* \(#,##0\);_(* &quot;-&quot;??_);_(@_)"/>
    <numFmt numFmtId="171" formatCode="0.0%"/>
    <numFmt numFmtId="172" formatCode="#,##0.0_);\(#,##0.0\)"/>
    <numFmt numFmtId="173" formatCode="&quot;$&quot;#,##0.0_);\(&quot;$&quot;#,##0.0\)"/>
    <numFmt numFmtId="174" formatCode="#,##0.000_);\(#,##0.000\)"/>
    <numFmt numFmtId="175" formatCode="0.0_);\(0.0\)"/>
    <numFmt numFmtId="176" formatCode="0.00_);\(0.00\)"/>
    <numFmt numFmtId="177" formatCode="0.000_);\(0.000\)"/>
    <numFmt numFmtId="178" formatCode="0\A"/>
    <numFmt numFmtId="179" formatCode="&quot;- EBITDA margin of &quot;0.0%"/>
    <numFmt numFmtId="180" formatCode="&quot;- Opening UCC pool of &quot;&quot;$&quot;#,###.0&quot; million as of January 1, 1999&quot;"/>
    <numFmt numFmtId="181" formatCode="0%;\(0%\)"/>
    <numFmt numFmtId="182" formatCode="0.00\ "/>
    <numFmt numFmtId="183" formatCode="_-* #,##0_-;\-* #,##0_-;_-* &quot;-&quot;??_-;_-@_-"/>
    <numFmt numFmtId="184" formatCode="0_);\(0\)"/>
    <numFmt numFmtId="185" formatCode="0.0%\ ;\(0.0%\)"/>
    <numFmt numFmtId="186" formatCode="mmmm\ d\,\ yyyy"/>
    <numFmt numFmtId="187" formatCode="\+0%;\(0%\)"/>
    <numFmt numFmtId="188" formatCode="&quot;$&quot;#,##0.0"/>
    <numFmt numFmtId="189" formatCode="0\ &quot;years&quot;"/>
    <numFmt numFmtId="190" formatCode="0.0\ \x"/>
    <numFmt numFmtId="191" formatCode="#,##0.0000_);\(#,##0.0000\)"/>
    <numFmt numFmtId="192" formatCode="&quot;$&quot;#,##0.000_);\(&quot;$&quot;#,##0.000\)"/>
    <numFmt numFmtId="193" formatCode="0\F"/>
    <numFmt numFmtId="194" formatCode="&quot;$&quot;#,##0.0000_);\(&quot;$&quot;#,##0.0000\)"/>
    <numFmt numFmtId="195" formatCode="&quot;$&quot;#,##0.000000_);\(&quot;$&quot;#,##0.000000\)"/>
    <numFmt numFmtId="196" formatCode="0.0%;\(0.0%\)"/>
    <numFmt numFmtId="197" formatCode="[&gt;-0.000001]\ 0.0_);\ \(0.0\)_)"/>
  </numFmts>
  <fonts count="78">
    <font>
      <sz val="10"/>
      <name val="Arial"/>
      <family val="2"/>
    </font>
    <font>
      <sz val="10"/>
      <name val="Book Antiqua"/>
      <family val="1"/>
    </font>
    <font>
      <sz val="10"/>
      <name val="Aldine401 BT"/>
    </font>
    <font>
      <sz val="10"/>
      <name val="Arial"/>
      <family val="2"/>
    </font>
    <font>
      <sz val="11"/>
      <color indexed="12"/>
      <name val="Book Antiqua"/>
      <family val="1"/>
    </font>
    <font>
      <sz val="8"/>
      <name val="Arial"/>
      <family val="2"/>
    </font>
    <font>
      <sz val="1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4"/>
      <name val="Arial"/>
      <family val="2"/>
    </font>
    <font>
      <b/>
      <sz val="12"/>
      <color theme="4"/>
      <name val="Arial"/>
      <family val="2"/>
    </font>
    <font>
      <sz val="14"/>
      <color theme="1"/>
      <name val="Arial"/>
      <family val="2"/>
    </font>
    <font>
      <b/>
      <sz val="18"/>
      <name val="Arial"/>
      <family val="2"/>
    </font>
    <font>
      <b/>
      <sz val="18"/>
      <color indexed="12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i/>
      <sz val="14"/>
      <color indexed="10"/>
      <name val="Arial"/>
      <family val="2"/>
    </font>
    <font>
      <b/>
      <i/>
      <sz val="9"/>
      <color indexed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color rgb="FF0000FF"/>
      <name val="Arial"/>
      <family val="2"/>
    </font>
    <font>
      <sz val="10"/>
      <color indexed="61"/>
      <name val="Arial"/>
      <family val="2"/>
    </font>
    <font>
      <i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rgb="FF0000FF"/>
      <name val="Arial"/>
      <family val="2"/>
    </font>
    <font>
      <b/>
      <sz val="9"/>
      <name val="Arial"/>
      <family val="2"/>
    </font>
    <font>
      <vertAlign val="superscript"/>
      <sz val="7"/>
      <name val="Arial"/>
      <family val="2"/>
    </font>
    <font>
      <b/>
      <sz val="10"/>
      <color indexed="10"/>
      <name val="Arial"/>
      <family val="2"/>
    </font>
    <font>
      <u/>
      <sz val="10"/>
      <color rgb="FF0000FF"/>
      <name val="Arial"/>
      <family val="2"/>
    </font>
    <font>
      <sz val="8"/>
      <color indexed="12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12"/>
      <name val="Arial"/>
      <family val="2"/>
    </font>
    <font>
      <b/>
      <sz val="20"/>
      <name val="Arial"/>
      <family val="2"/>
    </font>
    <font>
      <b/>
      <u/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vertAlign val="superscript"/>
      <sz val="10"/>
      <name val="Arial"/>
      <family val="2"/>
    </font>
    <font>
      <i/>
      <sz val="9"/>
      <name val="Arial"/>
      <family val="2"/>
    </font>
    <font>
      <sz val="10"/>
      <color rgb="FF009B73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i/>
      <sz val="10"/>
      <color rgb="FF009B73"/>
      <name val="Arial"/>
      <family val="2"/>
    </font>
    <font>
      <b/>
      <sz val="10"/>
      <color rgb="FF009B73"/>
      <name val="Arial"/>
      <family val="2"/>
    </font>
    <font>
      <sz val="9"/>
      <color rgb="FF009B73"/>
      <name val="Arial"/>
      <family val="2"/>
    </font>
    <font>
      <b/>
      <sz val="20"/>
      <color indexed="12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4586BB"/>
      <name val="Arial"/>
      <family val="2"/>
    </font>
    <font>
      <b/>
      <sz val="28"/>
      <color rgb="FF008ED6"/>
      <name val="Arial"/>
      <family val="2"/>
    </font>
    <font>
      <b/>
      <sz val="8"/>
      <color rgb="FF008ED6"/>
      <name val="Arial"/>
      <family val="2"/>
    </font>
    <font>
      <sz val="10"/>
      <color rgb="FF002F6C"/>
      <name val="Arial"/>
      <family val="2"/>
    </font>
    <font>
      <i/>
      <sz val="9"/>
      <color rgb="FF002F6C"/>
      <name val="Arial"/>
      <family val="2"/>
    </font>
    <font>
      <sz val="9"/>
      <color rgb="FF002F6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F6C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5B77CC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4586BB"/>
      </left>
      <right/>
      <top style="thin">
        <color rgb="FF4586BB"/>
      </top>
      <bottom/>
      <diagonal/>
    </border>
    <border>
      <left/>
      <right/>
      <top style="thin">
        <color rgb="FF4586BB"/>
      </top>
      <bottom/>
      <diagonal/>
    </border>
    <border>
      <left/>
      <right style="thin">
        <color rgb="FF4586BB"/>
      </right>
      <top style="thin">
        <color rgb="FF4586BB"/>
      </top>
      <bottom/>
      <diagonal/>
    </border>
    <border>
      <left style="thin">
        <color rgb="FF4586BB"/>
      </left>
      <right/>
      <top/>
      <bottom/>
      <diagonal/>
    </border>
    <border>
      <left/>
      <right style="thin">
        <color rgb="FF4586BB"/>
      </right>
      <top/>
      <bottom/>
      <diagonal/>
    </border>
    <border>
      <left style="thin">
        <color rgb="FF4586BB"/>
      </left>
      <right/>
      <top/>
      <bottom style="thin">
        <color rgb="FF4586BB"/>
      </bottom>
      <diagonal/>
    </border>
    <border>
      <left/>
      <right/>
      <top/>
      <bottom style="thin">
        <color rgb="FF4586BB"/>
      </bottom>
      <diagonal/>
    </border>
    <border>
      <left/>
      <right style="thin">
        <color rgb="FF4586BB"/>
      </right>
      <top/>
      <bottom style="thin">
        <color rgb="FF4586BB"/>
      </bottom>
      <diagonal/>
    </border>
    <border>
      <left style="thin">
        <color rgb="FF002F6C"/>
      </left>
      <right/>
      <top style="thin">
        <color rgb="FF002F6C"/>
      </top>
      <bottom/>
      <diagonal/>
    </border>
    <border>
      <left/>
      <right/>
      <top style="thin">
        <color rgb="FF002F6C"/>
      </top>
      <bottom/>
      <diagonal/>
    </border>
    <border>
      <left/>
      <right/>
      <top style="thin">
        <color rgb="FF002F6C"/>
      </top>
      <bottom style="thin">
        <color theme="0"/>
      </bottom>
      <diagonal/>
    </border>
    <border>
      <left/>
      <right style="thin">
        <color rgb="FF002F6C"/>
      </right>
      <top style="thin">
        <color rgb="FF002F6C"/>
      </top>
      <bottom/>
      <diagonal/>
    </border>
    <border>
      <left style="thin">
        <color rgb="FF002F6C"/>
      </left>
      <right/>
      <top/>
      <bottom/>
      <diagonal/>
    </border>
    <border>
      <left/>
      <right style="thin">
        <color rgb="FF002F6C"/>
      </right>
      <top/>
      <bottom/>
      <diagonal/>
    </border>
    <border>
      <left style="thin">
        <color rgb="FF002F6C"/>
      </left>
      <right/>
      <top/>
      <bottom style="thin">
        <color rgb="FF002F6C"/>
      </bottom>
      <diagonal/>
    </border>
    <border>
      <left/>
      <right/>
      <top/>
      <bottom style="thin">
        <color rgb="FF002F6C"/>
      </bottom>
      <diagonal/>
    </border>
    <border>
      <left/>
      <right style="thin">
        <color rgb="FF002F6C"/>
      </right>
      <top/>
      <bottom style="thin">
        <color rgb="FF002F6C"/>
      </bottom>
      <diagonal/>
    </border>
    <border>
      <left style="thin">
        <color rgb="FF002F6C"/>
      </left>
      <right/>
      <top/>
      <bottom style="thin">
        <color rgb="FF4586BB"/>
      </bottom>
      <diagonal/>
    </border>
    <border>
      <left/>
      <right style="thin">
        <color rgb="FF002F6C"/>
      </right>
      <top/>
      <bottom style="thin">
        <color rgb="FF4586BB"/>
      </bottom>
      <diagonal/>
    </border>
    <border>
      <left/>
      <right/>
      <top/>
      <bottom style="dotted">
        <color rgb="FF009966"/>
      </bottom>
      <diagonal/>
    </border>
    <border>
      <left/>
      <right/>
      <top style="thin">
        <color rgb="FF5B77CC"/>
      </top>
      <bottom/>
      <diagonal/>
    </border>
    <border>
      <left/>
      <right style="thin">
        <color rgb="FF4586BB"/>
      </right>
      <top style="thin">
        <color rgb="FF5B77CC"/>
      </top>
      <bottom/>
      <diagonal/>
    </border>
  </borders>
  <cellStyleXfs count="14">
    <xf numFmtId="0" fontId="0" fillId="0" borderId="0"/>
    <xf numFmtId="0" fontId="1" fillId="0" borderId="0" applyNumberFormat="0" applyFont="0" applyFill="0" applyBorder="0" applyProtection="0">
      <alignment horizontal="centerContinuous"/>
    </xf>
    <xf numFmtId="0" fontId="1" fillId="0" borderId="1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168" fontId="2" fillId="0" borderId="0" applyFont="0" applyFill="0" applyBorder="0" applyAlignment="0" applyProtection="0"/>
    <xf numFmtId="167" fontId="4" fillId="0" borderId="2">
      <protection locked="0"/>
    </xf>
    <xf numFmtId="0" fontId="1" fillId="0" borderId="3" applyNumberFormat="0" applyFont="0" applyFill="0" applyAlignment="0" applyProtection="0"/>
    <xf numFmtId="0" fontId="3" fillId="0" borderId="0"/>
    <xf numFmtId="0" fontId="3" fillId="0" borderId="0"/>
    <xf numFmtId="0" fontId="6" fillId="0" borderId="0"/>
    <xf numFmtId="0" fontId="5" fillId="0" borderId="0" applyNumberFormat="0" applyFill="0" applyBorder="0" applyAlignment="0" applyProtection="0"/>
    <xf numFmtId="183" fontId="2" fillId="0" borderId="0" applyNumberFormat="0" applyFill="0" applyBorder="0" applyAlignment="0" applyProtection="0"/>
    <xf numFmtId="0" fontId="1" fillId="0" borderId="4" applyNumberFormat="0" applyFont="0" applyFill="0" applyAlignment="0" applyProtection="0"/>
    <xf numFmtId="0" fontId="7" fillId="0" borderId="0"/>
  </cellStyleXfs>
  <cellXfs count="543">
    <xf numFmtId="0" fontId="0" fillId="0" borderId="0" xfId="0"/>
    <xf numFmtId="0" fontId="12" fillId="0" borderId="0" xfId="0" applyFont="1" applyAlignment="1">
      <alignment horizontal="centerContinuous"/>
    </xf>
    <xf numFmtId="0" fontId="1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4" fillId="0" borderId="0" xfId="0" applyFont="1" applyAlignment="1">
      <alignment horizontal="centerContinuous"/>
    </xf>
    <xf numFmtId="0" fontId="0" fillId="0" borderId="8" xfId="0" applyBorder="1"/>
    <xf numFmtId="0" fontId="0" fillId="0" borderId="5" xfId="0" applyBorder="1"/>
    <xf numFmtId="14" fontId="0" fillId="0" borderId="0" xfId="0" applyNumberFormat="1" applyAlignment="1">
      <alignment horizontal="left"/>
    </xf>
    <xf numFmtId="37" fontId="16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quotePrefix="1" applyAlignment="1">
      <alignment horizontal="left"/>
    </xf>
    <xf numFmtId="0" fontId="0" fillId="0" borderId="1" xfId="0" applyBorder="1"/>
    <xf numFmtId="0" fontId="0" fillId="0" borderId="10" xfId="0" applyBorder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Continuous" vertical="center"/>
    </xf>
    <xf numFmtId="0" fontId="18" fillId="0" borderId="0" xfId="0" applyFont="1" applyAlignment="1">
      <alignment horizontal="centerContinuous" vertical="center"/>
    </xf>
    <xf numFmtId="0" fontId="19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Continuous"/>
    </xf>
    <xf numFmtId="0" fontId="17" fillId="0" borderId="0" xfId="0" applyFont="1"/>
    <xf numFmtId="0" fontId="0" fillId="0" borderId="5" xfId="0" applyBorder="1" applyAlignment="1">
      <alignment horizontal="left"/>
    </xf>
    <xf numFmtId="0" fontId="16" fillId="0" borderId="0" xfId="0" applyFont="1"/>
    <xf numFmtId="180" fontId="0" fillId="0" borderId="0" xfId="0" quotePrefix="1" applyNumberFormat="1" applyAlignment="1">
      <alignment horizontal="left"/>
    </xf>
    <xf numFmtId="179" fontId="0" fillId="0" borderId="1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189" fontId="16" fillId="0" borderId="0" xfId="0" applyNumberFormat="1" applyFont="1" applyAlignment="1">
      <alignment horizontal="right"/>
    </xf>
    <xf numFmtId="0" fontId="0" fillId="0" borderId="0" xfId="0" quotePrefix="1"/>
    <xf numFmtId="0" fontId="20" fillId="0" borderId="0" xfId="0" applyFont="1"/>
    <xf numFmtId="0" fontId="0" fillId="0" borderId="7" xfId="0" applyBorder="1"/>
    <xf numFmtId="173" fontId="16" fillId="0" borderId="0" xfId="0" applyNumberFormat="1" applyFont="1"/>
    <xf numFmtId="179" fontId="0" fillId="0" borderId="0" xfId="0" applyNumberFormat="1" applyAlignment="1">
      <alignment horizontal="left"/>
    </xf>
    <xf numFmtId="0" fontId="21" fillId="0" borderId="0" xfId="9" applyFont="1"/>
    <xf numFmtId="0" fontId="12" fillId="0" borderId="0" xfId="9" applyFont="1" applyAlignment="1">
      <alignment horizontal="centerContinuous"/>
    </xf>
    <xf numFmtId="0" fontId="22" fillId="0" borderId="0" xfId="9" applyFont="1" applyAlignment="1">
      <alignment horizontal="centerContinuous"/>
    </xf>
    <xf numFmtId="0" fontId="3" fillId="0" borderId="0" xfId="9" applyFont="1"/>
    <xf numFmtId="0" fontId="23" fillId="0" borderId="0" xfId="9" applyFont="1" applyAlignment="1">
      <alignment horizontal="centerContinuous"/>
    </xf>
    <xf numFmtId="0" fontId="24" fillId="0" borderId="0" xfId="9" quotePrefix="1" applyFont="1" applyAlignment="1">
      <alignment horizontal="left"/>
    </xf>
    <xf numFmtId="0" fontId="24" fillId="0" borderId="0" xfId="9" quotePrefix="1" applyFont="1" applyAlignment="1">
      <alignment horizontal="center"/>
    </xf>
    <xf numFmtId="0" fontId="3" fillId="0" borderId="7" xfId="9" applyFont="1" applyBorder="1"/>
    <xf numFmtId="0" fontId="3" fillId="0" borderId="8" xfId="9" applyFont="1" applyBorder="1"/>
    <xf numFmtId="0" fontId="3" fillId="0" borderId="8" xfId="9" applyFont="1" applyBorder="1" applyAlignment="1">
      <alignment horizontal="center"/>
    </xf>
    <xf numFmtId="0" fontId="3" fillId="0" borderId="9" xfId="9" applyFont="1" applyBorder="1" applyAlignment="1">
      <alignment horizontal="center"/>
    </xf>
    <xf numFmtId="0" fontId="15" fillId="0" borderId="1" xfId="9" applyFont="1" applyBorder="1" applyAlignment="1">
      <alignment horizontal="centerContinuous"/>
    </xf>
    <xf numFmtId="0" fontId="15" fillId="0" borderId="5" xfId="9" applyFont="1" applyBorder="1" applyAlignment="1">
      <alignment vertical="center"/>
    </xf>
    <xf numFmtId="0" fontId="15" fillId="0" borderId="0" xfId="9" applyFont="1"/>
    <xf numFmtId="0" fontId="25" fillId="0" borderId="6" xfId="9" applyFont="1" applyBorder="1" applyAlignment="1">
      <alignment horizontal="center" vertical="center"/>
    </xf>
    <xf numFmtId="0" fontId="17" fillId="0" borderId="0" xfId="9" quotePrefix="1" applyFont="1" applyAlignment="1">
      <alignment horizontal="right"/>
    </xf>
    <xf numFmtId="0" fontId="15" fillId="0" borderId="10" xfId="9" applyFont="1" applyBorder="1"/>
    <xf numFmtId="0" fontId="15" fillId="0" borderId="1" xfId="9" applyFont="1" applyBorder="1"/>
    <xf numFmtId="0" fontId="15" fillId="0" borderId="1" xfId="9" applyFont="1" applyBorder="1" applyAlignment="1">
      <alignment horizontal="center"/>
    </xf>
    <xf numFmtId="0" fontId="15" fillId="0" borderId="11" xfId="9" applyFont="1" applyBorder="1" applyAlignment="1">
      <alignment horizontal="center"/>
    </xf>
    <xf numFmtId="0" fontId="17" fillId="0" borderId="0" xfId="9" applyFont="1" applyAlignment="1">
      <alignment horizontal="right"/>
    </xf>
    <xf numFmtId="0" fontId="15" fillId="0" borderId="0" xfId="9" applyFont="1" applyAlignment="1">
      <alignment horizontal="center"/>
    </xf>
    <xf numFmtId="0" fontId="26" fillId="0" borderId="0" xfId="9" quotePrefix="1" applyFont="1" applyAlignment="1">
      <alignment horizontal="left"/>
    </xf>
    <xf numFmtId="0" fontId="27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15" fillId="0" borderId="0" xfId="9" applyFont="1" applyAlignment="1">
      <alignment horizontal="left" vertical="center"/>
    </xf>
    <xf numFmtId="0" fontId="25" fillId="0" borderId="0" xfId="9" applyFont="1" applyAlignment="1">
      <alignment horizontal="center"/>
    </xf>
    <xf numFmtId="0" fontId="15" fillId="0" borderId="0" xfId="9" quotePrefix="1" applyFont="1" applyAlignment="1">
      <alignment horizontal="left"/>
    </xf>
    <xf numFmtId="171" fontId="16" fillId="0" borderId="0" xfId="0" applyNumberFormat="1" applyFont="1"/>
    <xf numFmtId="171" fontId="3" fillId="0" borderId="0" xfId="0" applyNumberFormat="1" applyFont="1"/>
    <xf numFmtId="171" fontId="28" fillId="0" borderId="16" xfId="0" applyNumberFormat="1" applyFont="1" applyBorder="1"/>
    <xf numFmtId="171" fontId="28" fillId="0" borderId="17" xfId="0" applyNumberFormat="1" applyFont="1" applyBorder="1"/>
    <xf numFmtId="171" fontId="28" fillId="0" borderId="18" xfId="0" applyNumberFormat="1" applyFont="1" applyBorder="1"/>
    <xf numFmtId="171" fontId="28" fillId="0" borderId="19" xfId="0" applyNumberFormat="1" applyFont="1" applyBorder="1"/>
    <xf numFmtId="171" fontId="28" fillId="0" borderId="0" xfId="0" applyNumberFormat="1" applyFont="1"/>
    <xf numFmtId="171" fontId="28" fillId="0" borderId="20" xfId="0" applyNumberFormat="1" applyFont="1" applyBorder="1"/>
    <xf numFmtId="171" fontId="28" fillId="0" borderId="21" xfId="0" applyNumberFormat="1" applyFont="1" applyBorder="1"/>
    <xf numFmtId="171" fontId="28" fillId="0" borderId="22" xfId="0" applyNumberFormat="1" applyFont="1" applyBorder="1"/>
    <xf numFmtId="171" fontId="28" fillId="0" borderId="23" xfId="0" applyNumberFormat="1" applyFont="1" applyBorder="1"/>
    <xf numFmtId="0" fontId="3" fillId="0" borderId="0" xfId="9" applyFont="1" applyAlignment="1">
      <alignment horizontal="left"/>
    </xf>
    <xf numFmtId="0" fontId="29" fillId="0" borderId="0" xfId="9" applyFont="1" applyAlignment="1">
      <alignment horizontal="center"/>
    </xf>
    <xf numFmtId="176" fontId="28" fillId="0" borderId="0" xfId="4" applyNumberFormat="1" applyFont="1" applyBorder="1" applyAlignment="1" applyProtection="1">
      <alignment horizontal="right"/>
    </xf>
    <xf numFmtId="176" fontId="30" fillId="0" borderId="0" xfId="4" applyNumberFormat="1" applyFont="1" applyBorder="1" applyAlignment="1" applyProtection="1">
      <alignment horizontal="right"/>
    </xf>
    <xf numFmtId="0" fontId="3" fillId="0" borderId="22" xfId="9" applyFont="1" applyBorder="1"/>
    <xf numFmtId="0" fontId="3" fillId="0" borderId="22" xfId="9" applyFont="1" applyBorder="1" applyAlignment="1">
      <alignment horizontal="center"/>
    </xf>
    <xf numFmtId="0" fontId="3" fillId="0" borderId="0" xfId="9" applyFont="1" applyAlignment="1">
      <alignment vertical="center"/>
    </xf>
    <xf numFmtId="0" fontId="25" fillId="0" borderId="0" xfId="9" applyFont="1" applyAlignment="1">
      <alignment horizontal="center" vertical="center"/>
    </xf>
    <xf numFmtId="0" fontId="15" fillId="0" borderId="0" xfId="9" applyFont="1" applyAlignment="1">
      <alignment horizontal="left"/>
    </xf>
    <xf numFmtId="182" fontId="3" fillId="0" borderId="0" xfId="9" applyNumberFormat="1" applyFont="1"/>
    <xf numFmtId="37" fontId="3" fillId="0" borderId="0" xfId="9" applyNumberFormat="1" applyFont="1"/>
    <xf numFmtId="0" fontId="3" fillId="0" borderId="0" xfId="9" quotePrefix="1" applyFont="1" applyAlignment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0" fontId="3" fillId="0" borderId="1" xfId="9" applyFont="1" applyBorder="1"/>
    <xf numFmtId="0" fontId="3" fillId="0" borderId="1" xfId="9" applyFont="1" applyBorder="1" applyAlignment="1">
      <alignment horizontal="center"/>
    </xf>
    <xf numFmtId="0" fontId="16" fillId="0" borderId="0" xfId="9" applyFont="1"/>
    <xf numFmtId="0" fontId="13" fillId="0" borderId="0" xfId="0" applyFont="1" applyAlignment="1">
      <alignment horizontal="left"/>
    </xf>
    <xf numFmtId="0" fontId="29" fillId="0" borderId="0" xfId="0" applyFont="1" applyAlignment="1">
      <alignment horizontal="centerContinuous"/>
    </xf>
    <xf numFmtId="0" fontId="1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Continuous"/>
    </xf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centerContinuous"/>
    </xf>
    <xf numFmtId="0" fontId="29" fillId="0" borderId="0" xfId="0" applyFont="1"/>
    <xf numFmtId="0" fontId="15" fillId="0" borderId="0" xfId="0" applyFont="1" applyAlignment="1">
      <alignment horizontal="centerContinuous"/>
    </xf>
    <xf numFmtId="0" fontId="35" fillId="0" borderId="1" xfId="0" applyFont="1" applyBorder="1" applyAlignment="1">
      <alignment horizontal="centerContinuous"/>
    </xf>
    <xf numFmtId="0" fontId="36" fillId="0" borderId="0" xfId="0" applyFont="1"/>
    <xf numFmtId="0" fontId="15" fillId="0" borderId="0" xfId="0" quotePrefix="1" applyFont="1" applyAlignment="1">
      <alignment horizontal="left"/>
    </xf>
    <xf numFmtId="0" fontId="5" fillId="0" borderId="0" xfId="0" applyFont="1"/>
    <xf numFmtId="171" fontId="0" fillId="0" borderId="0" xfId="0" applyNumberFormat="1"/>
    <xf numFmtId="0" fontId="5" fillId="0" borderId="0" xfId="0" quotePrefix="1" applyFont="1" applyAlignment="1">
      <alignment horizontal="left"/>
    </xf>
    <xf numFmtId="169" fontId="37" fillId="0" borderId="0" xfId="4" applyNumberFormat="1" applyFont="1" applyFill="1" applyBorder="1" applyProtection="1"/>
    <xf numFmtId="169" fontId="37" fillId="0" borderId="0" xfId="4" applyNumberFormat="1" applyFont="1" applyFill="1" applyProtection="1"/>
    <xf numFmtId="171" fontId="39" fillId="0" borderId="0" xfId="0" applyNumberFormat="1" applyFont="1"/>
    <xf numFmtId="171" fontId="24" fillId="0" borderId="0" xfId="0" applyNumberFormat="1" applyFont="1"/>
    <xf numFmtId="169" fontId="16" fillId="0" borderId="0" xfId="4" applyNumberFormat="1" applyFont="1" applyFill="1" applyBorder="1" applyProtection="1"/>
    <xf numFmtId="169" fontId="16" fillId="0" borderId="1" xfId="4" applyNumberFormat="1" applyFont="1" applyFill="1" applyBorder="1" applyProtection="1"/>
    <xf numFmtId="0" fontId="15" fillId="0" borderId="0" xfId="0" applyFont="1" applyAlignment="1">
      <alignment horizontal="left"/>
    </xf>
    <xf numFmtId="0" fontId="32" fillId="0" borderId="0" xfId="0" quotePrefix="1" applyFont="1" applyAlignment="1">
      <alignment horizontal="left"/>
    </xf>
    <xf numFmtId="169" fontId="15" fillId="0" borderId="0" xfId="4" applyNumberFormat="1" applyFont="1" applyFill="1" applyBorder="1" applyProtection="1"/>
    <xf numFmtId="169" fontId="15" fillId="0" borderId="0" xfId="4" applyNumberFormat="1" applyFont="1" applyFill="1" applyProtection="1"/>
    <xf numFmtId="0" fontId="0" fillId="0" borderId="22" xfId="0" applyBorder="1"/>
    <xf numFmtId="0" fontId="15" fillId="0" borderId="22" xfId="0" quotePrefix="1" applyFont="1" applyBorder="1" applyAlignment="1">
      <alignment horizontal="left"/>
    </xf>
    <xf numFmtId="0" fontId="32" fillId="0" borderId="22" xfId="0" quotePrefix="1" applyFont="1" applyBorder="1" applyAlignment="1">
      <alignment horizontal="left"/>
    </xf>
    <xf numFmtId="170" fontId="40" fillId="0" borderId="22" xfId="4" applyNumberFormat="1" applyFont="1" applyFill="1" applyBorder="1" applyProtection="1"/>
    <xf numFmtId="170" fontId="15" fillId="0" borderId="22" xfId="4" applyNumberFormat="1" applyFont="1" applyFill="1" applyBorder="1" applyProtection="1"/>
    <xf numFmtId="170" fontId="40" fillId="0" borderId="0" xfId="4" applyNumberFormat="1" applyFont="1" applyFill="1" applyProtection="1"/>
    <xf numFmtId="170" fontId="15" fillId="0" borderId="0" xfId="4" applyNumberFormat="1" applyFont="1" applyFill="1" applyProtection="1"/>
    <xf numFmtId="169" fontId="0" fillId="0" borderId="0" xfId="4" applyNumberFormat="1" applyFont="1" applyFill="1" applyProtection="1"/>
    <xf numFmtId="171" fontId="24" fillId="0" borderId="1" xfId="0" applyNumberFormat="1" applyFont="1" applyBorder="1"/>
    <xf numFmtId="0" fontId="15" fillId="0" borderId="0" xfId="0" applyFont="1"/>
    <xf numFmtId="0" fontId="32" fillId="0" borderId="0" xfId="0" applyFont="1"/>
    <xf numFmtId="169" fontId="41" fillId="0" borderId="0" xfId="4" applyNumberFormat="1" applyFont="1" applyFill="1" applyBorder="1" applyProtection="1"/>
    <xf numFmtId="185" fontId="0" fillId="0" borderId="0" xfId="0" applyNumberFormat="1"/>
    <xf numFmtId="0" fontId="5" fillId="0" borderId="22" xfId="0" applyFont="1" applyBorder="1"/>
    <xf numFmtId="0" fontId="16" fillId="0" borderId="0" xfId="0" applyFont="1" applyAlignment="1">
      <alignment horizontal="center"/>
    </xf>
    <xf numFmtId="175" fontId="0" fillId="0" borderId="0" xfId="4" applyNumberFormat="1" applyFont="1" applyFill="1" applyBorder="1" applyProtection="1"/>
    <xf numFmtId="175" fontId="0" fillId="0" borderId="0" xfId="4" applyNumberFormat="1" applyFont="1" applyFill="1" applyProtection="1"/>
    <xf numFmtId="173" fontId="15" fillId="0" borderId="0" xfId="4" applyNumberFormat="1" applyFont="1" applyFill="1" applyBorder="1" applyProtection="1"/>
    <xf numFmtId="173" fontId="15" fillId="0" borderId="8" xfId="4" applyNumberFormat="1" applyFont="1" applyFill="1" applyBorder="1" applyProtection="1"/>
    <xf numFmtId="0" fontId="29" fillId="0" borderId="1" xfId="0" applyFont="1" applyBorder="1"/>
    <xf numFmtId="0" fontId="32" fillId="0" borderId="0" xfId="0" applyFont="1" applyAlignment="1">
      <alignment horizontal="right" vertical="center"/>
    </xf>
    <xf numFmtId="0" fontId="17" fillId="0" borderId="0" xfId="0" quotePrefix="1" applyFont="1" applyAlignment="1">
      <alignment horizontal="right"/>
    </xf>
    <xf numFmtId="0" fontId="0" fillId="0" borderId="16" xfId="0" applyBorder="1"/>
    <xf numFmtId="0" fontId="0" fillId="0" borderId="17" xfId="0" applyBorder="1"/>
    <xf numFmtId="0" fontId="5" fillId="0" borderId="17" xfId="0" applyFont="1" applyBorder="1"/>
    <xf numFmtId="0" fontId="17" fillId="0" borderId="17" xfId="0" applyFont="1" applyBorder="1"/>
    <xf numFmtId="172" fontId="0" fillId="0" borderId="17" xfId="0" applyNumberFormat="1" applyBorder="1"/>
    <xf numFmtId="172" fontId="0" fillId="0" borderId="18" xfId="0" applyNumberFormat="1" applyBorder="1"/>
    <xf numFmtId="0" fontId="0" fillId="0" borderId="21" xfId="0" applyBorder="1"/>
    <xf numFmtId="0" fontId="17" fillId="0" borderId="22" xfId="0" applyFont="1" applyBorder="1"/>
    <xf numFmtId="171" fontId="0" fillId="0" borderId="22" xfId="0" applyNumberFormat="1" applyBorder="1" applyAlignment="1">
      <alignment horizontal="right"/>
    </xf>
    <xf numFmtId="185" fontId="0" fillId="0" borderId="22" xfId="0" applyNumberFormat="1" applyBorder="1" applyAlignment="1">
      <alignment horizontal="right"/>
    </xf>
    <xf numFmtId="185" fontId="0" fillId="0" borderId="23" xfId="0" applyNumberFormat="1" applyBorder="1" applyAlignment="1">
      <alignment horizontal="right"/>
    </xf>
    <xf numFmtId="0" fontId="35" fillId="0" borderId="0" xfId="0" applyFont="1"/>
    <xf numFmtId="0" fontId="35" fillId="0" borderId="0" xfId="0" applyFont="1" applyAlignment="1">
      <alignment horizontal="left"/>
    </xf>
    <xf numFmtId="172" fontId="16" fillId="0" borderId="0" xfId="4" applyNumberFormat="1" applyFont="1" applyBorder="1" applyProtection="1"/>
    <xf numFmtId="172" fontId="0" fillId="0" borderId="0" xfId="4" applyNumberFormat="1" applyFont="1" applyBorder="1" applyProtection="1"/>
    <xf numFmtId="0" fontId="42" fillId="0" borderId="0" xfId="0" applyFont="1"/>
    <xf numFmtId="172" fontId="15" fillId="0" borderId="0" xfId="4" applyNumberFormat="1" applyFont="1" applyBorder="1" applyProtection="1"/>
    <xf numFmtId="37" fontId="0" fillId="0" borderId="0" xfId="4" applyNumberFormat="1" applyFont="1" applyBorder="1" applyProtection="1"/>
    <xf numFmtId="39" fontId="16" fillId="0" borderId="0" xfId="4" applyNumberFormat="1" applyFont="1" applyBorder="1" applyProtection="1"/>
    <xf numFmtId="39" fontId="0" fillId="0" borderId="0" xfId="4" applyNumberFormat="1" applyFont="1" applyBorder="1" applyProtection="1"/>
    <xf numFmtId="37" fontId="0" fillId="0" borderId="0" xfId="0" applyNumberFormat="1"/>
    <xf numFmtId="37" fontId="15" fillId="0" borderId="0" xfId="4" applyNumberFormat="1" applyFont="1" applyBorder="1" applyProtection="1"/>
    <xf numFmtId="173" fontId="15" fillId="0" borderId="0" xfId="4" applyNumberFormat="1" applyFont="1" applyBorder="1" applyProtection="1"/>
    <xf numFmtId="173" fontId="15" fillId="0" borderId="26" xfId="4" applyNumberFormat="1" applyFont="1" applyBorder="1" applyProtection="1"/>
    <xf numFmtId="0" fontId="15" fillId="0" borderId="22" xfId="0" applyFont="1" applyBorder="1"/>
    <xf numFmtId="0" fontId="42" fillId="0" borderId="22" xfId="0" applyFont="1" applyBorder="1"/>
    <xf numFmtId="37" fontId="15" fillId="0" borderId="22" xfId="4" applyNumberFormat="1" applyFont="1" applyBorder="1" applyProtection="1"/>
    <xf numFmtId="0" fontId="15" fillId="0" borderId="1" xfId="0" quotePrefix="1" applyFont="1" applyBorder="1" applyAlignment="1">
      <alignment horizontal="left"/>
    </xf>
    <xf numFmtId="0" fontId="15" fillId="0" borderId="1" xfId="0" applyFont="1" applyBorder="1"/>
    <xf numFmtId="0" fontId="42" fillId="0" borderId="1" xfId="0" applyFont="1" applyBorder="1"/>
    <xf numFmtId="37" fontId="15" fillId="0" borderId="1" xfId="4" applyNumberFormat="1" applyFont="1" applyBorder="1" applyProtection="1"/>
    <xf numFmtId="170" fontId="0" fillId="0" borderId="0" xfId="4" applyNumberFormat="1" applyFont="1" applyBorder="1" applyProtection="1"/>
    <xf numFmtId="0" fontId="24" fillId="0" borderId="0" xfId="0" quotePrefix="1" applyFont="1"/>
    <xf numFmtId="164" fontId="16" fillId="0" borderId="0" xfId="0" applyNumberFormat="1" applyFont="1"/>
    <xf numFmtId="0" fontId="0" fillId="0" borderId="24" xfId="0" applyBorder="1"/>
    <xf numFmtId="0" fontId="0" fillId="0" borderId="25" xfId="0" applyBorder="1"/>
    <xf numFmtId="0" fontId="17" fillId="0" borderId="25" xfId="0" applyFont="1" applyBorder="1"/>
    <xf numFmtId="172" fontId="0" fillId="0" borderId="25" xfId="4" applyNumberFormat="1" applyFont="1" applyBorder="1" applyAlignment="1" applyProtection="1">
      <alignment horizontal="right"/>
    </xf>
    <xf numFmtId="172" fontId="16" fillId="0" borderId="1" xfId="4" applyNumberFormat="1" applyFont="1" applyBorder="1" applyProtection="1"/>
    <xf numFmtId="172" fontId="15" fillId="0" borderId="0" xfId="4" applyNumberFormat="1" applyFont="1" applyBorder="1" applyAlignment="1" applyProtection="1">
      <alignment horizontal="right"/>
    </xf>
    <xf numFmtId="37" fontId="17" fillId="0" borderId="0" xfId="0" applyNumberFormat="1" applyFont="1"/>
    <xf numFmtId="37" fontId="16" fillId="0" borderId="0" xfId="0" applyNumberFormat="1" applyFont="1"/>
    <xf numFmtId="172" fontId="16" fillId="0" borderId="0" xfId="4" applyNumberFormat="1" applyFont="1" applyFill="1" applyBorder="1" applyAlignment="1" applyProtection="1">
      <alignment horizontal="right"/>
      <protection locked="0"/>
    </xf>
    <xf numFmtId="172" fontId="16" fillId="0" borderId="1" xfId="4" applyNumberFormat="1" applyFont="1" applyBorder="1" applyAlignment="1" applyProtection="1">
      <alignment horizontal="right"/>
    </xf>
    <xf numFmtId="37" fontId="15" fillId="0" borderId="0" xfId="4" applyNumberFormat="1" applyFont="1" applyBorder="1" applyAlignment="1" applyProtection="1">
      <alignment horizontal="right"/>
    </xf>
    <xf numFmtId="172" fontId="16" fillId="0" borderId="1" xfId="4" applyNumberFormat="1" applyFont="1" applyFill="1" applyBorder="1" applyAlignment="1" applyProtection="1">
      <alignment horizontal="right"/>
    </xf>
    <xf numFmtId="172" fontId="15" fillId="0" borderId="0" xfId="4" applyNumberFormat="1" applyFont="1" applyFill="1" applyBorder="1" applyProtection="1"/>
    <xf numFmtId="190" fontId="0" fillId="0" borderId="0" xfId="4" applyNumberFormat="1" applyFont="1" applyBorder="1" applyProtection="1"/>
    <xf numFmtId="172" fontId="16" fillId="0" borderId="1" xfId="4" applyNumberFormat="1" applyFont="1" applyFill="1" applyBorder="1" applyProtection="1">
      <protection locked="0"/>
    </xf>
    <xf numFmtId="172" fontId="16" fillId="0" borderId="1" xfId="4" applyNumberFormat="1" applyFont="1" applyFill="1" applyBorder="1" applyProtection="1"/>
    <xf numFmtId="39" fontId="15" fillId="0" borderId="0" xfId="4" applyNumberFormat="1" applyFont="1" applyBorder="1" applyProtection="1"/>
    <xf numFmtId="172" fontId="0" fillId="0" borderId="0" xfId="0" applyNumberFormat="1"/>
    <xf numFmtId="165" fontId="15" fillId="0" borderId="0" xfId="0" quotePrefix="1" applyNumberFormat="1" applyFont="1" applyAlignment="1">
      <alignment horizontal="left"/>
    </xf>
    <xf numFmtId="173" fontId="15" fillId="0" borderId="26" xfId="0" applyNumberFormat="1" applyFont="1" applyBorder="1"/>
    <xf numFmtId="165" fontId="15" fillId="0" borderId="0" xfId="0" applyNumberFormat="1" applyFont="1" applyAlignment="1">
      <alignment horizontal="left"/>
    </xf>
    <xf numFmtId="173" fontId="15" fillId="0" borderId="0" xfId="0" applyNumberFormat="1" applyFont="1"/>
    <xf numFmtId="168" fontId="0" fillId="0" borderId="0" xfId="4" applyFont="1" applyBorder="1" applyProtection="1"/>
    <xf numFmtId="0" fontId="15" fillId="0" borderId="7" xfId="0" applyFont="1" applyBorder="1"/>
    <xf numFmtId="0" fontId="29" fillId="0" borderId="8" xfId="0" applyFont="1" applyBorder="1"/>
    <xf numFmtId="170" fontId="0" fillId="0" borderId="8" xfId="4" applyNumberFormat="1" applyFont="1" applyBorder="1" applyProtection="1"/>
    <xf numFmtId="170" fontId="0" fillId="0" borderId="9" xfId="4" applyNumberFormat="1" applyFont="1" applyBorder="1" applyProtection="1"/>
    <xf numFmtId="196" fontId="24" fillId="0" borderId="0" xfId="0" applyNumberFormat="1" applyFont="1"/>
    <xf numFmtId="9" fontId="15" fillId="0" borderId="0" xfId="0" applyNumberFormat="1" applyFont="1"/>
    <xf numFmtId="0" fontId="29" fillId="0" borderId="0" xfId="0" quotePrefix="1" applyFont="1"/>
    <xf numFmtId="0" fontId="29" fillId="0" borderId="1" xfId="0" quotePrefix="1" applyFont="1" applyBorder="1"/>
    <xf numFmtId="181" fontId="24" fillId="0" borderId="1" xfId="0" applyNumberFormat="1" applyFont="1" applyBorder="1"/>
    <xf numFmtId="0" fontId="43" fillId="0" borderId="8" xfId="0" quotePrefix="1" applyFont="1" applyBorder="1"/>
    <xf numFmtId="168" fontId="24" fillId="0" borderId="0" xfId="4" applyFont="1" applyBorder="1" applyProtection="1"/>
    <xf numFmtId="0" fontId="24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178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37" fontId="0" fillId="0" borderId="0" xfId="4" applyNumberFormat="1" applyFont="1" applyProtection="1"/>
    <xf numFmtId="172" fontId="37" fillId="0" borderId="0" xfId="4" applyNumberFormat="1" applyFont="1" applyFill="1" applyProtection="1">
      <protection locked="0"/>
    </xf>
    <xf numFmtId="172" fontId="0" fillId="0" borderId="0" xfId="4" applyNumberFormat="1" applyFont="1" applyProtection="1"/>
    <xf numFmtId="37" fontId="0" fillId="0" borderId="0" xfId="4" applyNumberFormat="1" applyFont="1" applyFill="1" applyProtection="1"/>
    <xf numFmtId="172" fontId="0" fillId="0" borderId="0" xfId="4" applyNumberFormat="1" applyFont="1" applyFill="1" applyProtection="1"/>
    <xf numFmtId="37" fontId="16" fillId="0" borderId="0" xfId="4" applyNumberFormat="1" applyFont="1" applyBorder="1" applyProtection="1"/>
    <xf numFmtId="172" fontId="37" fillId="0" borderId="1" xfId="4" applyNumberFormat="1" applyFont="1" applyFill="1" applyBorder="1" applyAlignment="1" applyProtection="1">
      <alignment horizontal="right"/>
      <protection locked="0"/>
    </xf>
    <xf numFmtId="172" fontId="16" fillId="0" borderId="1" xfId="4" applyNumberFormat="1" applyFont="1" applyFill="1" applyBorder="1" applyAlignment="1" applyProtection="1">
      <alignment horizontal="right"/>
      <protection locked="0"/>
    </xf>
    <xf numFmtId="172" fontId="15" fillId="0" borderId="0" xfId="4" applyNumberFormat="1" applyFont="1" applyProtection="1"/>
    <xf numFmtId="170" fontId="0" fillId="0" borderId="0" xfId="4" applyNumberFormat="1" applyFont="1" applyProtection="1"/>
    <xf numFmtId="170" fontId="0" fillId="0" borderId="0" xfId="4" applyNumberFormat="1" applyFont="1" applyFill="1" applyBorder="1" applyProtection="1"/>
    <xf numFmtId="37" fontId="16" fillId="0" borderId="0" xfId="4" applyNumberFormat="1" applyFont="1" applyFill="1" applyProtection="1"/>
    <xf numFmtId="172" fontId="16" fillId="0" borderId="0" xfId="4" applyNumberFormat="1" applyFont="1" applyFill="1" applyProtection="1">
      <protection locked="0"/>
    </xf>
    <xf numFmtId="172" fontId="15" fillId="0" borderId="8" xfId="4" applyNumberFormat="1" applyFont="1" applyBorder="1" applyProtection="1"/>
    <xf numFmtId="164" fontId="15" fillId="0" borderId="0" xfId="4" applyNumberFormat="1" applyFont="1" applyProtection="1"/>
    <xf numFmtId="192" fontId="15" fillId="0" borderId="0" xfId="4" applyNumberFormat="1" applyFont="1" applyProtection="1"/>
    <xf numFmtId="164" fontId="44" fillId="0" borderId="0" xfId="4" applyNumberFormat="1" applyFont="1" applyProtection="1"/>
    <xf numFmtId="37" fontId="15" fillId="0" borderId="0" xfId="4" applyNumberFormat="1" applyFont="1" applyProtection="1"/>
    <xf numFmtId="174" fontId="15" fillId="0" borderId="0" xfId="4" applyNumberFormat="1" applyFont="1" applyProtection="1"/>
    <xf numFmtId="0" fontId="15" fillId="0" borderId="8" xfId="0" quotePrefix="1" applyFont="1" applyBorder="1" applyAlignment="1">
      <alignment horizontal="left"/>
    </xf>
    <xf numFmtId="37" fontId="15" fillId="0" borderId="8" xfId="4" applyNumberFormat="1" applyFont="1" applyBorder="1" applyProtection="1"/>
    <xf numFmtId="172" fontId="0" fillId="0" borderId="8" xfId="4" applyNumberFormat="1" applyFont="1" applyBorder="1" applyProtection="1"/>
    <xf numFmtId="172" fontId="45" fillId="0" borderId="0" xfId="4" applyNumberFormat="1" applyFont="1" applyBorder="1" applyProtection="1"/>
    <xf numFmtId="172" fontId="18" fillId="0" borderId="0" xfId="4" applyNumberFormat="1" applyFont="1" applyBorder="1" applyProtection="1"/>
    <xf numFmtId="0" fontId="0" fillId="0" borderId="10" xfId="0" applyBorder="1" applyAlignment="1">
      <alignment horizontal="left"/>
    </xf>
    <xf numFmtId="197" fontId="0" fillId="0" borderId="1" xfId="4" applyNumberFormat="1" applyFont="1" applyBorder="1" applyProtection="1"/>
    <xf numFmtId="0" fontId="35" fillId="0" borderId="0" xfId="0" applyFont="1" applyAlignment="1">
      <alignment horizontal="centerContinuous"/>
    </xf>
    <xf numFmtId="0" fontId="24" fillId="0" borderId="0" xfId="0" applyFont="1" applyAlignment="1">
      <alignment horizontal="left"/>
    </xf>
    <xf numFmtId="37" fontId="16" fillId="0" borderId="0" xfId="4" applyNumberFormat="1" applyFont="1" applyFill="1" applyBorder="1" applyProtection="1"/>
    <xf numFmtId="174" fontId="0" fillId="0" borderId="0" xfId="4" applyNumberFormat="1" applyFont="1" applyProtection="1"/>
    <xf numFmtId="172" fontId="0" fillId="0" borderId="0" xfId="4" applyNumberFormat="1" applyFont="1" applyFill="1" applyProtection="1">
      <protection locked="0"/>
    </xf>
    <xf numFmtId="172" fontId="37" fillId="0" borderId="0" xfId="4" applyNumberFormat="1" applyFont="1" applyFill="1" applyBorder="1" applyProtection="1">
      <protection locked="0"/>
    </xf>
    <xf numFmtId="172" fontId="16" fillId="0" borderId="0" xfId="4" applyNumberFormat="1" applyFont="1" applyFill="1" applyBorder="1" applyProtection="1">
      <protection locked="0"/>
    </xf>
    <xf numFmtId="174" fontId="46" fillId="0" borderId="0" xfId="4" applyNumberFormat="1" applyFont="1" applyBorder="1" applyProtection="1"/>
    <xf numFmtId="37" fontId="0" fillId="0" borderId="0" xfId="4" applyNumberFormat="1" applyFont="1" applyFill="1" applyBorder="1" applyProtection="1"/>
    <xf numFmtId="169" fontId="0" fillId="0" borderId="0" xfId="4" applyNumberFormat="1" applyFont="1" applyBorder="1" applyProtection="1"/>
    <xf numFmtId="169" fontId="0" fillId="0" borderId="0" xfId="4" applyNumberFormat="1" applyFont="1" applyProtection="1"/>
    <xf numFmtId="0" fontId="24" fillId="0" borderId="0" xfId="0" applyFont="1"/>
    <xf numFmtId="177" fontId="24" fillId="0" borderId="0" xfId="4" applyNumberFormat="1" applyFont="1" applyBorder="1" applyProtection="1"/>
    <xf numFmtId="177" fontId="24" fillId="0" borderId="0" xfId="4" applyNumberFormat="1" applyFont="1" applyProtection="1"/>
    <xf numFmtId="0" fontId="24" fillId="0" borderId="1" xfId="0" quotePrefix="1" applyFont="1" applyBorder="1" applyAlignment="1">
      <alignment horizontal="left"/>
    </xf>
    <xf numFmtId="177" fontId="0" fillId="0" borderId="1" xfId="0" applyNumberFormat="1" applyBorder="1"/>
    <xf numFmtId="0" fontId="47" fillId="0" borderId="0" xfId="0" applyFont="1" applyAlignment="1">
      <alignment horizontal="centerContinuous"/>
    </xf>
    <xf numFmtId="0" fontId="48" fillId="0" borderId="0" xfId="0" applyFont="1" applyAlignment="1">
      <alignment horizontal="centerContinuous"/>
    </xf>
    <xf numFmtId="0" fontId="49" fillId="0" borderId="0" xfId="0" applyFont="1" applyAlignment="1">
      <alignment horizontal="centerContinuous"/>
    </xf>
    <xf numFmtId="0" fontId="50" fillId="0" borderId="0" xfId="0" applyFont="1" applyAlignment="1">
      <alignment horizontal="centerContinuous"/>
    </xf>
    <xf numFmtId="0" fontId="42" fillId="0" borderId="0" xfId="0" applyFont="1" applyAlignment="1">
      <alignment horizontal="centerContinuous"/>
    </xf>
    <xf numFmtId="0" fontId="15" fillId="0" borderId="1" xfId="0" applyFont="1" applyBorder="1" applyAlignment="1">
      <alignment horizontal="centerContinuous"/>
    </xf>
    <xf numFmtId="0" fontId="51" fillId="0" borderId="0" xfId="0" applyFont="1" applyAlignment="1">
      <alignment horizontal="right"/>
    </xf>
    <xf numFmtId="0" fontId="52" fillId="0" borderId="0" xfId="0" applyFont="1"/>
    <xf numFmtId="0" fontId="52" fillId="0" borderId="7" xfId="0" applyFont="1" applyBorder="1" applyAlignment="1">
      <alignment horizontal="left" vertical="center"/>
    </xf>
    <xf numFmtId="191" fontId="53" fillId="0" borderId="0" xfId="0" applyNumberFormat="1" applyFont="1"/>
    <xf numFmtId="37" fontId="52" fillId="0" borderId="0" xfId="0" applyNumberFormat="1" applyFont="1"/>
    <xf numFmtId="0" fontId="54" fillId="0" borderId="0" xfId="0" applyFont="1"/>
    <xf numFmtId="0" fontId="52" fillId="0" borderId="10" xfId="0" applyFont="1" applyBorder="1" applyAlignment="1">
      <alignment horizontal="left" vertical="center"/>
    </xf>
    <xf numFmtId="0" fontId="52" fillId="0" borderId="1" xfId="0" quotePrefix="1" applyFont="1" applyBorder="1" applyAlignment="1">
      <alignment horizontal="left" vertical="center"/>
    </xf>
    <xf numFmtId="0" fontId="52" fillId="0" borderId="1" xfId="0" applyFont="1" applyBorder="1" applyAlignment="1">
      <alignment vertical="center"/>
    </xf>
    <xf numFmtId="195" fontId="0" fillId="0" borderId="0" xfId="0" applyNumberFormat="1"/>
    <xf numFmtId="173" fontId="0" fillId="0" borderId="0" xfId="0" applyNumberFormat="1"/>
    <xf numFmtId="0" fontId="55" fillId="0" borderId="0" xfId="0" applyFont="1" applyAlignment="1">
      <alignment horizontal="right"/>
    </xf>
    <xf numFmtId="184" fontId="0" fillId="0" borderId="0" xfId="0" applyNumberFormat="1"/>
    <xf numFmtId="173" fontId="0" fillId="0" borderId="5" xfId="0" applyNumberFormat="1" applyBorder="1"/>
    <xf numFmtId="172" fontId="52" fillId="0" borderId="0" xfId="0" applyNumberFormat="1" applyFont="1"/>
    <xf numFmtId="0" fontId="31" fillId="0" borderId="0" xfId="0" applyFont="1" applyAlignment="1">
      <alignment vertical="center"/>
    </xf>
    <xf numFmtId="173" fontId="15" fillId="0" borderId="26" xfId="0" applyNumberFormat="1" applyFont="1" applyBorder="1" applyAlignment="1">
      <alignment vertical="center"/>
    </xf>
    <xf numFmtId="37" fontId="0" fillId="0" borderId="1" xfId="4" applyNumberFormat="1" applyFont="1" applyBorder="1" applyProtection="1"/>
    <xf numFmtId="0" fontId="55" fillId="0" borderId="0" xfId="0" applyFont="1"/>
    <xf numFmtId="0" fontId="15" fillId="0" borderId="13" xfId="0" applyFont="1" applyBorder="1"/>
    <xf numFmtId="0" fontId="0" fillId="0" borderId="14" xfId="0" applyBorder="1"/>
    <xf numFmtId="0" fontId="15" fillId="0" borderId="10" xfId="0" applyFont="1" applyBorder="1"/>
    <xf numFmtId="0" fontId="58" fillId="0" borderId="0" xfId="0" applyFont="1"/>
    <xf numFmtId="37" fontId="28" fillId="0" borderId="1" xfId="0" applyNumberFormat="1" applyFont="1" applyBorder="1"/>
    <xf numFmtId="37" fontId="16" fillId="0" borderId="1" xfId="0" applyNumberFormat="1" applyFont="1" applyBorder="1"/>
    <xf numFmtId="0" fontId="5" fillId="0" borderId="25" xfId="0" applyFont="1" applyBorder="1"/>
    <xf numFmtId="4" fontId="15" fillId="0" borderId="0" xfId="0" applyNumberFormat="1" applyFont="1"/>
    <xf numFmtId="4" fontId="0" fillId="0" borderId="0" xfId="4" applyNumberFormat="1" applyFont="1" applyFill="1" applyBorder="1" applyProtection="1"/>
    <xf numFmtId="4" fontId="0" fillId="0" borderId="0" xfId="0" applyNumberFormat="1"/>
    <xf numFmtId="168" fontId="52" fillId="0" borderId="0" xfId="4" applyFont="1" applyProtection="1"/>
    <xf numFmtId="184" fontId="16" fillId="0" borderId="0" xfId="4" applyNumberFormat="1" applyFont="1" applyProtection="1"/>
    <xf numFmtId="4" fontId="0" fillId="0" borderId="0" xfId="4" applyNumberFormat="1" applyFont="1" applyFill="1" applyBorder="1" applyAlignment="1" applyProtection="1">
      <alignment horizontal="left"/>
    </xf>
    <xf numFmtId="168" fontId="52" fillId="0" borderId="0" xfId="4" applyFont="1" applyFill="1" applyProtection="1"/>
    <xf numFmtId="184" fontId="16" fillId="0" borderId="0" xfId="4" applyNumberFormat="1" applyFont="1" applyFill="1" applyProtection="1"/>
    <xf numFmtId="4" fontId="15" fillId="0" borderId="0" xfId="4" applyNumberFormat="1" applyFont="1" applyFill="1" applyBorder="1" applyProtection="1"/>
    <xf numFmtId="169" fontId="0" fillId="0" borderId="1" xfId="4" applyNumberFormat="1" applyFont="1" applyBorder="1" applyProtection="1"/>
    <xf numFmtId="178" fontId="17" fillId="0" borderId="0" xfId="0" quotePrefix="1" applyNumberFormat="1" applyFont="1" applyAlignment="1">
      <alignment horizontal="right"/>
    </xf>
    <xf numFmtId="194" fontId="0" fillId="0" borderId="0" xfId="0" applyNumberFormat="1"/>
    <xf numFmtId="164" fontId="0" fillId="0" borderId="0" xfId="0" applyNumberFormat="1"/>
    <xf numFmtId="164" fontId="15" fillId="0" borderId="0" xfId="0" applyNumberFormat="1" applyFont="1"/>
    <xf numFmtId="181" fontId="64" fillId="0" borderId="0" xfId="9" applyNumberFormat="1" applyFont="1"/>
    <xf numFmtId="0" fontId="12" fillId="0" borderId="0" xfId="7" applyFont="1" applyAlignment="1">
      <alignment horizontal="centerContinuous"/>
    </xf>
    <xf numFmtId="0" fontId="65" fillId="0" borderId="0" xfId="7" applyFont="1" applyAlignment="1">
      <alignment horizontal="centerContinuous"/>
    </xf>
    <xf numFmtId="0" fontId="50" fillId="0" borderId="0" xfId="7" applyFont="1" applyAlignment="1">
      <alignment horizontal="centerContinuous"/>
    </xf>
    <xf numFmtId="0" fontId="3" fillId="0" borderId="0" xfId="7"/>
    <xf numFmtId="0" fontId="23" fillId="0" borderId="0" xfId="7" applyFont="1" applyAlignment="1">
      <alignment horizontal="centerContinuous"/>
    </xf>
    <xf numFmtId="0" fontId="66" fillId="0" borderId="0" xfId="7" applyFont="1" applyAlignment="1">
      <alignment horizontal="centerContinuous"/>
    </xf>
    <xf numFmtId="0" fontId="15" fillId="0" borderId="0" xfId="7" applyFont="1" applyAlignment="1">
      <alignment horizontal="centerContinuous"/>
    </xf>
    <xf numFmtId="0" fontId="67" fillId="0" borderId="0" xfId="7" applyFont="1" applyAlignment="1">
      <alignment horizontal="centerContinuous"/>
    </xf>
    <xf numFmtId="0" fontId="3" fillId="0" borderId="5" xfId="7" applyBorder="1"/>
    <xf numFmtId="0" fontId="3" fillId="0" borderId="1" xfId="7" applyBorder="1"/>
    <xf numFmtId="0" fontId="3" fillId="0" borderId="6" xfId="7" applyBorder="1"/>
    <xf numFmtId="178" fontId="17" fillId="0" borderId="0" xfId="0" applyNumberFormat="1" applyFont="1"/>
    <xf numFmtId="193" fontId="17" fillId="0" borderId="0" xfId="0" quotePrefix="1" applyNumberFormat="1" applyFont="1" applyAlignment="1">
      <alignment horizontal="right"/>
    </xf>
    <xf numFmtId="0" fontId="15" fillId="0" borderId="0" xfId="7" applyFont="1"/>
    <xf numFmtId="0" fontId="5" fillId="0" borderId="0" xfId="7" applyFont="1"/>
    <xf numFmtId="164" fontId="3" fillId="0" borderId="0" xfId="4" applyNumberFormat="1" applyFont="1" applyBorder="1"/>
    <xf numFmtId="0" fontId="58" fillId="0" borderId="0" xfId="7" applyFont="1"/>
    <xf numFmtId="0" fontId="29" fillId="0" borderId="0" xfId="7" applyFont="1"/>
    <xf numFmtId="0" fontId="3" fillId="0" borderId="10" xfId="7" applyBorder="1"/>
    <xf numFmtId="0" fontId="3" fillId="0" borderId="11" xfId="7" applyBorder="1"/>
    <xf numFmtId="0" fontId="24" fillId="0" borderId="0" xfId="7" applyFont="1"/>
    <xf numFmtId="0" fontId="3" fillId="0" borderId="0" xfId="7" applyAlignment="1">
      <alignment horizontal="right"/>
    </xf>
    <xf numFmtId="0" fontId="3" fillId="0" borderId="0" xfId="7" applyAlignment="1">
      <alignment vertical="center"/>
    </xf>
    <xf numFmtId="0" fontId="3" fillId="0" borderId="7" xfId="7" applyBorder="1" applyAlignment="1">
      <alignment vertical="center"/>
    </xf>
    <xf numFmtId="0" fontId="3" fillId="0" borderId="8" xfId="7" applyBorder="1" applyAlignment="1">
      <alignment vertical="center"/>
    </xf>
    <xf numFmtId="0" fontId="35" fillId="0" borderId="14" xfId="7" applyFont="1" applyBorder="1" applyAlignment="1">
      <alignment horizontal="centerContinuous" vertical="center"/>
    </xf>
    <xf numFmtId="0" fontId="24" fillId="0" borderId="14" xfId="7" applyFont="1" applyBorder="1" applyAlignment="1">
      <alignment horizontal="centerContinuous" vertical="center"/>
    </xf>
    <xf numFmtId="0" fontId="3" fillId="0" borderId="9" xfId="7" applyBorder="1" applyAlignment="1">
      <alignment vertical="center"/>
    </xf>
    <xf numFmtId="0" fontId="3" fillId="0" borderId="5" xfId="7" applyBorder="1" applyAlignment="1">
      <alignment vertical="center"/>
    </xf>
    <xf numFmtId="0" fontId="3" fillId="0" borderId="1" xfId="7" applyBorder="1" applyAlignment="1">
      <alignment vertical="center"/>
    </xf>
    <xf numFmtId="178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3" fillId="0" borderId="6" xfId="7" applyBorder="1" applyAlignment="1">
      <alignment vertical="center"/>
    </xf>
    <xf numFmtId="39" fontId="16" fillId="0" borderId="0" xfId="0" applyNumberFormat="1" applyFont="1" applyAlignment="1">
      <alignment horizontal="right"/>
    </xf>
    <xf numFmtId="0" fontId="0" fillId="0" borderId="34" xfId="0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left"/>
    </xf>
    <xf numFmtId="0" fontId="0" fillId="0" borderId="37" xfId="0" applyBorder="1"/>
    <xf numFmtId="0" fontId="0" fillId="0" borderId="38" xfId="0" applyBorder="1"/>
    <xf numFmtId="0" fontId="0" fillId="0" borderId="34" xfId="0" applyBorder="1"/>
    <xf numFmtId="0" fontId="0" fillId="0" borderId="36" xfId="0" applyBorder="1"/>
    <xf numFmtId="37" fontId="16" fillId="0" borderId="37" xfId="0" applyNumberFormat="1" applyFont="1" applyBorder="1" applyAlignment="1">
      <alignment horizontal="right"/>
    </xf>
    <xf numFmtId="0" fontId="0" fillId="0" borderId="34" xfId="0" quotePrefix="1" applyBorder="1" applyAlignment="1">
      <alignment horizontal="left"/>
    </xf>
    <xf numFmtId="0" fontId="17" fillId="0" borderId="34" xfId="0" applyFont="1" applyBorder="1" applyAlignment="1">
      <alignment vertical="center"/>
    </xf>
    <xf numFmtId="0" fontId="18" fillId="0" borderId="35" xfId="0" applyFont="1" applyBorder="1" applyAlignment="1">
      <alignment horizontal="centerContinuous" vertical="center"/>
    </xf>
    <xf numFmtId="0" fontId="16" fillId="0" borderId="34" xfId="0" applyFont="1" applyBorder="1"/>
    <xf numFmtId="0" fontId="0" fillId="0" borderId="35" xfId="0" applyBorder="1" applyAlignment="1">
      <alignment horizontal="centerContinuous"/>
    </xf>
    <xf numFmtId="0" fontId="16" fillId="0" borderId="36" xfId="0" applyFont="1" applyBorder="1" applyAlignment="1">
      <alignment horizontal="left"/>
    </xf>
    <xf numFmtId="0" fontId="0" fillId="0" borderId="37" xfId="0" applyBorder="1" applyAlignment="1">
      <alignment horizontal="centerContinuous"/>
    </xf>
    <xf numFmtId="0" fontId="0" fillId="0" borderId="38" xfId="0" applyBorder="1" applyAlignment="1">
      <alignment horizontal="centerContinuous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17" fillId="0" borderId="34" xfId="0" applyFont="1" applyBorder="1"/>
    <xf numFmtId="0" fontId="0" fillId="0" borderId="34" xfId="0" applyBorder="1" applyAlignment="1">
      <alignment horizontal="left"/>
    </xf>
    <xf numFmtId="180" fontId="0" fillId="0" borderId="34" xfId="0" applyNumberFormat="1" applyBorder="1" applyAlignment="1">
      <alignment horizontal="left"/>
    </xf>
    <xf numFmtId="0" fontId="0" fillId="0" borderId="36" xfId="0" quotePrefix="1" applyBorder="1" applyAlignment="1">
      <alignment horizontal="left"/>
    </xf>
    <xf numFmtId="173" fontId="16" fillId="0" borderId="38" xfId="0" applyNumberFormat="1" applyFont="1" applyBorder="1" applyAlignment="1">
      <alignment horizontal="right"/>
    </xf>
    <xf numFmtId="0" fontId="16" fillId="0" borderId="35" xfId="0" applyFont="1" applyBorder="1" applyAlignment="1">
      <alignment horizontal="right"/>
    </xf>
    <xf numFmtId="180" fontId="0" fillId="0" borderId="37" xfId="0" quotePrefix="1" applyNumberFormat="1" applyBorder="1" applyAlignment="1">
      <alignment horizontal="left"/>
    </xf>
    <xf numFmtId="0" fontId="20" fillId="0" borderId="0" xfId="0" applyFont="1" applyAlignment="1">
      <alignment vertical="center"/>
    </xf>
    <xf numFmtId="0" fontId="15" fillId="0" borderId="34" xfId="0" applyFont="1" applyBorder="1"/>
    <xf numFmtId="173" fontId="16" fillId="0" borderId="35" xfId="0" applyNumberFormat="1" applyFont="1" applyBorder="1"/>
    <xf numFmtId="0" fontId="15" fillId="0" borderId="34" xfId="0" applyFont="1" applyBorder="1" applyAlignment="1">
      <alignment horizontal="left" vertical="center"/>
    </xf>
    <xf numFmtId="175" fontId="16" fillId="0" borderId="37" xfId="0" applyNumberFormat="1" applyFont="1" applyBorder="1"/>
    <xf numFmtId="175" fontId="16" fillId="0" borderId="38" xfId="0" applyNumberFormat="1" applyFont="1" applyBorder="1"/>
    <xf numFmtId="178" fontId="15" fillId="0" borderId="0" xfId="0" quotePrefix="1" applyNumberFormat="1" applyFont="1" applyAlignment="1">
      <alignment horizontal="right"/>
    </xf>
    <xf numFmtId="0" fontId="15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8" xfId="0" quotePrefix="1" applyFont="1" applyBorder="1" applyAlignment="1">
      <alignment horizontal="right"/>
    </xf>
    <xf numFmtId="0" fontId="15" fillId="0" borderId="0" xfId="9" quotePrefix="1" applyFont="1" applyAlignment="1">
      <alignment horizontal="right"/>
    </xf>
    <xf numFmtId="0" fontId="72" fillId="0" borderId="0" xfId="7" applyFont="1"/>
    <xf numFmtId="0" fontId="3" fillId="0" borderId="12" xfId="7" applyBorder="1"/>
    <xf numFmtId="0" fontId="32" fillId="0" borderId="0" xfId="7" applyFont="1"/>
    <xf numFmtId="0" fontId="23" fillId="0" borderId="12" xfId="0" applyFont="1" applyBorder="1" applyAlignment="1">
      <alignment horizontal="centerContinuous"/>
    </xf>
    <xf numFmtId="0" fontId="33" fillId="0" borderId="12" xfId="0" applyFont="1" applyBorder="1" applyAlignment="1">
      <alignment horizontal="centerContinuous"/>
    </xf>
    <xf numFmtId="0" fontId="34" fillId="0" borderId="12" xfId="0" applyFont="1" applyBorder="1" applyAlignment="1">
      <alignment horizontal="centerContinuous"/>
    </xf>
    <xf numFmtId="0" fontId="3" fillId="0" borderId="12" xfId="9" applyFont="1" applyBorder="1"/>
    <xf numFmtId="0" fontId="3" fillId="0" borderId="12" xfId="9" applyFont="1" applyBorder="1" applyAlignment="1">
      <alignment horizontal="center"/>
    </xf>
    <xf numFmtId="0" fontId="14" fillId="0" borderId="12" xfId="0" applyFont="1" applyBorder="1"/>
    <xf numFmtId="0" fontId="0" fillId="0" borderId="12" xfId="0" applyBorder="1"/>
    <xf numFmtId="0" fontId="71" fillId="3" borderId="0" xfId="7" applyFont="1" applyFill="1" applyAlignment="1">
      <alignment vertical="center"/>
    </xf>
    <xf numFmtId="0" fontId="3" fillId="3" borderId="0" xfId="7" applyFill="1" applyAlignment="1">
      <alignment vertical="center"/>
    </xf>
    <xf numFmtId="178" fontId="71" fillId="3" borderId="0" xfId="0" applyNumberFormat="1" applyFont="1" applyFill="1" applyAlignment="1">
      <alignment vertical="center"/>
    </xf>
    <xf numFmtId="0" fontId="71" fillId="3" borderId="0" xfId="0" applyFont="1" applyFill="1" applyAlignment="1">
      <alignment vertical="center"/>
    </xf>
    <xf numFmtId="0" fontId="3" fillId="3" borderId="37" xfId="7" applyFill="1" applyBorder="1" applyAlignment="1">
      <alignment vertical="center"/>
    </xf>
    <xf numFmtId="178" fontId="71" fillId="3" borderId="37" xfId="0" applyNumberFormat="1" applyFont="1" applyFill="1" applyBorder="1" applyAlignment="1">
      <alignment vertical="center"/>
    </xf>
    <xf numFmtId="0" fontId="71" fillId="3" borderId="37" xfId="0" applyFont="1" applyFill="1" applyBorder="1" applyAlignment="1">
      <alignment vertical="center"/>
    </xf>
    <xf numFmtId="0" fontId="71" fillId="3" borderId="31" xfId="0" applyFont="1" applyFill="1" applyBorder="1" applyAlignment="1">
      <alignment vertical="center"/>
    </xf>
    <xf numFmtId="0" fontId="0" fillId="3" borderId="32" xfId="0" applyFill="1" applyBorder="1"/>
    <xf numFmtId="0" fontId="0" fillId="3" borderId="33" xfId="0" applyFill="1" applyBorder="1"/>
    <xf numFmtId="0" fontId="0" fillId="3" borderId="32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71" fillId="3" borderId="33" xfId="0" applyFont="1" applyFill="1" applyBorder="1" applyAlignment="1">
      <alignment vertical="center"/>
    </xf>
    <xf numFmtId="0" fontId="3" fillId="4" borderId="0" xfId="7" applyFill="1"/>
    <xf numFmtId="178" fontId="17" fillId="4" borderId="0" xfId="0" applyNumberFormat="1" applyFont="1" applyFill="1"/>
    <xf numFmtId="193" fontId="17" fillId="4" borderId="0" xfId="0" quotePrefix="1" applyNumberFormat="1" applyFont="1" applyFill="1" applyAlignment="1">
      <alignment horizontal="right"/>
    </xf>
    <xf numFmtId="0" fontId="17" fillId="4" borderId="0" xfId="0" applyFont="1" applyFill="1"/>
    <xf numFmtId="0" fontId="15" fillId="4" borderId="34" xfId="0" applyFont="1" applyFill="1" applyBorder="1" applyAlignment="1">
      <alignment vertical="center"/>
    </xf>
    <xf numFmtId="0" fontId="0" fillId="4" borderId="0" xfId="0" applyFill="1"/>
    <xf numFmtId="0" fontId="0" fillId="4" borderId="35" xfId="0" applyFill="1" applyBorder="1"/>
    <xf numFmtId="0" fontId="71" fillId="3" borderId="32" xfId="0" applyFont="1" applyFill="1" applyBorder="1" applyAlignment="1">
      <alignment vertical="center"/>
    </xf>
    <xf numFmtId="0" fontId="3" fillId="5" borderId="0" xfId="7" applyFill="1"/>
    <xf numFmtId="178" fontId="17" fillId="5" borderId="0" xfId="0" applyNumberFormat="1" applyFont="1" applyFill="1"/>
    <xf numFmtId="193" fontId="17" fillId="5" borderId="0" xfId="0" quotePrefix="1" applyNumberFormat="1" applyFont="1" applyFill="1" applyAlignment="1">
      <alignment horizontal="right"/>
    </xf>
    <xf numFmtId="0" fontId="17" fillId="5" borderId="0" xfId="0" applyFont="1" applyFill="1"/>
    <xf numFmtId="0" fontId="15" fillId="5" borderId="34" xfId="0" applyFont="1" applyFill="1" applyBorder="1" applyAlignment="1">
      <alignment vertical="center"/>
    </xf>
    <xf numFmtId="0" fontId="0" fillId="5" borderId="0" xfId="0" applyFill="1"/>
    <xf numFmtId="0" fontId="0" fillId="5" borderId="35" xfId="0" applyFill="1" applyBorder="1"/>
    <xf numFmtId="0" fontId="74" fillId="0" borderId="0" xfId="7" applyFont="1"/>
    <xf numFmtId="0" fontId="3" fillId="3" borderId="39" xfId="7" applyFill="1" applyBorder="1" applyAlignment="1">
      <alignment vertical="center"/>
    </xf>
    <xf numFmtId="0" fontId="3" fillId="3" borderId="40" xfId="7" applyFill="1" applyBorder="1" applyAlignment="1">
      <alignment vertical="center"/>
    </xf>
    <xf numFmtId="0" fontId="68" fillId="3" borderId="40" xfId="7" applyFont="1" applyFill="1" applyBorder="1" applyAlignment="1">
      <alignment vertical="center"/>
    </xf>
    <xf numFmtId="0" fontId="69" fillId="3" borderId="41" xfId="7" applyFont="1" applyFill="1" applyBorder="1" applyAlignment="1">
      <alignment horizontal="centerContinuous" vertical="center"/>
    </xf>
    <xf numFmtId="0" fontId="70" fillId="3" borderId="41" xfId="7" applyFont="1" applyFill="1" applyBorder="1" applyAlignment="1">
      <alignment horizontal="centerContinuous" vertical="center"/>
    </xf>
    <xf numFmtId="0" fontId="68" fillId="3" borderId="42" xfId="7" applyFont="1" applyFill="1" applyBorder="1" applyAlignment="1">
      <alignment vertical="center"/>
    </xf>
    <xf numFmtId="0" fontId="3" fillId="3" borderId="43" xfId="7" applyFill="1" applyBorder="1" applyAlignment="1">
      <alignment vertical="center"/>
    </xf>
    <xf numFmtId="0" fontId="68" fillId="3" borderId="44" xfId="7" applyFont="1" applyFill="1" applyBorder="1" applyAlignment="1">
      <alignment vertical="center"/>
    </xf>
    <xf numFmtId="0" fontId="3" fillId="4" borderId="43" xfId="7" applyFill="1" applyBorder="1"/>
    <xf numFmtId="0" fontId="17" fillId="4" borderId="44" xfId="0" applyFont="1" applyFill="1" applyBorder="1"/>
    <xf numFmtId="0" fontId="3" fillId="5" borderId="43" xfId="7" applyFill="1" applyBorder="1"/>
    <xf numFmtId="0" fontId="17" fillId="5" borderId="44" xfId="0" applyFont="1" applyFill="1" applyBorder="1"/>
    <xf numFmtId="0" fontId="3" fillId="0" borderId="43" xfId="7" applyBorder="1"/>
    <xf numFmtId="0" fontId="3" fillId="0" borderId="44" xfId="7" applyBorder="1"/>
    <xf numFmtId="164" fontId="3" fillId="0" borderId="44" xfId="4" applyNumberFormat="1" applyFont="1" applyBorder="1"/>
    <xf numFmtId="196" fontId="24" fillId="0" borderId="44" xfId="0" applyNumberFormat="1" applyFont="1" applyBorder="1"/>
    <xf numFmtId="0" fontId="3" fillId="0" borderId="45" xfId="7" applyBorder="1"/>
    <xf numFmtId="0" fontId="3" fillId="0" borderId="46" xfId="7" applyBorder="1"/>
    <xf numFmtId="0" fontId="3" fillId="0" borderId="46" xfId="7" applyBorder="1" applyAlignment="1">
      <alignment horizontal="left"/>
    </xf>
    <xf numFmtId="0" fontId="3" fillId="0" borderId="47" xfId="7" applyBorder="1"/>
    <xf numFmtId="0" fontId="3" fillId="3" borderId="42" xfId="7" applyFill="1" applyBorder="1" applyAlignment="1">
      <alignment vertical="center"/>
    </xf>
    <xf numFmtId="0" fontId="3" fillId="3" borderId="44" xfId="7" applyFill="1" applyBorder="1" applyAlignment="1">
      <alignment vertical="center"/>
    </xf>
    <xf numFmtId="0" fontId="3" fillId="3" borderId="48" xfId="7" applyFill="1" applyBorder="1" applyAlignment="1">
      <alignment vertical="center"/>
    </xf>
    <xf numFmtId="0" fontId="3" fillId="3" borderId="49" xfId="7" applyFill="1" applyBorder="1" applyAlignment="1">
      <alignment vertical="center"/>
    </xf>
    <xf numFmtId="0" fontId="8" fillId="2" borderId="0" xfId="13" applyFont="1" applyFill="1" applyProtection="1">
      <protection locked="0"/>
    </xf>
    <xf numFmtId="186" fontId="9" fillId="2" borderId="0" xfId="8" applyNumberFormat="1" applyFont="1" applyFill="1" applyAlignment="1" applyProtection="1">
      <alignment horizontal="left" wrapText="1"/>
      <protection locked="0"/>
    </xf>
    <xf numFmtId="0" fontId="10" fillId="2" borderId="0" xfId="13" applyFont="1" applyFill="1" applyProtection="1">
      <protection locked="0"/>
    </xf>
    <xf numFmtId="0" fontId="11" fillId="2" borderId="0" xfId="13" applyFont="1" applyFill="1"/>
    <xf numFmtId="0" fontId="16" fillId="0" borderId="51" xfId="0" applyFont="1" applyBorder="1" applyAlignment="1">
      <alignment horizontal="left"/>
    </xf>
    <xf numFmtId="166" fontId="16" fillId="0" borderId="52" xfId="0" applyNumberFormat="1" applyFont="1" applyBorder="1" applyAlignment="1">
      <alignment horizontal="right"/>
    </xf>
    <xf numFmtId="39" fontId="16" fillId="0" borderId="35" xfId="0" applyNumberFormat="1" applyFont="1" applyBorder="1" applyAlignment="1">
      <alignment horizontal="right"/>
    </xf>
    <xf numFmtId="171" fontId="16" fillId="0" borderId="38" xfId="0" quotePrefix="1" applyNumberFormat="1" applyFont="1" applyBorder="1" applyAlignment="1">
      <alignment horizontal="right"/>
    </xf>
    <xf numFmtId="187" fontId="16" fillId="0" borderId="0" xfId="0" quotePrefix="1" applyNumberFormat="1" applyFont="1" applyAlignment="1">
      <alignment horizontal="centerContinuous"/>
    </xf>
    <xf numFmtId="187" fontId="16" fillId="0" borderId="37" xfId="0" quotePrefix="1" applyNumberFormat="1" applyFont="1" applyBorder="1" applyAlignment="1">
      <alignment horizontal="centerContinuous"/>
    </xf>
    <xf numFmtId="188" fontId="16" fillId="0" borderId="0" xfId="0" applyNumberFormat="1" applyFont="1"/>
    <xf numFmtId="188" fontId="16" fillId="0" borderId="37" xfId="0" applyNumberFormat="1" applyFont="1" applyBorder="1"/>
    <xf numFmtId="171" fontId="16" fillId="0" borderId="35" xfId="0" applyNumberFormat="1" applyFont="1" applyBorder="1" applyAlignment="1">
      <alignment horizontal="right"/>
    </xf>
    <xf numFmtId="37" fontId="16" fillId="0" borderId="35" xfId="0" applyNumberFormat="1" applyFont="1" applyBorder="1" applyAlignment="1">
      <alignment horizontal="right"/>
    </xf>
    <xf numFmtId="171" fontId="16" fillId="0" borderId="35" xfId="0" quotePrefix="1" applyNumberFormat="1" applyFont="1" applyBorder="1" applyAlignment="1">
      <alignment horizontal="right"/>
    </xf>
    <xf numFmtId="3" fontId="16" fillId="0" borderId="35" xfId="0" applyNumberFormat="1" applyFont="1" applyBorder="1" applyAlignment="1">
      <alignment horizontal="right"/>
    </xf>
    <xf numFmtId="3" fontId="16" fillId="0" borderId="38" xfId="0" applyNumberFormat="1" applyFont="1" applyBorder="1" applyAlignment="1">
      <alignment horizontal="right"/>
    </xf>
    <xf numFmtId="175" fontId="16" fillId="0" borderId="0" xfId="0" applyNumberFormat="1" applyFont="1"/>
    <xf numFmtId="175" fontId="16" fillId="0" borderId="35" xfId="0" applyNumberFormat="1" applyFont="1" applyBorder="1"/>
    <xf numFmtId="171" fontId="15" fillId="0" borderId="13" xfId="0" applyNumberFormat="1" applyFont="1" applyBorder="1" applyAlignment="1">
      <alignment vertical="center"/>
    </xf>
    <xf numFmtId="171" fontId="15" fillId="0" borderId="14" xfId="0" applyNumberFormat="1" applyFont="1" applyBorder="1" applyAlignment="1">
      <alignment vertical="center"/>
    </xf>
    <xf numFmtId="171" fontId="15" fillId="0" borderId="15" xfId="0" applyNumberFormat="1" applyFont="1" applyBorder="1" applyAlignment="1">
      <alignment vertical="center"/>
    </xf>
    <xf numFmtId="175" fontId="28" fillId="0" borderId="16" xfId="4" applyNumberFormat="1" applyFont="1" applyFill="1" applyBorder="1" applyProtection="1"/>
    <xf numFmtId="175" fontId="28" fillId="0" borderId="17" xfId="4" applyNumberFormat="1" applyFont="1" applyFill="1" applyBorder="1" applyProtection="1"/>
    <xf numFmtId="175" fontId="31" fillId="0" borderId="13" xfId="0" applyNumberFormat="1" applyFont="1" applyBorder="1" applyAlignment="1">
      <alignment vertical="center"/>
    </xf>
    <xf numFmtId="175" fontId="31" fillId="0" borderId="14" xfId="0" applyNumberFormat="1" applyFont="1" applyBorder="1" applyAlignment="1">
      <alignment vertical="center"/>
    </xf>
    <xf numFmtId="175" fontId="31" fillId="0" borderId="15" xfId="0" applyNumberFormat="1" applyFont="1" applyBorder="1" applyAlignment="1">
      <alignment vertical="center"/>
    </xf>
    <xf numFmtId="184" fontId="31" fillId="0" borderId="0" xfId="0" applyNumberFormat="1" applyFont="1"/>
    <xf numFmtId="175" fontId="28" fillId="0" borderId="18" xfId="0" applyNumberFormat="1" applyFont="1" applyBorder="1"/>
    <xf numFmtId="175" fontId="29" fillId="0" borderId="19" xfId="4" applyNumberFormat="1" applyFont="1" applyFill="1" applyBorder="1" applyProtection="1"/>
    <xf numFmtId="175" fontId="29" fillId="0" borderId="0" xfId="4" applyNumberFormat="1" applyFont="1" applyFill="1" applyBorder="1" applyProtection="1"/>
    <xf numFmtId="175" fontId="29" fillId="0" borderId="20" xfId="4" applyNumberFormat="1" applyFont="1" applyFill="1" applyBorder="1" applyProtection="1"/>
    <xf numFmtId="175" fontId="29" fillId="0" borderId="21" xfId="4" applyNumberFormat="1" applyFont="1" applyFill="1" applyBorder="1" applyProtection="1"/>
    <xf numFmtId="175" fontId="29" fillId="0" borderId="22" xfId="4" applyNumberFormat="1" applyFont="1" applyFill="1" applyBorder="1" applyProtection="1"/>
    <xf numFmtId="175" fontId="29" fillId="0" borderId="23" xfId="4" applyNumberFormat="1" applyFont="1" applyFill="1" applyBorder="1" applyProtection="1"/>
    <xf numFmtId="169" fontId="59" fillId="0" borderId="0" xfId="4" applyNumberFormat="1" applyFont="1" applyFill="1" applyProtection="1"/>
    <xf numFmtId="171" fontId="62" fillId="0" borderId="0" xfId="0" applyNumberFormat="1" applyFont="1"/>
    <xf numFmtId="169" fontId="0" fillId="0" borderId="1" xfId="4" applyNumberFormat="1" applyFont="1" applyFill="1" applyBorder="1" applyProtection="1"/>
    <xf numFmtId="0" fontId="32" fillId="0" borderId="0" xfId="7" quotePrefix="1" applyFont="1" applyAlignment="1">
      <alignment horizontal="right" vertical="center"/>
    </xf>
    <xf numFmtId="171" fontId="62" fillId="0" borderId="1" xfId="0" applyNumberFormat="1" applyFont="1" applyBorder="1"/>
    <xf numFmtId="172" fontId="59" fillId="0" borderId="0" xfId="4" applyNumberFormat="1" applyFont="1" applyFill="1" applyBorder="1" applyProtection="1"/>
    <xf numFmtId="172" fontId="0" fillId="0" borderId="0" xfId="4" applyNumberFormat="1" applyFont="1" applyFill="1" applyBorder="1" applyProtection="1"/>
    <xf numFmtId="172" fontId="59" fillId="0" borderId="1" xfId="4" applyNumberFormat="1" applyFont="1" applyFill="1" applyBorder="1" applyProtection="1"/>
    <xf numFmtId="172" fontId="0" fillId="0" borderId="1" xfId="4" applyNumberFormat="1" applyFont="1" applyFill="1" applyBorder="1" applyProtection="1"/>
    <xf numFmtId="37" fontId="15" fillId="0" borderId="0" xfId="4" applyNumberFormat="1" applyFont="1" applyFill="1" applyBorder="1" applyProtection="1"/>
    <xf numFmtId="173" fontId="15" fillId="0" borderId="26" xfId="4" applyNumberFormat="1" applyFont="1" applyFill="1" applyBorder="1" applyProtection="1"/>
    <xf numFmtId="37" fontId="15" fillId="0" borderId="22" xfId="4" applyNumberFormat="1" applyFont="1" applyFill="1" applyBorder="1" applyProtection="1"/>
    <xf numFmtId="184" fontId="59" fillId="0" borderId="9" xfId="0" applyNumberFormat="1" applyFont="1" applyBorder="1" applyAlignment="1">
      <alignment vertical="center"/>
    </xf>
    <xf numFmtId="184" fontId="59" fillId="0" borderId="11" xfId="0" applyNumberFormat="1" applyFont="1" applyBorder="1" applyAlignment="1">
      <alignment vertical="center"/>
    </xf>
    <xf numFmtId="172" fontId="59" fillId="0" borderId="1" xfId="4" applyNumberFormat="1" applyFont="1" applyFill="1" applyBorder="1" applyAlignment="1" applyProtection="1">
      <alignment horizontal="right"/>
    </xf>
    <xf numFmtId="173" fontId="0" fillId="0" borderId="27" xfId="0" applyNumberFormat="1" applyBorder="1"/>
    <xf numFmtId="173" fontId="0" fillId="0" borderId="28" xfId="0" applyNumberFormat="1" applyBorder="1"/>
    <xf numFmtId="173" fontId="0" fillId="0" borderId="29" xfId="0" applyNumberFormat="1" applyBorder="1"/>
    <xf numFmtId="172" fontId="0" fillId="0" borderId="25" xfId="4" applyNumberFormat="1" applyFont="1" applyFill="1" applyBorder="1" applyAlignment="1" applyProtection="1">
      <alignment horizontal="right"/>
    </xf>
    <xf numFmtId="172" fontId="0" fillId="0" borderId="30" xfId="4" applyNumberFormat="1" applyFont="1" applyFill="1" applyBorder="1" applyAlignment="1" applyProtection="1">
      <alignment horizontal="right"/>
    </xf>
    <xf numFmtId="172" fontId="0" fillId="0" borderId="0" xfId="4" applyNumberFormat="1" applyFont="1" applyFill="1" applyBorder="1" applyAlignment="1" applyProtection="1">
      <alignment horizontal="right"/>
    </xf>
    <xf numFmtId="172" fontId="0" fillId="0" borderId="1" xfId="4" applyNumberFormat="1" applyFont="1" applyFill="1" applyBorder="1" applyAlignment="1" applyProtection="1">
      <alignment horizontal="right"/>
    </xf>
    <xf numFmtId="172" fontId="15" fillId="0" borderId="0" xfId="4" applyNumberFormat="1" applyFont="1" applyFill="1" applyBorder="1" applyAlignment="1" applyProtection="1">
      <alignment horizontal="right"/>
    </xf>
    <xf numFmtId="37" fontId="15" fillId="0" borderId="0" xfId="4" applyNumberFormat="1" applyFont="1" applyFill="1" applyBorder="1" applyAlignment="1" applyProtection="1">
      <alignment horizontal="right"/>
    </xf>
    <xf numFmtId="190" fontId="0" fillId="0" borderId="0" xfId="4" applyNumberFormat="1" applyFont="1" applyFill="1" applyBorder="1" applyProtection="1"/>
    <xf numFmtId="171" fontId="63" fillId="0" borderId="15" xfId="0" applyNumberFormat="1" applyFont="1" applyBorder="1"/>
    <xf numFmtId="171" fontId="63" fillId="0" borderId="0" xfId="0" applyNumberFormat="1" applyFont="1"/>
    <xf numFmtId="37" fontId="56" fillId="0" borderId="0" xfId="0" applyNumberFormat="1" applyFont="1"/>
    <xf numFmtId="173" fontId="31" fillId="0" borderId="0" xfId="0" applyNumberFormat="1" applyFont="1"/>
    <xf numFmtId="175" fontId="59" fillId="0" borderId="1" xfId="4" applyNumberFormat="1" applyFont="1" applyFill="1" applyBorder="1" applyProtection="1"/>
    <xf numFmtId="37" fontId="31" fillId="0" borderId="0" xfId="0" applyNumberFormat="1" applyFont="1"/>
    <xf numFmtId="171" fontId="38" fillId="0" borderId="0" xfId="0" applyNumberFormat="1" applyFont="1"/>
    <xf numFmtId="37" fontId="28" fillId="0" borderId="8" xfId="0" applyNumberFormat="1" applyFont="1" applyBorder="1"/>
    <xf numFmtId="37" fontId="16" fillId="0" borderId="8" xfId="0" applyNumberFormat="1" applyFont="1" applyBorder="1"/>
    <xf numFmtId="37" fontId="16" fillId="0" borderId="9" xfId="0" applyNumberFormat="1" applyFont="1" applyBorder="1"/>
    <xf numFmtId="37" fontId="25" fillId="0" borderId="0" xfId="0" applyNumberFormat="1" applyFont="1"/>
    <xf numFmtId="172" fontId="52" fillId="0" borderId="6" xfId="0" applyNumberFormat="1" applyFont="1" applyBorder="1"/>
    <xf numFmtId="172" fontId="52" fillId="0" borderId="1" xfId="0" applyNumberFormat="1" applyFont="1" applyBorder="1"/>
    <xf numFmtId="172" fontId="52" fillId="0" borderId="11" xfId="0" applyNumberFormat="1" applyFont="1" applyBorder="1"/>
    <xf numFmtId="37" fontId="49" fillId="0" borderId="1" xfId="0" applyNumberFormat="1" applyFont="1" applyBorder="1"/>
    <xf numFmtId="37" fontId="25" fillId="0" borderId="1" xfId="0" applyNumberFormat="1" applyFont="1" applyBorder="1"/>
    <xf numFmtId="37" fontId="31" fillId="0" borderId="1" xfId="0" applyNumberFormat="1" applyFont="1" applyBorder="1"/>
    <xf numFmtId="172" fontId="31" fillId="0" borderId="1" xfId="0" applyNumberFormat="1" applyFont="1" applyBorder="1"/>
    <xf numFmtId="172" fontId="31" fillId="0" borderId="11" xfId="0" applyNumberFormat="1" applyFont="1" applyBorder="1"/>
    <xf numFmtId="196" fontId="24" fillId="0" borderId="6" xfId="0" applyNumberFormat="1" applyFont="1" applyBorder="1"/>
    <xf numFmtId="14" fontId="0" fillId="0" borderId="0" xfId="0" applyNumberFormat="1"/>
    <xf numFmtId="184" fontId="0" fillId="0" borderId="25" xfId="0" applyNumberFormat="1" applyBorder="1"/>
    <xf numFmtId="175" fontId="59" fillId="0" borderId="0" xfId="4" applyNumberFormat="1" applyFont="1" applyFill="1" applyProtection="1"/>
    <xf numFmtId="175" fontId="0" fillId="0" borderId="1" xfId="4" applyNumberFormat="1" applyFont="1" applyFill="1" applyBorder="1" applyProtection="1"/>
    <xf numFmtId="175" fontId="15" fillId="0" borderId="0" xfId="0" applyNumberFormat="1" applyFont="1"/>
    <xf numFmtId="172" fontId="15" fillId="0" borderId="0" xfId="4" applyNumberFormat="1" applyFont="1" applyFill="1" applyProtection="1"/>
    <xf numFmtId="172" fontId="15" fillId="0" borderId="8" xfId="4" applyNumberFormat="1" applyFont="1" applyFill="1" applyBorder="1" applyProtection="1"/>
    <xf numFmtId="172" fontId="0" fillId="0" borderId="8" xfId="4" applyNumberFormat="1" applyFont="1" applyFill="1" applyBorder="1" applyProtection="1"/>
    <xf numFmtId="172" fontId="0" fillId="0" borderId="9" xfId="4" applyNumberFormat="1" applyFont="1" applyFill="1" applyBorder="1" applyProtection="1"/>
    <xf numFmtId="172" fontId="18" fillId="0" borderId="0" xfId="4" applyNumberFormat="1" applyFont="1" applyFill="1" applyBorder="1" applyProtection="1"/>
    <xf numFmtId="172" fontId="18" fillId="0" borderId="6" xfId="4" applyNumberFormat="1" applyFont="1" applyFill="1" applyBorder="1" applyProtection="1"/>
    <xf numFmtId="197" fontId="0" fillId="0" borderId="1" xfId="4" applyNumberFormat="1" applyFont="1" applyFill="1" applyBorder="1" applyProtection="1"/>
    <xf numFmtId="197" fontId="0" fillId="0" borderId="11" xfId="4" applyNumberFormat="1" applyFont="1" applyFill="1" applyBorder="1" applyProtection="1"/>
    <xf numFmtId="197" fontId="0" fillId="0" borderId="0" xfId="4" applyNumberFormat="1" applyFont="1" applyFill="1" applyBorder="1" applyProtection="1"/>
    <xf numFmtId="172" fontId="0" fillId="0" borderId="1" xfId="0" applyNumberFormat="1" applyBorder="1"/>
    <xf numFmtId="185" fontId="59" fillId="0" borderId="1" xfId="0" applyNumberFormat="1" applyFont="1" applyBorder="1"/>
    <xf numFmtId="185" fontId="0" fillId="0" borderId="1" xfId="0" applyNumberFormat="1" applyBorder="1"/>
    <xf numFmtId="173" fontId="15" fillId="0" borderId="14" xfId="0" applyNumberFormat="1" applyFont="1" applyBorder="1"/>
    <xf numFmtId="185" fontId="59" fillId="0" borderId="0" xfId="0" applyNumberFormat="1" applyFont="1"/>
    <xf numFmtId="172" fontId="59" fillId="0" borderId="1" xfId="0" applyNumberFormat="1" applyFont="1" applyBorder="1"/>
    <xf numFmtId="196" fontId="24" fillId="0" borderId="1" xfId="0" applyNumberFormat="1" applyFont="1" applyBorder="1"/>
    <xf numFmtId="196" fontId="24" fillId="0" borderId="11" xfId="0" applyNumberFormat="1" applyFont="1" applyBorder="1"/>
    <xf numFmtId="0" fontId="73" fillId="2" borderId="0" xfId="13" applyFont="1" applyFill="1" applyProtection="1">
      <protection locked="0"/>
    </xf>
    <xf numFmtId="0" fontId="0" fillId="2" borderId="0" xfId="0" applyFill="1"/>
    <xf numFmtId="186" fontId="9" fillId="2" borderId="0" xfId="8" applyNumberFormat="1" applyFont="1" applyFill="1" applyAlignment="1">
      <alignment horizontal="left" wrapText="1"/>
    </xf>
    <xf numFmtId="164" fontId="3" fillId="0" borderId="0" xfId="4" applyNumberFormat="1" applyFont="1" applyFill="1" applyBorder="1"/>
    <xf numFmtId="196" fontId="58" fillId="0" borderId="0" xfId="0" applyNumberFormat="1" applyFont="1"/>
    <xf numFmtId="164" fontId="75" fillId="0" borderId="0" xfId="4" applyNumberFormat="1" applyFont="1" applyFill="1" applyBorder="1"/>
    <xf numFmtId="0" fontId="75" fillId="0" borderId="0" xfId="7" applyFont="1"/>
    <xf numFmtId="196" fontId="76" fillId="0" borderId="0" xfId="0" applyNumberFormat="1" applyFont="1"/>
    <xf numFmtId="0" fontId="75" fillId="0" borderId="50" xfId="7" applyFont="1" applyBorder="1"/>
    <xf numFmtId="0" fontId="77" fillId="0" borderId="0" xfId="7" applyFont="1"/>
  </cellXfs>
  <cellStyles count="14">
    <cellStyle name="Across" xfId="1" xr:uid="{00000000-0005-0000-0000-000000000000}"/>
    <cellStyle name="Bottom" xfId="2" xr:uid="{00000000-0005-0000-0000-000001000000}"/>
    <cellStyle name="Center" xfId="3" xr:uid="{00000000-0005-0000-0000-000002000000}"/>
    <cellStyle name="Comma" xfId="4" builtinId="3"/>
    <cellStyle name="Currency [2]" xfId="5" xr:uid="{00000000-0005-0000-0000-000004000000}"/>
    <cellStyle name="Double" xfId="6" xr:uid="{00000000-0005-0000-0000-000005000000}"/>
    <cellStyle name="Normal" xfId="0" builtinId="0"/>
    <cellStyle name="Normal 2" xfId="13" xr:uid="{00000000-0005-0000-0000-000007000000}"/>
    <cellStyle name="Normal_DrydenNewDCF3" xfId="7" xr:uid="{00000000-0005-0000-0000-000008000000}"/>
    <cellStyle name="Normal_Inverness Drive Model 4-26-02" xfId="8" xr:uid="{00000000-0005-0000-0000-000009000000}"/>
    <cellStyle name="Normal_TrainingDCF1" xfId="9" xr:uid="{00000000-0005-0000-0000-00000A000000}"/>
    <cellStyle name="Numbers" xfId="10" xr:uid="{00000000-0005-0000-0000-00000B000000}"/>
    <cellStyle name="Numbers - Bold - Italic" xfId="11" xr:uid="{00000000-0005-0000-0000-00000C000000}"/>
    <cellStyle name="Outline" xfId="12" xr:uid="{00000000-0005-0000-0000-00000D000000}"/>
  </cellStyles>
  <dxfs count="2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9" defaultPivotStyle="PivotStyleLight16"/>
  <colors>
    <mruColors>
      <color rgb="FFFFFF99"/>
      <color rgb="FF5B77CC"/>
      <color rgb="FF009966"/>
      <color rgb="FF002F6C"/>
      <color rgb="FF008ED6"/>
      <color rgb="FF6B72A9"/>
      <color rgb="FF6B729F"/>
      <color rgb="FF4586BB"/>
      <color rgb="FF827F81"/>
      <color rgb="FF009B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31" fmlaLink="$D$6" fmlaRange="$C$14:$C$1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1174750</xdr:colOff>
          <xdr:row>4</xdr:row>
          <xdr:rowOff>50800</xdr:rowOff>
        </xdr:from>
        <xdr:to>
          <xdr:col>4</xdr:col>
          <xdr:colOff>69850</xdr:colOff>
          <xdr:row>6</xdr:row>
          <xdr:rowOff>44450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F473-1E0F-4968-AD6B-851D93C7498F}">
  <dimension ref="B4:M14"/>
  <sheetViews>
    <sheetView tabSelected="1" workbookViewId="0">
      <selection activeCell="O21" sqref="O21"/>
    </sheetView>
  </sheetViews>
  <sheetFormatPr defaultRowHeight="12.5"/>
  <cols>
    <col min="1" max="1" width="8.7265625" style="534"/>
    <col min="2" max="2" width="19.6328125" style="534" bestFit="1" customWidth="1"/>
    <col min="3" max="16384" width="8.7265625" style="534"/>
  </cols>
  <sheetData>
    <row r="4" spans="2:13" ht="35">
      <c r="B4" s="533" t="s">
        <v>198</v>
      </c>
      <c r="C4" s="431"/>
      <c r="D4" s="431"/>
      <c r="E4" s="431"/>
      <c r="F4" s="431"/>
    </row>
    <row r="5" spans="2:13" ht="35">
      <c r="B5" s="533"/>
      <c r="C5" s="431"/>
      <c r="D5" s="431"/>
      <c r="E5" s="431"/>
      <c r="F5" s="431"/>
    </row>
    <row r="6" spans="2:13" ht="17.5">
      <c r="B6" s="535">
        <f ca="1">TODAY()</f>
        <v>45567</v>
      </c>
      <c r="C6" s="432"/>
      <c r="D6" s="432"/>
      <c r="E6" s="431"/>
      <c r="F6" s="431"/>
    </row>
    <row r="7" spans="2:13" ht="15.5">
      <c r="B7" s="431"/>
      <c r="C7" s="431"/>
      <c r="D7" s="431"/>
      <c r="E7" s="431"/>
      <c r="F7" s="431"/>
    </row>
    <row r="8" spans="2:13" ht="17.5">
      <c r="B8" s="434" t="s">
        <v>197</v>
      </c>
      <c r="C8" s="431"/>
      <c r="D8" s="431"/>
      <c r="E8" s="431"/>
      <c r="F8" s="431"/>
    </row>
    <row r="9" spans="2:13" ht="15.5">
      <c r="B9" s="431"/>
      <c r="C9" s="431"/>
      <c r="D9" s="431"/>
      <c r="E9" s="431"/>
      <c r="F9" s="431"/>
    </row>
    <row r="10" spans="2:13" ht="15.5">
      <c r="B10" s="431"/>
      <c r="C10" s="431"/>
      <c r="D10" s="431"/>
      <c r="E10" s="431"/>
      <c r="F10" s="431"/>
      <c r="K10" s="431"/>
      <c r="L10" s="431"/>
      <c r="M10" s="431"/>
    </row>
    <row r="11" spans="2:13" ht="15.5">
      <c r="B11" s="431"/>
      <c r="C11" s="431"/>
      <c r="D11" s="431"/>
      <c r="E11" s="431"/>
      <c r="F11" s="431"/>
      <c r="K11" s="431"/>
      <c r="L11" s="431"/>
      <c r="M11" s="431"/>
    </row>
    <row r="12" spans="2:13" ht="15.5">
      <c r="B12" s="431"/>
      <c r="C12" s="431"/>
      <c r="D12" s="431"/>
      <c r="E12" s="431"/>
      <c r="F12" s="431"/>
      <c r="K12" s="431"/>
      <c r="L12" s="431"/>
      <c r="M12" s="431"/>
    </row>
    <row r="13" spans="2:13" ht="15.5">
      <c r="B13" s="431"/>
      <c r="C13" s="431"/>
      <c r="D13" s="431"/>
      <c r="E13" s="431"/>
      <c r="F13" s="431"/>
      <c r="K13" s="431"/>
      <c r="L13" s="431"/>
      <c r="M13" s="431"/>
    </row>
    <row r="14" spans="2:13" ht="15.5">
      <c r="C14" s="431"/>
      <c r="D14" s="433"/>
      <c r="E14" s="431"/>
      <c r="F14" s="4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AF66"/>
  <sheetViews>
    <sheetView showGridLines="0" zoomScaleNormal="100" workbookViewId="0">
      <selection activeCell="X39" sqref="X39"/>
    </sheetView>
  </sheetViews>
  <sheetFormatPr defaultColWidth="10.7265625" defaultRowHeight="12.5"/>
  <cols>
    <col min="1" max="1" width="2.54296875" style="300" customWidth="1"/>
    <col min="2" max="2" width="4.7265625" style="300" customWidth="1"/>
    <col min="3" max="4" width="1.7265625" style="300" customWidth="1"/>
    <col min="5" max="5" width="20.7265625" style="300" customWidth="1"/>
    <col min="6" max="6" width="9.26953125" style="300" customWidth="1"/>
    <col min="7" max="7" width="1.81640625" style="300" customWidth="1"/>
    <col min="8" max="15" width="9.26953125" style="300" customWidth="1"/>
    <col min="16" max="16" width="1.7265625" style="300" customWidth="1"/>
    <col min="17" max="17" width="4.7265625" style="300" customWidth="1"/>
    <col min="18" max="19" width="2.7265625" style="300" customWidth="1"/>
    <col min="20" max="21" width="1.7265625" style="300" customWidth="1"/>
    <col min="22" max="22" width="20.7265625" style="300" customWidth="1"/>
    <col min="23" max="31" width="9.26953125" style="300" customWidth="1"/>
    <col min="32" max="32" width="1.7265625" style="300" customWidth="1"/>
    <col min="33" max="16384" width="10.7265625" style="300"/>
  </cols>
  <sheetData>
    <row r="1" spans="2:32" ht="22.75" customHeight="1">
      <c r="B1" s="297" t="str">
        <f>Cover!B4</f>
        <v>Green Containers Company</v>
      </c>
      <c r="C1" s="298"/>
      <c r="D1" s="298"/>
      <c r="E1" s="298"/>
      <c r="F1" s="298"/>
      <c r="G1" s="298"/>
      <c r="H1" s="299"/>
      <c r="I1" s="299"/>
      <c r="J1" s="299"/>
      <c r="K1" s="299"/>
      <c r="L1" s="299"/>
      <c r="M1" s="299"/>
      <c r="N1" s="299"/>
      <c r="O1" s="299"/>
      <c r="P1" s="299"/>
      <c r="Q1" s="299"/>
      <c r="T1" s="298"/>
      <c r="U1" s="298"/>
      <c r="V1" s="298"/>
      <c r="W1" s="298"/>
      <c r="X1" s="299"/>
      <c r="Y1" s="299"/>
      <c r="Z1" s="299"/>
      <c r="AA1" s="299"/>
      <c r="AB1" s="299"/>
      <c r="AC1" s="299"/>
      <c r="AD1" s="299"/>
      <c r="AE1" s="299"/>
    </row>
    <row r="2" spans="2:32" ht="18">
      <c r="B2" s="301" t="s">
        <v>180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  <c r="AE2" s="301"/>
    </row>
    <row r="3" spans="2:32" ht="3" customHeight="1" thickBot="1"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</row>
    <row r="4" spans="2:32" ht="10" customHeight="1"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</row>
    <row r="5" spans="2:32" ht="15" customHeight="1">
      <c r="C5" s="303" t="s">
        <v>149</v>
      </c>
      <c r="D5" s="304"/>
      <c r="E5" s="304"/>
      <c r="F5" s="304"/>
      <c r="G5" s="304"/>
      <c r="H5" s="302"/>
      <c r="I5" s="302"/>
      <c r="J5" s="302"/>
      <c r="K5" s="302"/>
      <c r="L5" s="302"/>
      <c r="M5" s="302"/>
      <c r="N5" s="302"/>
      <c r="O5" s="302"/>
      <c r="P5" s="302"/>
      <c r="T5" s="303" t="str">
        <f>"SUMMMARY VALUES - "&amp;UPPER(CHOOSE(Scenarios!$D$6,Scenarios!C14,Scenarios!C15,Scenarios!C16))</f>
        <v>SUMMMARY VALUES - BASE CASE</v>
      </c>
      <c r="U5" s="304"/>
      <c r="V5" s="304"/>
      <c r="W5" s="304"/>
      <c r="X5" s="302"/>
      <c r="Y5" s="302"/>
      <c r="Z5" s="302"/>
      <c r="AA5" s="302"/>
      <c r="AB5" s="302"/>
      <c r="AC5" s="302"/>
      <c r="AD5" s="302"/>
      <c r="AE5" s="302"/>
    </row>
    <row r="6" spans="2:32" s="319" customFormat="1" ht="15" customHeight="1">
      <c r="C6" s="407"/>
      <c r="D6" s="408"/>
      <c r="E6" s="408"/>
      <c r="F6" s="408"/>
      <c r="G6" s="408"/>
      <c r="H6" s="409"/>
      <c r="I6" s="409"/>
      <c r="J6" s="409"/>
      <c r="K6" s="410" t="s">
        <v>2</v>
      </c>
      <c r="L6" s="411"/>
      <c r="M6" s="411"/>
      <c r="N6" s="411"/>
      <c r="O6" s="411"/>
      <c r="P6" s="412"/>
      <c r="T6" s="320"/>
      <c r="U6" s="321"/>
      <c r="V6" s="321"/>
      <c r="W6" s="321"/>
      <c r="X6" s="321"/>
      <c r="Y6" s="321"/>
      <c r="Z6" s="321"/>
      <c r="AA6" s="322" t="s">
        <v>2</v>
      </c>
      <c r="AB6" s="323"/>
      <c r="AC6" s="323"/>
      <c r="AD6" s="323"/>
      <c r="AE6" s="323"/>
      <c r="AF6" s="324"/>
    </row>
    <row r="7" spans="2:32" s="319" customFormat="1" ht="15" customHeight="1">
      <c r="C7" s="413"/>
      <c r="D7" s="378" t="s">
        <v>173</v>
      </c>
      <c r="E7" s="379"/>
      <c r="F7" s="378" t="s">
        <v>195</v>
      </c>
      <c r="G7" s="379"/>
      <c r="H7" s="380">
        <f>X7</f>
        <v>2020</v>
      </c>
      <c r="I7" s="380">
        <f t="shared" ref="I7:O7" si="0">Y7</f>
        <v>2021</v>
      </c>
      <c r="J7" s="380">
        <f t="shared" si="0"/>
        <v>2022</v>
      </c>
      <c r="K7" s="381">
        <f t="shared" si="0"/>
        <v>2023</v>
      </c>
      <c r="L7" s="381">
        <f t="shared" si="0"/>
        <v>2024</v>
      </c>
      <c r="M7" s="381">
        <f t="shared" si="0"/>
        <v>2025</v>
      </c>
      <c r="N7" s="381">
        <f t="shared" si="0"/>
        <v>2026</v>
      </c>
      <c r="O7" s="381">
        <f t="shared" si="0"/>
        <v>2027</v>
      </c>
      <c r="P7" s="414"/>
      <c r="T7" s="325"/>
      <c r="U7" s="326"/>
      <c r="V7" s="326"/>
      <c r="W7" s="326"/>
      <c r="X7" s="327">
        <f>Model!H7</f>
        <v>2020</v>
      </c>
      <c r="Y7" s="327">
        <f>Model!I7</f>
        <v>2021</v>
      </c>
      <c r="Z7" s="327">
        <f>Model!J7</f>
        <v>2022</v>
      </c>
      <c r="AA7" s="328">
        <f>Model!K7</f>
        <v>2023</v>
      </c>
      <c r="AB7" s="328">
        <f>Model!L7</f>
        <v>2024</v>
      </c>
      <c r="AC7" s="328">
        <f>Model!M7</f>
        <v>2025</v>
      </c>
      <c r="AD7" s="328">
        <f>Model!N7</f>
        <v>2026</v>
      </c>
      <c r="AE7" s="328">
        <f>Model!O7</f>
        <v>2027</v>
      </c>
      <c r="AF7" s="329"/>
    </row>
    <row r="8" spans="2:32" ht="3" customHeight="1">
      <c r="C8" s="415"/>
      <c r="D8" s="391"/>
      <c r="E8" s="391"/>
      <c r="F8" s="391"/>
      <c r="G8" s="391"/>
      <c r="H8" s="392"/>
      <c r="I8" s="392"/>
      <c r="J8" s="393"/>
      <c r="K8" s="394"/>
      <c r="L8" s="394"/>
      <c r="M8" s="394"/>
      <c r="N8" s="394"/>
      <c r="O8" s="394"/>
      <c r="P8" s="416"/>
      <c r="T8" s="305"/>
      <c r="X8" s="308"/>
      <c r="Y8" s="308"/>
      <c r="Z8" s="309"/>
      <c r="AA8" s="21"/>
      <c r="AB8" s="21"/>
      <c r="AC8" s="21"/>
      <c r="AD8" s="21"/>
      <c r="AE8" s="21"/>
      <c r="AF8" s="307"/>
    </row>
    <row r="9" spans="2:32" ht="3" customHeight="1">
      <c r="C9" s="417"/>
      <c r="D9" s="399"/>
      <c r="E9" s="399"/>
      <c r="F9" s="399"/>
      <c r="G9" s="399"/>
      <c r="H9" s="400"/>
      <c r="I9" s="400"/>
      <c r="J9" s="401"/>
      <c r="K9" s="402"/>
      <c r="L9" s="402"/>
      <c r="M9" s="402"/>
      <c r="N9" s="402"/>
      <c r="O9" s="402"/>
      <c r="P9" s="418"/>
      <c r="T9" s="305"/>
      <c r="X9" s="308"/>
      <c r="Y9" s="308"/>
      <c r="Z9" s="309"/>
      <c r="AA9" s="21"/>
      <c r="AB9" s="21"/>
      <c r="AC9" s="21"/>
      <c r="AD9" s="21"/>
      <c r="AE9" s="21"/>
      <c r="AF9" s="307"/>
    </row>
    <row r="10" spans="2:32" ht="13" customHeight="1">
      <c r="C10" s="419"/>
      <c r="D10" s="310" t="s">
        <v>143</v>
      </c>
      <c r="P10" s="420"/>
      <c r="T10" s="305"/>
      <c r="U10" s="310" t="s">
        <v>143</v>
      </c>
      <c r="AF10" s="307"/>
    </row>
    <row r="11" spans="2:32" ht="3" customHeight="1">
      <c r="C11" s="419"/>
      <c r="D11" s="310"/>
      <c r="P11" s="420"/>
      <c r="T11" s="305"/>
      <c r="U11" s="310"/>
      <c r="AF11" s="307"/>
    </row>
    <row r="12" spans="2:32">
      <c r="C12" s="419"/>
      <c r="E12" s="300" t="s">
        <v>3</v>
      </c>
      <c r="F12" s="406"/>
      <c r="H12" s="538">
        <v>213.49999999999997</v>
      </c>
      <c r="I12" s="538">
        <v>236.60000000000002</v>
      </c>
      <c r="J12" s="538">
        <v>204.79999999999998</v>
      </c>
      <c r="K12" s="538">
        <v>252.46209677419353</v>
      </c>
      <c r="L12" s="538">
        <v>233.58111483870971</v>
      </c>
      <c r="M12" s="538">
        <v>281.23110855638714</v>
      </c>
      <c r="N12" s="538">
        <v>281.22955436627001</v>
      </c>
      <c r="O12" s="538">
        <v>268.17287049000004</v>
      </c>
      <c r="P12" s="420"/>
      <c r="T12" s="305"/>
      <c r="V12" s="300" t="s">
        <v>3</v>
      </c>
      <c r="W12" s="311" t="s">
        <v>169</v>
      </c>
      <c r="X12" s="536">
        <f>Model!H85</f>
        <v>213.49999999999997</v>
      </c>
      <c r="Y12" s="536">
        <f>Model!I85</f>
        <v>236.60000000000002</v>
      </c>
      <c r="Z12" s="536">
        <f>Model!J85</f>
        <v>204.79999999999998</v>
      </c>
      <c r="AA12" s="536">
        <f>Model!K85</f>
        <v>252.46209677419353</v>
      </c>
      <c r="AB12" s="536">
        <f>Model!L85</f>
        <v>233.58111483870971</v>
      </c>
      <c r="AC12" s="536">
        <f>Model!M85</f>
        <v>281.23110855638714</v>
      </c>
      <c r="AD12" s="536">
        <f>Model!N85</f>
        <v>281.22955436627001</v>
      </c>
      <c r="AE12" s="536">
        <f>Model!O85</f>
        <v>268.17287049000004</v>
      </c>
      <c r="AF12" s="307"/>
    </row>
    <row r="13" spans="2:32" ht="13">
      <c r="C13" s="419"/>
      <c r="E13" s="313" t="s">
        <v>150</v>
      </c>
      <c r="F13" s="314"/>
      <c r="G13" s="313"/>
      <c r="H13" s="539"/>
      <c r="I13" s="540">
        <v>0.10819672131147562</v>
      </c>
      <c r="J13" s="540">
        <v>-0.13440405748098072</v>
      </c>
      <c r="K13" s="540">
        <v>0.23272508190524199</v>
      </c>
      <c r="L13" s="540">
        <v>-7.4787392550143106E-2</v>
      </c>
      <c r="M13" s="540">
        <v>0.203997629476939</v>
      </c>
      <c r="N13" s="540">
        <v>-5.5263805099903252E-6</v>
      </c>
      <c r="O13" s="540">
        <v>-4.6427139941576323E-2</v>
      </c>
      <c r="P13" s="420"/>
      <c r="T13" s="305"/>
      <c r="V13" s="313" t="s">
        <v>150</v>
      </c>
      <c r="W13" s="314" t="s">
        <v>110</v>
      </c>
      <c r="Y13" s="537">
        <f>Y12/X12-1</f>
        <v>0.10819672131147562</v>
      </c>
      <c r="Z13" s="537">
        <f t="shared" ref="Z13:AE13" si="1">Z12/Y12-1</f>
        <v>-0.13440405748098072</v>
      </c>
      <c r="AA13" s="537">
        <f t="shared" si="1"/>
        <v>0.23272508190524199</v>
      </c>
      <c r="AB13" s="537">
        <f t="shared" si="1"/>
        <v>-7.4787392550143106E-2</v>
      </c>
      <c r="AC13" s="537">
        <f t="shared" si="1"/>
        <v>0.203997629476939</v>
      </c>
      <c r="AD13" s="537">
        <f t="shared" si="1"/>
        <v>-5.5263805099903252E-6</v>
      </c>
      <c r="AE13" s="537">
        <f t="shared" si="1"/>
        <v>-4.6427139941576323E-2</v>
      </c>
      <c r="AF13" s="307"/>
    </row>
    <row r="14" spans="2:32" ht="3" customHeight="1">
      <c r="C14" s="419"/>
      <c r="E14" s="368"/>
      <c r="F14" s="368"/>
      <c r="G14" s="368"/>
      <c r="H14" s="541"/>
      <c r="I14" s="541"/>
      <c r="J14" s="541"/>
      <c r="K14" s="541"/>
      <c r="L14" s="541"/>
      <c r="M14" s="541"/>
      <c r="N14" s="541"/>
      <c r="O14" s="541"/>
      <c r="P14" s="420"/>
      <c r="T14" s="305"/>
      <c r="AF14" s="307"/>
    </row>
    <row r="15" spans="2:32" ht="3" customHeight="1">
      <c r="C15" s="419"/>
      <c r="H15" s="539"/>
      <c r="I15" s="539"/>
      <c r="J15" s="539"/>
      <c r="K15" s="539"/>
      <c r="L15" s="539"/>
      <c r="M15" s="539"/>
      <c r="N15" s="539"/>
      <c r="O15" s="539"/>
      <c r="P15" s="420"/>
      <c r="T15" s="305"/>
      <c r="AF15" s="307"/>
    </row>
    <row r="16" spans="2:32">
      <c r="C16" s="419"/>
      <c r="E16" s="300" t="s">
        <v>5</v>
      </c>
      <c r="F16" s="406"/>
      <c r="H16" s="538">
        <v>50.19999999999996</v>
      </c>
      <c r="I16" s="538">
        <v>68.400000000000034</v>
      </c>
      <c r="J16" s="538">
        <v>33.099999999999966</v>
      </c>
      <c r="K16" s="538">
        <v>73.875241935483842</v>
      </c>
      <c r="L16" s="538">
        <v>47.11049922580645</v>
      </c>
      <c r="M16" s="538">
        <v>86.456885914219384</v>
      </c>
      <c r="N16" s="538">
        <v>76.709884589719195</v>
      </c>
      <c r="O16" s="538">
        <v>54.342095904000075</v>
      </c>
      <c r="P16" s="421"/>
      <c r="T16" s="305"/>
      <c r="V16" s="300" t="s">
        <v>5</v>
      </c>
      <c r="W16" s="311" t="s">
        <v>169</v>
      </c>
      <c r="X16" s="536">
        <f>Model!H92</f>
        <v>50.19999999999996</v>
      </c>
      <c r="Y16" s="536">
        <f>Model!I92</f>
        <v>68.400000000000034</v>
      </c>
      <c r="Z16" s="536">
        <f>Model!J92</f>
        <v>33.099999999999966</v>
      </c>
      <c r="AA16" s="536">
        <f>Model!K92</f>
        <v>73.875241935483842</v>
      </c>
      <c r="AB16" s="536">
        <f>Model!L92</f>
        <v>47.11049922580645</v>
      </c>
      <c r="AC16" s="536">
        <f>Model!M92</f>
        <v>86.456885914219384</v>
      </c>
      <c r="AD16" s="536">
        <f>Model!N92</f>
        <v>76.709884589719195</v>
      </c>
      <c r="AE16" s="536">
        <f>Model!O92</f>
        <v>54.342095904000075</v>
      </c>
      <c r="AF16" s="307"/>
    </row>
    <row r="17" spans="3:32" ht="13">
      <c r="C17" s="419"/>
      <c r="E17" s="313" t="s">
        <v>151</v>
      </c>
      <c r="F17" s="314"/>
      <c r="G17" s="313"/>
      <c r="H17" s="540">
        <v>0.23512880562060876</v>
      </c>
      <c r="I17" s="540">
        <v>0.28909551986475074</v>
      </c>
      <c r="J17" s="540">
        <v>0.16162109374999983</v>
      </c>
      <c r="K17" s="540">
        <v>0.29261914116778937</v>
      </c>
      <c r="L17" s="540">
        <v>0.20168796290888824</v>
      </c>
      <c r="M17" s="540">
        <v>0.30742291049528286</v>
      </c>
      <c r="N17" s="540">
        <v>0.27276608520956924</v>
      </c>
      <c r="O17" s="540">
        <v>0.20263830492885912</v>
      </c>
      <c r="P17" s="422"/>
      <c r="T17" s="305"/>
      <c r="V17" s="313" t="s">
        <v>151</v>
      </c>
      <c r="W17" s="314" t="s">
        <v>110</v>
      </c>
      <c r="X17" s="537">
        <f>X16/X12</f>
        <v>0.23512880562060876</v>
      </c>
      <c r="Y17" s="537">
        <f t="shared" ref="Y17:AE17" si="2">Y16/Y12</f>
        <v>0.28909551986475074</v>
      </c>
      <c r="Z17" s="537">
        <f t="shared" si="2"/>
        <v>0.16162109374999983</v>
      </c>
      <c r="AA17" s="537">
        <f t="shared" si="2"/>
        <v>0.29261914116778937</v>
      </c>
      <c r="AB17" s="537">
        <f t="shared" si="2"/>
        <v>0.20168796290888824</v>
      </c>
      <c r="AC17" s="537">
        <f t="shared" si="2"/>
        <v>0.30742291049528286</v>
      </c>
      <c r="AD17" s="537">
        <f t="shared" si="2"/>
        <v>0.27276608520956924</v>
      </c>
      <c r="AE17" s="537">
        <f t="shared" si="2"/>
        <v>0.20263830492885912</v>
      </c>
      <c r="AF17" s="307"/>
    </row>
    <row r="18" spans="3:32" ht="13">
      <c r="C18" s="419"/>
      <c r="E18" s="313" t="s">
        <v>150</v>
      </c>
      <c r="F18" s="314"/>
      <c r="G18" s="313"/>
      <c r="H18" s="542"/>
      <c r="I18" s="540">
        <v>0.36254980079681443</v>
      </c>
      <c r="J18" s="540">
        <v>-0.51608187134502992</v>
      </c>
      <c r="K18" s="540">
        <v>1.2318804210115988</v>
      </c>
      <c r="L18" s="540">
        <v>-0.36229651515796557</v>
      </c>
      <c r="M18" s="540">
        <v>0.83519358391471998</v>
      </c>
      <c r="N18" s="540">
        <v>-0.11273828823965448</v>
      </c>
      <c r="O18" s="540">
        <v>-0.29158939301437681</v>
      </c>
      <c r="P18" s="422"/>
      <c r="T18" s="305"/>
      <c r="V18" s="313" t="s">
        <v>150</v>
      </c>
      <c r="W18" s="314" t="s">
        <v>110</v>
      </c>
      <c r="X18" s="314"/>
      <c r="Y18" s="537">
        <f>Y16/X16-1</f>
        <v>0.36254980079681443</v>
      </c>
      <c r="Z18" s="537">
        <f t="shared" ref="Z18:AE18" si="3">Z16/Y16-1</f>
        <v>-0.51608187134502992</v>
      </c>
      <c r="AA18" s="537">
        <f t="shared" si="3"/>
        <v>1.2318804210115988</v>
      </c>
      <c r="AB18" s="537">
        <f t="shared" si="3"/>
        <v>-0.36229651515796557</v>
      </c>
      <c r="AC18" s="537">
        <f t="shared" si="3"/>
        <v>0.83519358391471998</v>
      </c>
      <c r="AD18" s="537">
        <f t="shared" si="3"/>
        <v>-0.11273828823965448</v>
      </c>
      <c r="AE18" s="537">
        <f t="shared" si="3"/>
        <v>-0.29158939301437681</v>
      </c>
      <c r="AF18" s="307"/>
    </row>
    <row r="19" spans="3:32" ht="3" customHeight="1">
      <c r="C19" s="419"/>
      <c r="E19" s="368"/>
      <c r="F19" s="368"/>
      <c r="G19" s="368"/>
      <c r="H19" s="541"/>
      <c r="I19" s="541"/>
      <c r="J19" s="541"/>
      <c r="K19" s="541"/>
      <c r="L19" s="541"/>
      <c r="M19" s="541"/>
      <c r="N19" s="541"/>
      <c r="O19" s="541"/>
      <c r="P19" s="420"/>
      <c r="T19" s="305"/>
      <c r="AF19" s="307"/>
    </row>
    <row r="20" spans="3:32" ht="3" customHeight="1">
      <c r="C20" s="419"/>
      <c r="H20" s="539"/>
      <c r="I20" s="539"/>
      <c r="J20" s="539"/>
      <c r="K20" s="539"/>
      <c r="L20" s="539"/>
      <c r="M20" s="539"/>
      <c r="N20" s="539"/>
      <c r="O20" s="539"/>
      <c r="P20" s="420"/>
      <c r="T20" s="305"/>
      <c r="AF20" s="307"/>
    </row>
    <row r="21" spans="3:32">
      <c r="C21" s="419"/>
      <c r="E21" s="300" t="s">
        <v>8</v>
      </c>
      <c r="F21" s="406"/>
      <c r="H21" s="538">
        <v>14.099999999999962</v>
      </c>
      <c r="I21" s="538">
        <v>23.700000000000035</v>
      </c>
      <c r="J21" s="538">
        <v>2.1999999999999651</v>
      </c>
      <c r="K21" s="538">
        <v>29.707323924731163</v>
      </c>
      <c r="L21" s="538">
        <v>12.883848316158492</v>
      </c>
      <c r="M21" s="538">
        <v>38.802422097145843</v>
      </c>
      <c r="N21" s="538">
        <v>33.318943781644421</v>
      </c>
      <c r="O21" s="538">
        <v>19.4273807642682</v>
      </c>
      <c r="P21" s="421"/>
      <c r="T21" s="305"/>
      <c r="V21" s="300" t="s">
        <v>8</v>
      </c>
      <c r="W21" s="311" t="s">
        <v>169</v>
      </c>
      <c r="X21" s="536">
        <f>Model!H104</f>
        <v>14.099999999999962</v>
      </c>
      <c r="Y21" s="536">
        <f>Model!I104</f>
        <v>23.700000000000035</v>
      </c>
      <c r="Z21" s="536">
        <f>Model!J104</f>
        <v>2.1999999999999651</v>
      </c>
      <c r="AA21" s="536">
        <f>Model!K104</f>
        <v>29.707323924731163</v>
      </c>
      <c r="AB21" s="536">
        <f>Model!L104</f>
        <v>12.883848316158492</v>
      </c>
      <c r="AC21" s="536">
        <f>Model!M104</f>
        <v>38.802422097145843</v>
      </c>
      <c r="AD21" s="536">
        <f>Model!N104</f>
        <v>33.318943781644421</v>
      </c>
      <c r="AE21" s="536">
        <f>Model!O104</f>
        <v>19.4273807642682</v>
      </c>
      <c r="AF21" s="307"/>
    </row>
    <row r="22" spans="3:32" ht="13">
      <c r="C22" s="419"/>
      <c r="E22" s="313" t="s">
        <v>151</v>
      </c>
      <c r="F22" s="370"/>
      <c r="G22" s="313"/>
      <c r="H22" s="540">
        <v>6.604215456674456E-2</v>
      </c>
      <c r="I22" s="540">
        <v>0.10016906170752338</v>
      </c>
      <c r="J22" s="540">
        <v>1.074218749999983E-2</v>
      </c>
      <c r="K22" s="540">
        <v>0.11767043173733088</v>
      </c>
      <c r="L22" s="540">
        <v>5.5157919445049865E-2</v>
      </c>
      <c r="M22" s="540">
        <v>0.13797343507382973</v>
      </c>
      <c r="N22" s="540">
        <v>0.11847596834808559</v>
      </c>
      <c r="O22" s="540">
        <v>7.244349784066853E-2</v>
      </c>
      <c r="P22" s="421"/>
      <c r="T22" s="305"/>
      <c r="V22" s="313" t="s">
        <v>151</v>
      </c>
      <c r="W22" s="314" t="s">
        <v>110</v>
      </c>
      <c r="X22" s="537">
        <f>X21/X12</f>
        <v>6.604215456674456E-2</v>
      </c>
      <c r="Y22" s="537">
        <f t="shared" ref="Y22:AE22" si="4">Y21/Y12</f>
        <v>0.10016906170752338</v>
      </c>
      <c r="Z22" s="537">
        <f t="shared" si="4"/>
        <v>1.074218749999983E-2</v>
      </c>
      <c r="AA22" s="537">
        <f t="shared" si="4"/>
        <v>0.11767043173733088</v>
      </c>
      <c r="AB22" s="537">
        <f t="shared" si="4"/>
        <v>5.5157919445049865E-2</v>
      </c>
      <c r="AC22" s="537">
        <f t="shared" si="4"/>
        <v>0.13797343507382973</v>
      </c>
      <c r="AD22" s="537">
        <f t="shared" si="4"/>
        <v>0.11847596834808559</v>
      </c>
      <c r="AE22" s="537">
        <f t="shared" si="4"/>
        <v>7.244349784066853E-2</v>
      </c>
      <c r="AF22" s="307"/>
    </row>
    <row r="23" spans="3:32" ht="13">
      <c r="C23" s="419"/>
      <c r="E23" s="313" t="s">
        <v>150</v>
      </c>
      <c r="F23" s="370"/>
      <c r="G23" s="313"/>
      <c r="H23" s="542"/>
      <c r="I23" s="540">
        <v>0.68085106382979421</v>
      </c>
      <c r="J23" s="540">
        <v>-0.9071729957805923</v>
      </c>
      <c r="K23" s="540">
        <v>12.503329056696197</v>
      </c>
      <c r="L23" s="540">
        <v>-0.56630734061398347</v>
      </c>
      <c r="M23" s="540">
        <v>2.0117105654279666</v>
      </c>
      <c r="N23" s="540">
        <v>-0.14131793891043631</v>
      </c>
      <c r="O23" s="540">
        <v>-0.41692687224464642</v>
      </c>
      <c r="P23" s="421"/>
      <c r="T23" s="305"/>
      <c r="V23" s="313" t="s">
        <v>150</v>
      </c>
      <c r="W23" s="314" t="s">
        <v>110</v>
      </c>
      <c r="X23" s="314"/>
      <c r="Y23" s="537">
        <f>Y21/X21-1</f>
        <v>0.68085106382979421</v>
      </c>
      <c r="Z23" s="537">
        <f t="shared" ref="Z23:AE23" si="5">Z21/Y21-1</f>
        <v>-0.9071729957805923</v>
      </c>
      <c r="AA23" s="537">
        <f t="shared" si="5"/>
        <v>12.503329056696197</v>
      </c>
      <c r="AB23" s="537">
        <f t="shared" si="5"/>
        <v>-0.56630734061398347</v>
      </c>
      <c r="AC23" s="537">
        <f t="shared" si="5"/>
        <v>2.0117105654279666</v>
      </c>
      <c r="AD23" s="537">
        <f t="shared" si="5"/>
        <v>-0.14131793891043631</v>
      </c>
      <c r="AE23" s="537">
        <f t="shared" si="5"/>
        <v>-0.41692687224464642</v>
      </c>
      <c r="AF23" s="307"/>
    </row>
    <row r="24" spans="3:32" ht="4" customHeight="1">
      <c r="C24" s="423"/>
      <c r="D24" s="424"/>
      <c r="E24" s="425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6"/>
      <c r="T24" s="315"/>
      <c r="U24" s="306"/>
      <c r="V24" s="306"/>
      <c r="W24" s="306"/>
      <c r="X24" s="306"/>
      <c r="Y24" s="306"/>
      <c r="Z24" s="306"/>
      <c r="AA24" s="306"/>
      <c r="AB24" s="306"/>
      <c r="AC24" s="306"/>
      <c r="AD24" s="306"/>
      <c r="AE24" s="306"/>
      <c r="AF24" s="316"/>
    </row>
    <row r="25" spans="3:32" ht="10" customHeight="1"/>
    <row r="26" spans="3:32" ht="15" customHeight="1">
      <c r="C26" s="303" t="s">
        <v>181</v>
      </c>
      <c r="D26" s="304"/>
      <c r="E26" s="304"/>
      <c r="F26" s="304"/>
      <c r="G26" s="304"/>
      <c r="H26" s="302"/>
      <c r="I26" s="302"/>
      <c r="J26" s="302"/>
      <c r="K26" s="302"/>
      <c r="L26" s="302"/>
      <c r="M26" s="302"/>
      <c r="N26" s="302"/>
      <c r="O26" s="302"/>
      <c r="P26" s="302"/>
    </row>
    <row r="27" spans="3:32" s="319" customFormat="1" ht="15" customHeight="1">
      <c r="C27" s="407"/>
      <c r="D27" s="408"/>
      <c r="E27" s="408"/>
      <c r="F27" s="408"/>
      <c r="G27" s="408"/>
      <c r="H27" s="409"/>
      <c r="I27" s="409"/>
      <c r="J27" s="409"/>
      <c r="K27" s="410" t="s">
        <v>2</v>
      </c>
      <c r="L27" s="411"/>
      <c r="M27" s="411"/>
      <c r="N27" s="411"/>
      <c r="O27" s="411"/>
      <c r="P27" s="427"/>
    </row>
    <row r="28" spans="3:32" s="319" customFormat="1" ht="15" customHeight="1">
      <c r="C28" s="413"/>
      <c r="D28" s="378" t="s">
        <v>173</v>
      </c>
      <c r="E28" s="379"/>
      <c r="F28" s="378" t="s">
        <v>195</v>
      </c>
      <c r="G28" s="379"/>
      <c r="H28" s="380">
        <f t="shared" ref="H28:O28" si="6">H7</f>
        <v>2020</v>
      </c>
      <c r="I28" s="380">
        <f t="shared" si="6"/>
        <v>2021</v>
      </c>
      <c r="J28" s="380">
        <f t="shared" si="6"/>
        <v>2022</v>
      </c>
      <c r="K28" s="381">
        <f t="shared" si="6"/>
        <v>2023</v>
      </c>
      <c r="L28" s="381">
        <f t="shared" si="6"/>
        <v>2024</v>
      </c>
      <c r="M28" s="381">
        <f t="shared" si="6"/>
        <v>2025</v>
      </c>
      <c r="N28" s="381">
        <f t="shared" si="6"/>
        <v>2026</v>
      </c>
      <c r="O28" s="381">
        <f t="shared" si="6"/>
        <v>2027</v>
      </c>
      <c r="P28" s="428"/>
    </row>
    <row r="29" spans="3:32" ht="3" customHeight="1">
      <c r="C29" s="415"/>
      <c r="D29" s="391"/>
      <c r="E29" s="391"/>
      <c r="F29" s="391"/>
      <c r="G29" s="391"/>
      <c r="H29" s="392"/>
      <c r="I29" s="392"/>
      <c r="J29" s="393"/>
      <c r="K29" s="394"/>
      <c r="L29" s="394"/>
      <c r="M29" s="394"/>
      <c r="N29" s="394"/>
      <c r="O29" s="394"/>
      <c r="P29" s="416"/>
    </row>
    <row r="30" spans="3:32" ht="3" customHeight="1">
      <c r="C30" s="417"/>
      <c r="D30" s="399"/>
      <c r="E30" s="399"/>
      <c r="F30" s="399"/>
      <c r="G30" s="399"/>
      <c r="H30" s="400"/>
      <c r="I30" s="400"/>
      <c r="J30" s="401"/>
      <c r="K30" s="402"/>
      <c r="L30" s="402"/>
      <c r="M30" s="402"/>
      <c r="N30" s="402"/>
      <c r="O30" s="402"/>
      <c r="P30" s="418"/>
    </row>
    <row r="31" spans="3:32" ht="13" customHeight="1">
      <c r="C31" s="419"/>
      <c r="D31" s="310" t="s">
        <v>143</v>
      </c>
      <c r="P31" s="420"/>
    </row>
    <row r="32" spans="3:32" ht="3" customHeight="1">
      <c r="C32" s="419"/>
      <c r="D32" s="310"/>
      <c r="P32" s="420"/>
    </row>
    <row r="33" spans="3:31">
      <c r="C33" s="419"/>
      <c r="E33" s="300" t="s">
        <v>3</v>
      </c>
      <c r="F33" s="406"/>
      <c r="H33" s="538">
        <v>213.49999999999997</v>
      </c>
      <c r="I33" s="538">
        <v>236.60000000000002</v>
      </c>
      <c r="J33" s="538">
        <v>204.79999999999998</v>
      </c>
      <c r="K33" s="538">
        <v>264.10862903225802</v>
      </c>
      <c r="L33" s="538">
        <v>244.64311560000002</v>
      </c>
      <c r="M33" s="538">
        <v>297.21531508419486</v>
      </c>
      <c r="N33" s="538">
        <v>300.41838123259203</v>
      </c>
      <c r="O33" s="538">
        <v>281.50084467066245</v>
      </c>
      <c r="P33" s="420"/>
      <c r="W33" s="311"/>
      <c r="X33" s="312"/>
      <c r="Y33" s="312"/>
      <c r="Z33" s="312"/>
      <c r="AA33" s="312"/>
      <c r="AB33" s="312"/>
      <c r="AC33" s="312"/>
      <c r="AD33" s="312"/>
      <c r="AE33" s="312"/>
    </row>
    <row r="34" spans="3:31" ht="13">
      <c r="C34" s="419"/>
      <c r="E34" s="313" t="s">
        <v>150</v>
      </c>
      <c r="F34" s="314"/>
      <c r="G34" s="313"/>
      <c r="H34" s="539"/>
      <c r="I34" s="540">
        <v>0.10819672131147562</v>
      </c>
      <c r="J34" s="540">
        <v>-0.13440405748098072</v>
      </c>
      <c r="K34" s="540">
        <v>0.28959291519657238</v>
      </c>
      <c r="L34" s="540">
        <v>-7.3702678718159165E-2</v>
      </c>
      <c r="M34" s="540">
        <v>0.2148934350973204</v>
      </c>
      <c r="N34" s="540">
        <v>1.077692159803334E-2</v>
      </c>
      <c r="O34" s="540">
        <v>-6.2970636098605093E-2</v>
      </c>
      <c r="P34" s="420"/>
      <c r="V34" s="317"/>
      <c r="W34" s="311"/>
      <c r="Y34" s="197"/>
      <c r="Z34" s="197"/>
      <c r="AA34" s="197"/>
      <c r="AB34" s="197"/>
      <c r="AC34" s="197"/>
      <c r="AD34" s="197"/>
      <c r="AE34" s="197"/>
    </row>
    <row r="35" spans="3:31" ht="3" customHeight="1">
      <c r="C35" s="419"/>
      <c r="H35" s="541"/>
      <c r="I35" s="541"/>
      <c r="J35" s="541"/>
      <c r="K35" s="541"/>
      <c r="L35" s="541"/>
      <c r="M35" s="541"/>
      <c r="N35" s="541"/>
      <c r="O35" s="541"/>
      <c r="P35" s="420"/>
    </row>
    <row r="36" spans="3:31" ht="3" customHeight="1">
      <c r="C36" s="419"/>
      <c r="H36" s="539"/>
      <c r="I36" s="539"/>
      <c r="J36" s="539"/>
      <c r="K36" s="539"/>
      <c r="L36" s="539"/>
      <c r="M36" s="539"/>
      <c r="N36" s="539"/>
      <c r="O36" s="539"/>
      <c r="P36" s="420"/>
    </row>
    <row r="37" spans="3:31">
      <c r="C37" s="419"/>
      <c r="E37" s="300" t="s">
        <v>5</v>
      </c>
      <c r="F37" s="406"/>
      <c r="H37" s="538">
        <v>50.19999999999996</v>
      </c>
      <c r="I37" s="538">
        <v>68.400000000000034</v>
      </c>
      <c r="J37" s="538">
        <v>33.099999999999966</v>
      </c>
      <c r="K37" s="538">
        <v>85.521774193548339</v>
      </c>
      <c r="L37" s="538">
        <v>58.538128645161294</v>
      </c>
      <c r="M37" s="538">
        <v>102.06509550816776</v>
      </c>
      <c r="N37" s="538">
        <v>95.265445066266977</v>
      </c>
      <c r="O37" s="538">
        <v>70.58071270915201</v>
      </c>
      <c r="P37" s="421"/>
      <c r="W37" s="311"/>
      <c r="X37" s="312"/>
      <c r="Y37" s="312"/>
      <c r="Z37" s="312"/>
      <c r="AA37" s="312"/>
      <c r="AB37" s="312"/>
      <c r="AC37" s="312"/>
      <c r="AD37" s="312"/>
      <c r="AE37" s="312"/>
    </row>
    <row r="38" spans="3:31" ht="13">
      <c r="C38" s="419"/>
      <c r="E38" s="313" t="s">
        <v>151</v>
      </c>
      <c r="F38" s="314"/>
      <c r="G38" s="313"/>
      <c r="H38" s="540">
        <v>0.23512880562060876</v>
      </c>
      <c r="I38" s="540">
        <v>0.28909551986475074</v>
      </c>
      <c r="J38" s="540">
        <v>0.16162109374999983</v>
      </c>
      <c r="K38" s="540">
        <v>0.3238128739182648</v>
      </c>
      <c r="L38" s="540">
        <v>0.23927968911609662</v>
      </c>
      <c r="M38" s="540">
        <v>0.34340456338615949</v>
      </c>
      <c r="N38" s="540">
        <v>0.3171092417028567</v>
      </c>
      <c r="O38" s="540">
        <v>0.25073002104745662</v>
      </c>
      <c r="P38" s="422"/>
      <c r="V38" s="317"/>
      <c r="W38" s="311"/>
      <c r="X38" s="197"/>
      <c r="Y38" s="197"/>
      <c r="Z38" s="197"/>
      <c r="AA38" s="197"/>
      <c r="AB38" s="197"/>
      <c r="AC38" s="197"/>
      <c r="AD38" s="197"/>
      <c r="AE38" s="197"/>
    </row>
    <row r="39" spans="3:31" ht="13">
      <c r="C39" s="419"/>
      <c r="E39" s="313" t="s">
        <v>150</v>
      </c>
      <c r="F39" s="314"/>
      <c r="G39" s="313"/>
      <c r="H39" s="542"/>
      <c r="I39" s="540">
        <v>0.36254980079681443</v>
      </c>
      <c r="J39" s="540">
        <v>-0.51608187134502992</v>
      </c>
      <c r="K39" s="540">
        <v>1.5837394016177773</v>
      </c>
      <c r="L39" s="540">
        <v>-0.31551784095731095</v>
      </c>
      <c r="M39" s="540">
        <v>0.7435660802697075</v>
      </c>
      <c r="N39" s="540">
        <v>-6.6620722863641846E-2</v>
      </c>
      <c r="O39" s="540">
        <v>-0.25911527878701646</v>
      </c>
      <c r="P39" s="422"/>
      <c r="V39" s="317"/>
      <c r="W39" s="311"/>
      <c r="Y39" s="197"/>
      <c r="Z39" s="197"/>
      <c r="AA39" s="197"/>
      <c r="AB39" s="197"/>
      <c r="AC39" s="197"/>
      <c r="AD39" s="197"/>
      <c r="AE39" s="197"/>
    </row>
    <row r="40" spans="3:31" ht="3" customHeight="1">
      <c r="C40" s="419"/>
      <c r="H40" s="541"/>
      <c r="I40" s="541"/>
      <c r="J40" s="541"/>
      <c r="K40" s="541"/>
      <c r="L40" s="541"/>
      <c r="M40" s="541"/>
      <c r="N40" s="541"/>
      <c r="O40" s="541"/>
      <c r="P40" s="420"/>
    </row>
    <row r="41" spans="3:31" ht="3" customHeight="1">
      <c r="C41" s="419"/>
      <c r="H41" s="539"/>
      <c r="I41" s="539"/>
      <c r="J41" s="539"/>
      <c r="K41" s="539"/>
      <c r="L41" s="539"/>
      <c r="M41" s="539"/>
      <c r="N41" s="539"/>
      <c r="O41" s="539"/>
      <c r="P41" s="420"/>
    </row>
    <row r="42" spans="3:31">
      <c r="C42" s="419"/>
      <c r="E42" s="300" t="s">
        <v>8</v>
      </c>
      <c r="F42" s="406"/>
      <c r="H42" s="538">
        <v>14.099999999999962</v>
      </c>
      <c r="I42" s="538">
        <v>23.700000000000035</v>
      </c>
      <c r="J42" s="538">
        <v>2.1999999999999651</v>
      </c>
      <c r="K42" s="538">
        <v>37.277569892473089</v>
      </c>
      <c r="L42" s="538">
        <v>20.376169698549127</v>
      </c>
      <c r="M42" s="538">
        <v>49.26935887429299</v>
      </c>
      <c r="N42" s="538">
        <v>45.541012521575766</v>
      </c>
      <c r="O42" s="538">
        <v>30.164608235606018</v>
      </c>
      <c r="P42" s="421"/>
      <c r="W42" s="311"/>
      <c r="X42" s="318"/>
      <c r="Y42" s="318"/>
      <c r="Z42" s="318"/>
      <c r="AA42" s="312"/>
      <c r="AB42" s="312"/>
      <c r="AC42" s="312"/>
      <c r="AD42" s="312"/>
      <c r="AE42" s="312"/>
    </row>
    <row r="43" spans="3:31" ht="13">
      <c r="C43" s="419"/>
      <c r="E43" s="313" t="s">
        <v>151</v>
      </c>
      <c r="F43" s="314"/>
      <c r="G43" s="313"/>
      <c r="H43" s="540">
        <v>6.604215456674456E-2</v>
      </c>
      <c r="I43" s="540">
        <v>0.10016906170752338</v>
      </c>
      <c r="J43" s="540">
        <v>1.074218749999983E-2</v>
      </c>
      <c r="K43" s="540">
        <v>0.14114483888339763</v>
      </c>
      <c r="L43" s="540">
        <v>8.3289364789912473E-2</v>
      </c>
      <c r="M43" s="540">
        <v>0.16576991956264439</v>
      </c>
      <c r="N43" s="540">
        <v>0.15159196429567565</v>
      </c>
      <c r="O43" s="540">
        <v>0.1071563684680827</v>
      </c>
      <c r="P43" s="421"/>
      <c r="W43" s="311"/>
      <c r="X43" s="318"/>
      <c r="Y43" s="318"/>
      <c r="Z43" s="318"/>
      <c r="AA43" s="312"/>
      <c r="AB43" s="312"/>
      <c r="AC43" s="312"/>
      <c r="AD43" s="312"/>
      <c r="AE43" s="312"/>
    </row>
    <row r="44" spans="3:31" ht="13">
      <c r="C44" s="419"/>
      <c r="E44" s="313" t="s">
        <v>150</v>
      </c>
      <c r="F44" s="314"/>
      <c r="G44" s="313"/>
      <c r="H44" s="542"/>
      <c r="I44" s="540">
        <v>0.68085106382979421</v>
      </c>
      <c r="J44" s="540">
        <v>-0.9071729957805923</v>
      </c>
      <c r="K44" s="540">
        <v>15.944349951124401</v>
      </c>
      <c r="L44" s="540">
        <v>-0.45339329367970982</v>
      </c>
      <c r="M44" s="540">
        <v>1.4179892297324743</v>
      </c>
      <c r="N44" s="540">
        <v>-7.5672719067236383E-2</v>
      </c>
      <c r="O44" s="540">
        <v>-0.33763861263921036</v>
      </c>
      <c r="P44" s="421"/>
      <c r="W44" s="311"/>
      <c r="X44" s="318"/>
      <c r="Y44" s="318"/>
      <c r="Z44" s="318"/>
      <c r="AA44" s="312"/>
      <c r="AB44" s="312"/>
      <c r="AC44" s="312"/>
      <c r="AD44" s="312"/>
      <c r="AE44" s="312"/>
    </row>
    <row r="45" spans="3:31" ht="4" customHeight="1">
      <c r="C45" s="423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6"/>
    </row>
    <row r="46" spans="3:31" ht="10" customHeight="1"/>
    <row r="47" spans="3:31" ht="15" customHeight="1">
      <c r="C47" s="303" t="s">
        <v>152</v>
      </c>
      <c r="D47" s="304"/>
      <c r="E47" s="304"/>
      <c r="F47" s="304"/>
      <c r="G47" s="304"/>
      <c r="H47" s="302"/>
      <c r="I47" s="302"/>
      <c r="J47" s="302"/>
      <c r="K47" s="302"/>
      <c r="L47" s="302"/>
      <c r="M47" s="302"/>
      <c r="N47" s="302"/>
      <c r="O47" s="302"/>
      <c r="P47" s="302"/>
    </row>
    <row r="48" spans="3:31" s="319" customFormat="1" ht="15" customHeight="1">
      <c r="C48" s="407"/>
      <c r="D48" s="408"/>
      <c r="E48" s="408"/>
      <c r="F48" s="408"/>
      <c r="G48" s="408"/>
      <c r="H48" s="409"/>
      <c r="I48" s="409"/>
      <c r="J48" s="409"/>
      <c r="K48" s="410" t="s">
        <v>2</v>
      </c>
      <c r="L48" s="411"/>
      <c r="M48" s="411"/>
      <c r="N48" s="411"/>
      <c r="O48" s="411"/>
      <c r="P48" s="427"/>
    </row>
    <row r="49" spans="3:31" s="319" customFormat="1" ht="15" customHeight="1">
      <c r="C49" s="429"/>
      <c r="D49" s="378" t="s">
        <v>173</v>
      </c>
      <c r="E49" s="382"/>
      <c r="F49" s="378" t="s">
        <v>195</v>
      </c>
      <c r="G49" s="382"/>
      <c r="H49" s="383">
        <f>H28</f>
        <v>2020</v>
      </c>
      <c r="I49" s="383">
        <f t="shared" ref="I49:O49" si="7">I28</f>
        <v>2021</v>
      </c>
      <c r="J49" s="383">
        <f t="shared" si="7"/>
        <v>2022</v>
      </c>
      <c r="K49" s="384">
        <f t="shared" si="7"/>
        <v>2023</v>
      </c>
      <c r="L49" s="384">
        <f t="shared" si="7"/>
        <v>2024</v>
      </c>
      <c r="M49" s="384">
        <f t="shared" si="7"/>
        <v>2025</v>
      </c>
      <c r="N49" s="384">
        <f t="shared" si="7"/>
        <v>2026</v>
      </c>
      <c r="O49" s="384">
        <f t="shared" si="7"/>
        <v>2027</v>
      </c>
      <c r="P49" s="430"/>
    </row>
    <row r="50" spans="3:31" ht="3" customHeight="1">
      <c r="C50" s="415"/>
      <c r="D50" s="391"/>
      <c r="E50" s="391"/>
      <c r="F50" s="391"/>
      <c r="G50" s="391"/>
      <c r="H50" s="392"/>
      <c r="I50" s="392"/>
      <c r="J50" s="393"/>
      <c r="K50" s="394"/>
      <c r="L50" s="394"/>
      <c r="M50" s="394"/>
      <c r="N50" s="394"/>
      <c r="O50" s="394"/>
      <c r="P50" s="416"/>
      <c r="X50" s="319"/>
      <c r="Y50" s="319"/>
      <c r="Z50" s="319"/>
      <c r="AA50" s="319"/>
      <c r="AB50" s="319"/>
      <c r="AC50" s="319"/>
      <c r="AD50" s="319"/>
      <c r="AE50" s="319"/>
    </row>
    <row r="51" spans="3:31" ht="3" customHeight="1">
      <c r="C51" s="417"/>
      <c r="D51" s="399"/>
      <c r="E51" s="399"/>
      <c r="F51" s="399"/>
      <c r="G51" s="399"/>
      <c r="H51" s="400"/>
      <c r="I51" s="400"/>
      <c r="J51" s="401"/>
      <c r="K51" s="402"/>
      <c r="L51" s="402"/>
      <c r="M51" s="402"/>
      <c r="N51" s="402"/>
      <c r="O51" s="402"/>
      <c r="P51" s="418"/>
      <c r="X51" s="319"/>
      <c r="Y51" s="319"/>
      <c r="Z51" s="319"/>
      <c r="AA51" s="319"/>
      <c r="AB51" s="319"/>
      <c r="AC51" s="319"/>
      <c r="AD51" s="319"/>
      <c r="AE51" s="319"/>
    </row>
    <row r="52" spans="3:31" ht="13" customHeight="1">
      <c r="C52" s="419"/>
      <c r="D52" s="310" t="s">
        <v>143</v>
      </c>
      <c r="P52" s="420"/>
      <c r="X52" s="319"/>
      <c r="Y52" s="319"/>
      <c r="Z52" s="319"/>
      <c r="AA52" s="319"/>
      <c r="AB52" s="319"/>
      <c r="AC52" s="319"/>
      <c r="AD52" s="319"/>
      <c r="AE52" s="319"/>
    </row>
    <row r="53" spans="3:31">
      <c r="C53" s="419"/>
      <c r="E53" s="300" t="s">
        <v>3</v>
      </c>
      <c r="F53" s="406"/>
      <c r="H53" s="538">
        <v>213.49999999999997</v>
      </c>
      <c r="I53" s="538">
        <v>236.60000000000002</v>
      </c>
      <c r="J53" s="538">
        <v>204.79999999999998</v>
      </c>
      <c r="K53" s="538">
        <v>238.41460829493093</v>
      </c>
      <c r="L53" s="538">
        <v>220.17078571428573</v>
      </c>
      <c r="M53" s="538">
        <v>262.60854165748856</v>
      </c>
      <c r="N53" s="538">
        <v>259.93619218654328</v>
      </c>
      <c r="O53" s="538">
        <v>244.66998081661546</v>
      </c>
      <c r="P53" s="420"/>
      <c r="W53" s="311"/>
      <c r="X53" s="319"/>
      <c r="Y53" s="319"/>
      <c r="Z53" s="319"/>
      <c r="AA53" s="319"/>
      <c r="AB53" s="319"/>
      <c r="AC53" s="319"/>
      <c r="AD53" s="319"/>
      <c r="AE53" s="319"/>
    </row>
    <row r="54" spans="3:31" ht="13">
      <c r="C54" s="419"/>
      <c r="E54" s="313" t="s">
        <v>150</v>
      </c>
      <c r="F54" s="314"/>
      <c r="G54" s="313"/>
      <c r="H54" s="539"/>
      <c r="I54" s="540">
        <v>0.10819672131147562</v>
      </c>
      <c r="J54" s="540">
        <v>-0.13440405748098072</v>
      </c>
      <c r="K54" s="540">
        <v>0.16413382956509248</v>
      </c>
      <c r="L54" s="540">
        <v>-7.6521412471825867E-2</v>
      </c>
      <c r="M54" s="540">
        <v>0.19274925965097855</v>
      </c>
      <c r="N54" s="540">
        <v>-1.0176171171274118E-2</v>
      </c>
      <c r="O54" s="540">
        <v>-5.8730610929977778E-2</v>
      </c>
      <c r="P54" s="420"/>
      <c r="V54" s="317"/>
      <c r="W54" s="311"/>
      <c r="X54" s="319"/>
      <c r="Y54" s="319"/>
      <c r="Z54" s="319"/>
      <c r="AA54" s="319"/>
      <c r="AB54" s="319"/>
      <c r="AC54" s="319"/>
      <c r="AD54" s="319"/>
      <c r="AE54" s="319"/>
    </row>
    <row r="55" spans="3:31" ht="3" customHeight="1">
      <c r="C55" s="419"/>
      <c r="H55" s="541"/>
      <c r="I55" s="541"/>
      <c r="J55" s="541"/>
      <c r="K55" s="541"/>
      <c r="L55" s="541"/>
      <c r="M55" s="541"/>
      <c r="N55" s="541"/>
      <c r="O55" s="541"/>
      <c r="P55" s="420"/>
      <c r="X55" s="319"/>
      <c r="Y55" s="319"/>
      <c r="Z55" s="319"/>
      <c r="AA55" s="319"/>
      <c r="AB55" s="319"/>
      <c r="AC55" s="319"/>
      <c r="AD55" s="319"/>
      <c r="AE55" s="319"/>
    </row>
    <row r="56" spans="3:31" ht="3" customHeight="1">
      <c r="C56" s="419"/>
      <c r="H56" s="539"/>
      <c r="I56" s="539"/>
      <c r="J56" s="539"/>
      <c r="K56" s="539"/>
      <c r="L56" s="539"/>
      <c r="M56" s="539"/>
      <c r="N56" s="539"/>
      <c r="O56" s="539"/>
      <c r="P56" s="420"/>
      <c r="X56" s="319"/>
      <c r="Y56" s="319"/>
      <c r="Z56" s="319"/>
      <c r="AA56" s="319"/>
      <c r="AB56" s="319"/>
      <c r="AC56" s="319"/>
      <c r="AD56" s="319"/>
      <c r="AE56" s="319"/>
    </row>
    <row r="57" spans="3:31">
      <c r="C57" s="419"/>
      <c r="E57" s="300" t="s">
        <v>5</v>
      </c>
      <c r="F57" s="406"/>
      <c r="H57" s="538">
        <v>50.19999999999996</v>
      </c>
      <c r="I57" s="538">
        <v>68.400000000000034</v>
      </c>
      <c r="J57" s="538">
        <v>33.099999999999966</v>
      </c>
      <c r="K57" s="538">
        <v>60.834294930875643</v>
      </c>
      <c r="L57" s="538">
        <v>33.859071668202773</v>
      </c>
      <c r="M57" s="538">
        <v>68.207666428336495</v>
      </c>
      <c r="N57" s="538">
        <v>57.052627960241011</v>
      </c>
      <c r="O57" s="538">
        <v>34.164573612547684</v>
      </c>
      <c r="P57" s="421"/>
      <c r="W57" s="311"/>
      <c r="X57" s="319"/>
      <c r="Y57" s="319"/>
      <c r="Z57" s="319"/>
      <c r="AA57" s="319"/>
      <c r="AB57" s="319"/>
      <c r="AC57" s="319"/>
      <c r="AD57" s="319"/>
      <c r="AE57" s="319"/>
    </row>
    <row r="58" spans="3:31" ht="13">
      <c r="C58" s="419"/>
      <c r="E58" s="313" t="s">
        <v>151</v>
      </c>
      <c r="F58" s="314"/>
      <c r="G58" s="313"/>
      <c r="H58" s="540">
        <v>0.23512880562060876</v>
      </c>
      <c r="I58" s="540">
        <v>0.28909551986475074</v>
      </c>
      <c r="J58" s="540">
        <v>0.16162109374999983</v>
      </c>
      <c r="K58" s="540">
        <v>0.25516177622648251</v>
      </c>
      <c r="L58" s="540">
        <v>0.15378548774468873</v>
      </c>
      <c r="M58" s="540">
        <v>0.25973133241529306</v>
      </c>
      <c r="N58" s="540">
        <v>0.21948704980373482</v>
      </c>
      <c r="O58" s="540">
        <v>0.13963533040922843</v>
      </c>
      <c r="P58" s="422"/>
      <c r="V58" s="317"/>
      <c r="W58" s="311"/>
      <c r="X58" s="319"/>
      <c r="Y58" s="319"/>
      <c r="Z58" s="319"/>
      <c r="AA58" s="319"/>
      <c r="AB58" s="319"/>
      <c r="AC58" s="319"/>
      <c r="AD58" s="319"/>
      <c r="AE58" s="319"/>
    </row>
    <row r="59" spans="3:31" ht="13">
      <c r="C59" s="419"/>
      <c r="E59" s="313" t="s">
        <v>150</v>
      </c>
      <c r="F59" s="314"/>
      <c r="G59" s="313"/>
      <c r="H59" s="542"/>
      <c r="I59" s="540">
        <v>0.36254980079681443</v>
      </c>
      <c r="J59" s="540">
        <v>-0.51608187134502992</v>
      </c>
      <c r="K59" s="540">
        <v>0.83789410667298214</v>
      </c>
      <c r="L59" s="540">
        <v>-0.44342131840804733</v>
      </c>
      <c r="M59" s="540">
        <v>1.0144576643071601</v>
      </c>
      <c r="N59" s="540">
        <v>-0.16354522962335483</v>
      </c>
      <c r="O59" s="540">
        <v>-0.40117440976853191</v>
      </c>
      <c r="P59" s="422"/>
      <c r="V59" s="317"/>
      <c r="W59" s="311"/>
      <c r="X59" s="319"/>
      <c r="Y59" s="319"/>
      <c r="Z59" s="319"/>
      <c r="AA59" s="319"/>
      <c r="AB59" s="319"/>
      <c r="AC59" s="319"/>
      <c r="AD59" s="319"/>
      <c r="AE59" s="319"/>
    </row>
    <row r="60" spans="3:31" ht="3" customHeight="1">
      <c r="C60" s="419"/>
      <c r="H60" s="541"/>
      <c r="I60" s="541"/>
      <c r="J60" s="541"/>
      <c r="K60" s="541"/>
      <c r="L60" s="541"/>
      <c r="M60" s="541"/>
      <c r="N60" s="541"/>
      <c r="O60" s="541"/>
      <c r="P60" s="420"/>
      <c r="X60" s="319"/>
      <c r="Y60" s="319"/>
      <c r="Z60" s="319"/>
      <c r="AA60" s="319"/>
      <c r="AB60" s="319"/>
      <c r="AC60" s="319"/>
      <c r="AD60" s="319"/>
      <c r="AE60" s="319"/>
    </row>
    <row r="61" spans="3:31" ht="3" customHeight="1">
      <c r="C61" s="419"/>
      <c r="H61" s="539"/>
      <c r="I61" s="539"/>
      <c r="J61" s="539"/>
      <c r="K61" s="539"/>
      <c r="L61" s="539"/>
      <c r="M61" s="539"/>
      <c r="N61" s="539"/>
      <c r="O61" s="539"/>
      <c r="P61" s="420"/>
      <c r="X61" s="319"/>
      <c r="Y61" s="319"/>
      <c r="Z61" s="319"/>
      <c r="AA61" s="319"/>
      <c r="AB61" s="319"/>
      <c r="AC61" s="319"/>
      <c r="AD61" s="319"/>
      <c r="AE61" s="319"/>
    </row>
    <row r="62" spans="3:31">
      <c r="C62" s="419"/>
      <c r="E62" s="300" t="s">
        <v>8</v>
      </c>
      <c r="F62" s="406"/>
      <c r="H62" s="538">
        <v>14.099999999999962</v>
      </c>
      <c r="I62" s="538">
        <v>23.700000000000035</v>
      </c>
      <c r="J62" s="538">
        <v>2.1999999999999651</v>
      </c>
      <c r="K62" s="538">
        <v>21.230708371735837</v>
      </c>
      <c r="L62" s="538">
        <v>4.0836963536990574</v>
      </c>
      <c r="M62" s="538">
        <v>26.465181422846875</v>
      </c>
      <c r="N62" s="538">
        <v>19.699260828035641</v>
      </c>
      <c r="O62" s="538">
        <v>5.1079044100805824</v>
      </c>
      <c r="P62" s="421"/>
      <c r="W62" s="311"/>
      <c r="X62" s="319"/>
      <c r="Y62" s="319"/>
      <c r="Z62" s="319"/>
      <c r="AA62" s="319"/>
      <c r="AB62" s="319"/>
      <c r="AC62" s="319"/>
      <c r="AD62" s="319"/>
      <c r="AE62" s="319"/>
    </row>
    <row r="63" spans="3:31" ht="13">
      <c r="C63" s="419"/>
      <c r="E63" s="313" t="s">
        <v>151</v>
      </c>
      <c r="F63" s="314"/>
      <c r="G63" s="313"/>
      <c r="H63" s="540">
        <v>6.604215456674456E-2</v>
      </c>
      <c r="I63" s="540">
        <v>0.10016906170752338</v>
      </c>
      <c r="J63" s="540">
        <v>1.074218749999983E-2</v>
      </c>
      <c r="K63" s="540">
        <v>8.904952814582727E-2</v>
      </c>
      <c r="L63" s="540">
        <v>1.8547857475507423E-2</v>
      </c>
      <c r="M63" s="540">
        <v>0.10077806782600589</v>
      </c>
      <c r="N63" s="540">
        <v>7.5784986547384914E-2</v>
      </c>
      <c r="O63" s="540">
        <v>2.0876710714703692E-2</v>
      </c>
      <c r="P63" s="421"/>
      <c r="W63" s="311"/>
      <c r="X63" s="319"/>
      <c r="Y63" s="319"/>
      <c r="Z63" s="319"/>
      <c r="AA63" s="319"/>
      <c r="AB63" s="319"/>
      <c r="AC63" s="319"/>
      <c r="AD63" s="319"/>
      <c r="AE63" s="319"/>
    </row>
    <row r="64" spans="3:31" ht="13">
      <c r="C64" s="419"/>
      <c r="E64" s="313" t="s">
        <v>150</v>
      </c>
      <c r="F64" s="314"/>
      <c r="G64" s="313"/>
      <c r="H64" s="542"/>
      <c r="I64" s="540">
        <v>0.68085106382979421</v>
      </c>
      <c r="J64" s="540">
        <v>-0.9071729957805923</v>
      </c>
      <c r="K64" s="540">
        <v>8.6503219871528056</v>
      </c>
      <c r="L64" s="540">
        <v>-0.80765143196372913</v>
      </c>
      <c r="M64" s="540">
        <v>5.480692767197155</v>
      </c>
      <c r="N64" s="540">
        <v>-0.25565366383509269</v>
      </c>
      <c r="O64" s="540">
        <v>-0.74070578309156132</v>
      </c>
      <c r="P64" s="421"/>
      <c r="W64" s="311"/>
      <c r="X64" s="319"/>
      <c r="Y64" s="319"/>
      <c r="Z64" s="319"/>
      <c r="AA64" s="319"/>
      <c r="AB64" s="319"/>
      <c r="AC64" s="319"/>
      <c r="AD64" s="319"/>
      <c r="AE64" s="319"/>
    </row>
    <row r="65" spans="2:31" ht="4" customHeight="1">
      <c r="C65" s="423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6"/>
      <c r="X65" s="319"/>
      <c r="Y65" s="319"/>
      <c r="Z65" s="319"/>
      <c r="AA65" s="319"/>
      <c r="AB65" s="319"/>
      <c r="AC65" s="319"/>
      <c r="AD65" s="319"/>
      <c r="AE65" s="319"/>
    </row>
    <row r="66" spans="2:31" ht="12" customHeight="1">
      <c r="B66" s="306"/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X66" s="319"/>
      <c r="Y66" s="319"/>
      <c r="Z66" s="319"/>
      <c r="AA66" s="319"/>
      <c r="AB66" s="319"/>
      <c r="AC66" s="319"/>
      <c r="AD66" s="319"/>
      <c r="AE66" s="319"/>
    </row>
  </sheetData>
  <printOptions horizontalCentered="1"/>
  <pageMargins left="0.25" right="0.25" top="0.35" bottom="0.5" header="0.25" footer="0.25"/>
  <pageSetup scale="85" orientation="landscape" r:id="rId1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6432E141-2854-439F-993C-6CC4FD658F77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Summary!H16:O16</xm:f>
              <xm:sqref>F16</xm:sqref>
            </x14:sparkline>
          </x14:sparklines>
        </x14:sparklineGroup>
        <x14:sparklineGroup lineWeight="1" displayEmptyCellsAs="gap" high="1" low="1" xr2:uid="{B52FA5C1-8ABD-4858-952B-1FE363D8F282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Summary!H12:O12</xm:f>
              <xm:sqref>F12</xm:sqref>
            </x14:sparkline>
          </x14:sparklines>
        </x14:sparklineGroup>
        <x14:sparklineGroup lineWeight="1" displayEmptyCellsAs="gap" high="1" low="1" xr2:uid="{7C576C4A-CC28-42C3-BB62-0E794D368835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Summary!H21:O21</xm:f>
              <xm:sqref>F21</xm:sqref>
            </x14:sparkline>
          </x14:sparklines>
        </x14:sparklineGroup>
        <x14:sparklineGroup lineWeight="1" displayEmptyCellsAs="gap" high="1" low="1" xr2:uid="{922AC61D-B8DA-48C6-B9FA-F462165B173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Summary!H33:O33</xm:f>
              <xm:sqref>F33</xm:sqref>
            </x14:sparkline>
          </x14:sparklines>
        </x14:sparklineGroup>
        <x14:sparklineGroup lineWeight="1" displayEmptyCellsAs="gap" high="1" low="1" xr2:uid="{64F1AC68-22C1-494C-8DB9-8B7DE5149FD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Summary!H37:O37</xm:f>
              <xm:sqref>F37</xm:sqref>
            </x14:sparkline>
          </x14:sparklines>
        </x14:sparklineGroup>
        <x14:sparklineGroup lineWeight="1" displayEmptyCellsAs="gap" high="1" low="1" xr2:uid="{AD712293-37A1-4BBB-9B0B-D14D90E896D3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Summary!H42:O42</xm:f>
              <xm:sqref>F42</xm:sqref>
            </x14:sparkline>
          </x14:sparklines>
        </x14:sparklineGroup>
        <x14:sparklineGroup lineWeight="1" displayEmptyCellsAs="gap" high="1" low="1" xr2:uid="{210DCF42-6BB4-4817-B593-1DB3DE3EEC14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Summary!H53:O53</xm:f>
              <xm:sqref>F53</xm:sqref>
            </x14:sparkline>
          </x14:sparklines>
        </x14:sparklineGroup>
        <x14:sparklineGroup lineWeight="1" displayEmptyCellsAs="gap" high="1" low="1" xr2:uid="{EDAF874D-F657-491B-9B83-DF36A749AF6C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Summary!H57:O57</xm:f>
              <xm:sqref>F57</xm:sqref>
            </x14:sparkline>
          </x14:sparklines>
        </x14:sparklineGroup>
        <x14:sparklineGroup lineWeight="1" displayEmptyCellsAs="gap" high="1" low="1" xr2:uid="{4924D4C9-984C-4594-998A-20C6D0FE1C6A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Summary!H62:O62</xm:f>
              <xm:sqref>F62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1:Q78"/>
  <sheetViews>
    <sheetView showGridLines="0" zoomScaleNormal="100" zoomScaleSheetLayoutView="100" workbookViewId="0">
      <selection activeCell="S20" sqref="S20"/>
    </sheetView>
  </sheetViews>
  <sheetFormatPr defaultColWidth="8.81640625" defaultRowHeight="12.5"/>
  <cols>
    <col min="1" max="1" width="2.54296875" customWidth="1"/>
    <col min="2" max="2" width="5.54296875" customWidth="1"/>
    <col min="3" max="3" width="2.1796875" customWidth="1"/>
    <col min="4" max="4" width="13.453125" customWidth="1"/>
    <col min="5" max="14" width="10.453125" customWidth="1"/>
    <col min="15" max="15" width="5.54296875" customWidth="1"/>
  </cols>
  <sheetData>
    <row r="1" spans="2:17" ht="22.5" customHeight="1">
      <c r="B1" s="1" t="str">
        <f>Cover!B4</f>
        <v>Green Containers Company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7" ht="18.75" customHeight="1">
      <c r="B2" s="4" t="s">
        <v>107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7" ht="3" customHeight="1" thickBot="1">
      <c r="B3" s="376"/>
      <c r="C3" s="376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</row>
    <row r="4" spans="2:17" ht="12" customHeight="1"/>
    <row r="5" spans="2:17" ht="16" customHeight="1">
      <c r="C5" s="385" t="s">
        <v>80</v>
      </c>
      <c r="D5" s="386"/>
      <c r="E5" s="386"/>
      <c r="F5" s="386"/>
      <c r="G5" s="386"/>
      <c r="H5" s="387"/>
      <c r="J5" s="385" t="s">
        <v>119</v>
      </c>
      <c r="K5" s="386"/>
      <c r="L5" s="386"/>
      <c r="M5" s="386"/>
      <c r="N5" s="387"/>
    </row>
    <row r="6" spans="2:17" ht="3" customHeight="1">
      <c r="C6" s="395"/>
      <c r="D6" s="396"/>
      <c r="E6" s="396"/>
      <c r="F6" s="396"/>
      <c r="G6" s="396"/>
      <c r="H6" s="397"/>
      <c r="J6" s="395"/>
      <c r="K6" s="396"/>
      <c r="L6" s="396"/>
      <c r="M6" s="396"/>
      <c r="N6" s="397"/>
    </row>
    <row r="7" spans="2:17" ht="3" customHeight="1">
      <c r="C7" s="403"/>
      <c r="D7" s="404"/>
      <c r="E7" s="404"/>
      <c r="F7" s="404"/>
      <c r="G7" s="404"/>
      <c r="H7" s="405"/>
      <c r="J7" s="403"/>
      <c r="K7" s="404"/>
      <c r="L7" s="404"/>
      <c r="M7" s="404"/>
      <c r="N7" s="405"/>
    </row>
    <row r="8" spans="2:17" ht="14.15" customHeight="1">
      <c r="C8" s="331" t="s">
        <v>79</v>
      </c>
      <c r="D8" s="19" t="s">
        <v>144</v>
      </c>
      <c r="G8" s="435">
        <v>2023</v>
      </c>
      <c r="H8" s="332"/>
      <c r="J8" s="337" t="str">
        <f ca="1">"Stock Price - "&amp;TEXT(TODAY()-1,"mm/dd/yy")</f>
        <v>Stock Price - 10/01/24</v>
      </c>
      <c r="K8" s="7"/>
      <c r="M8" s="8"/>
      <c r="N8" s="436">
        <v>11.5</v>
      </c>
      <c r="Q8" s="9"/>
    </row>
    <row r="9" spans="2:17" ht="14.15" customHeight="1">
      <c r="C9" s="331" t="s">
        <v>79</v>
      </c>
      <c r="D9" s="10" t="s">
        <v>168</v>
      </c>
      <c r="H9" s="332"/>
      <c r="J9" s="337" t="str">
        <f>"Fully Diluted Shares O/S (MM) - Dec. 31, "&amp;G8-1</f>
        <v>Fully Diluted Shares O/S (MM) - Dec. 31, 2022</v>
      </c>
      <c r="N9" s="437">
        <v>14.8</v>
      </c>
    </row>
    <row r="10" spans="2:17" ht="14.15" customHeight="1">
      <c r="C10" s="333"/>
      <c r="D10" s="334" t="s">
        <v>129</v>
      </c>
      <c r="E10" s="335"/>
      <c r="F10" s="335"/>
      <c r="G10" s="335"/>
      <c r="H10" s="336"/>
      <c r="J10" s="338" t="s">
        <v>120</v>
      </c>
      <c r="K10" s="335"/>
      <c r="L10" s="335"/>
      <c r="M10" s="339"/>
      <c r="N10" s="438">
        <v>0.2</v>
      </c>
    </row>
    <row r="11" spans="2:17" ht="14.15" customHeight="1">
      <c r="M11" s="8"/>
      <c r="N11" s="330"/>
    </row>
    <row r="12" spans="2:17" ht="6" customHeight="1">
      <c r="M12" s="8"/>
      <c r="N12" s="330"/>
    </row>
    <row r="13" spans="2:17" s="13" customFormat="1" ht="16" customHeight="1">
      <c r="C13" s="385" t="s">
        <v>81</v>
      </c>
      <c r="D13" s="386"/>
      <c r="E13" s="386"/>
      <c r="F13" s="386"/>
      <c r="G13" s="386"/>
      <c r="H13" s="387"/>
      <c r="J13" s="385" t="s">
        <v>82</v>
      </c>
      <c r="K13" s="386"/>
      <c r="L13" s="386"/>
      <c r="M13" s="386"/>
      <c r="N13" s="387"/>
    </row>
    <row r="14" spans="2:17" s="13" customFormat="1" ht="3" customHeight="1">
      <c r="C14" s="395"/>
      <c r="D14" s="396"/>
      <c r="E14" s="396"/>
      <c r="F14" s="396"/>
      <c r="G14" s="396"/>
      <c r="H14" s="397"/>
      <c r="J14" s="395"/>
      <c r="K14" s="396"/>
      <c r="L14" s="396"/>
      <c r="M14" s="396"/>
      <c r="N14" s="397"/>
    </row>
    <row r="15" spans="2:17" s="13" customFormat="1" ht="3" customHeight="1">
      <c r="C15" s="403"/>
      <c r="D15" s="404"/>
      <c r="E15" s="404"/>
      <c r="F15" s="404"/>
      <c r="G15" s="404"/>
      <c r="H15" s="405"/>
      <c r="J15" s="403"/>
      <c r="K15" s="404"/>
      <c r="L15" s="404"/>
      <c r="M15" s="404"/>
      <c r="N15" s="405"/>
    </row>
    <row r="16" spans="2:17" ht="14.15" customHeight="1">
      <c r="C16" s="331" t="s">
        <v>79</v>
      </c>
      <c r="D16" s="10" t="s">
        <v>78</v>
      </c>
      <c r="H16" s="332"/>
      <c r="J16" s="337"/>
      <c r="N16" s="332"/>
    </row>
    <row r="17" spans="3:14" ht="14.15" customHeight="1">
      <c r="C17" s="341" t="s">
        <v>0</v>
      </c>
      <c r="D17" s="14"/>
      <c r="E17" s="15" t="str">
        <f>Scenarios!G6&amp;" - "&amp;Scenarios!K6</f>
        <v>2023 - 2027</v>
      </c>
      <c r="F17" s="16"/>
      <c r="G17" s="15"/>
      <c r="H17" s="342"/>
      <c r="J17" s="340" t="s">
        <v>187</v>
      </c>
      <c r="N17" s="444">
        <v>420</v>
      </c>
    </row>
    <row r="18" spans="3:14" s="17" customFormat="1" ht="15.5">
      <c r="C18" s="343" t="s">
        <v>58</v>
      </c>
      <c r="D18"/>
      <c r="E18" s="3" t="s">
        <v>140</v>
      </c>
      <c r="F18" s="3"/>
      <c r="G18" s="3"/>
      <c r="H18" s="344"/>
      <c r="I18" s="18"/>
      <c r="J18" s="337"/>
      <c r="K18"/>
      <c r="L18"/>
      <c r="M18"/>
      <c r="N18" s="332"/>
    </row>
    <row r="19" spans="3:14" ht="14.15" customHeight="1">
      <c r="C19" s="343" t="s">
        <v>59</v>
      </c>
      <c r="F19" s="439">
        <v>0.04</v>
      </c>
      <c r="G19" s="3"/>
      <c r="H19" s="344" t="s">
        <v>141</v>
      </c>
      <c r="I19" s="19"/>
      <c r="J19" s="337"/>
      <c r="N19" s="332"/>
    </row>
    <row r="20" spans="3:14" ht="15.65" customHeight="1">
      <c r="C20" s="345" t="s">
        <v>60</v>
      </c>
      <c r="D20" s="335"/>
      <c r="E20" s="335"/>
      <c r="F20" s="440">
        <v>-0.04</v>
      </c>
      <c r="G20" s="346"/>
      <c r="H20" s="347" t="s">
        <v>141</v>
      </c>
      <c r="I20" s="19"/>
      <c r="J20" s="338"/>
      <c r="K20" s="335"/>
      <c r="L20" s="335"/>
      <c r="M20" s="335"/>
      <c r="N20" s="336"/>
    </row>
    <row r="21" spans="3:14" ht="14.15" customHeight="1">
      <c r="I21" s="19"/>
    </row>
    <row r="22" spans="3:14" ht="6" customHeight="1">
      <c r="I22" s="19"/>
    </row>
    <row r="23" spans="3:14" s="13" customFormat="1" ht="16" customHeight="1">
      <c r="C23" s="385" t="s">
        <v>84</v>
      </c>
      <c r="D23" s="386"/>
      <c r="E23" s="386"/>
      <c r="F23" s="386"/>
      <c r="G23" s="386"/>
      <c r="H23" s="387"/>
      <c r="J23" s="385" t="s">
        <v>184</v>
      </c>
      <c r="K23" s="386"/>
      <c r="L23" s="386"/>
      <c r="M23" s="386"/>
      <c r="N23" s="387"/>
    </row>
    <row r="24" spans="3:14" ht="3" customHeight="1">
      <c r="C24" s="395"/>
      <c r="D24" s="396"/>
      <c r="E24" s="396"/>
      <c r="F24" s="396"/>
      <c r="G24" s="396"/>
      <c r="H24" s="397"/>
      <c r="J24" s="395"/>
      <c r="K24" s="396"/>
      <c r="L24" s="396"/>
      <c r="M24" s="396"/>
      <c r="N24" s="397"/>
    </row>
    <row r="25" spans="3:14" ht="3" customHeight="1">
      <c r="C25" s="403"/>
      <c r="D25" s="404"/>
      <c r="E25" s="404"/>
      <c r="F25" s="404"/>
      <c r="G25" s="404"/>
      <c r="H25" s="405"/>
      <c r="J25" s="403"/>
      <c r="K25" s="404"/>
      <c r="L25" s="404"/>
      <c r="M25" s="404"/>
      <c r="N25" s="405"/>
    </row>
    <row r="26" spans="3:14" ht="15.65" customHeight="1">
      <c r="C26" s="341" t="s">
        <v>85</v>
      </c>
      <c r="D26" s="10"/>
      <c r="E26" s="21">
        <f>G8</f>
        <v>2023</v>
      </c>
      <c r="G26" s="21" t="s">
        <v>87</v>
      </c>
      <c r="H26" s="332"/>
      <c r="J26" s="350"/>
      <c r="N26" s="332"/>
    </row>
    <row r="27" spans="3:14" ht="14.15" customHeight="1">
      <c r="C27" s="348" t="s">
        <v>86</v>
      </c>
      <c r="D27" s="10"/>
      <c r="E27" s="441">
        <v>226</v>
      </c>
      <c r="F27" t="s">
        <v>145</v>
      </c>
      <c r="G27" t="s">
        <v>88</v>
      </c>
      <c r="H27" s="332"/>
      <c r="J27" s="351" t="s">
        <v>193</v>
      </c>
      <c r="M27" s="23"/>
      <c r="N27" s="443">
        <v>0.01</v>
      </c>
    </row>
    <row r="28" spans="3:14" ht="14.15" customHeight="1">
      <c r="C28" s="348" t="s">
        <v>153</v>
      </c>
      <c r="D28" s="10"/>
      <c r="E28" s="441">
        <v>66.2</v>
      </c>
      <c r="F28" t="s">
        <v>145</v>
      </c>
      <c r="G28" t="s">
        <v>88</v>
      </c>
      <c r="H28" s="332"/>
      <c r="J28" s="352" t="s">
        <v>190</v>
      </c>
      <c r="N28" s="443">
        <v>0.06</v>
      </c>
    </row>
    <row r="29" spans="3:14" ht="14.15" customHeight="1">
      <c r="C29" s="348" t="s">
        <v>154</v>
      </c>
      <c r="D29" s="19"/>
      <c r="E29" s="441">
        <v>23.5</v>
      </c>
      <c r="F29" t="s">
        <v>146</v>
      </c>
      <c r="G29" t="s">
        <v>192</v>
      </c>
      <c r="H29" s="332"/>
      <c r="J29" s="352" t="s">
        <v>191</v>
      </c>
      <c r="N29" s="443">
        <v>0.06</v>
      </c>
    </row>
    <row r="30" spans="3:14" ht="15.65" customHeight="1">
      <c r="C30" s="348" t="s">
        <v>53</v>
      </c>
      <c r="D30" s="19"/>
      <c r="E30" s="441">
        <v>43.5</v>
      </c>
      <c r="F30" t="s">
        <v>146</v>
      </c>
      <c r="G30" t="s">
        <v>192</v>
      </c>
      <c r="H30" s="332"/>
      <c r="J30" s="337"/>
      <c r="N30" s="332"/>
    </row>
    <row r="31" spans="3:14" ht="14.15" customHeight="1">
      <c r="C31" s="348" t="s">
        <v>10</v>
      </c>
      <c r="D31" s="19"/>
      <c r="E31" s="441">
        <v>2</v>
      </c>
      <c r="F31" t="s">
        <v>146</v>
      </c>
      <c r="G31" t="s">
        <v>192</v>
      </c>
      <c r="H31" s="332"/>
      <c r="J31" s="337"/>
      <c r="N31" s="332"/>
    </row>
    <row r="32" spans="3:14" ht="15.65" customHeight="1">
      <c r="C32" s="349" t="s">
        <v>89</v>
      </c>
      <c r="D32" s="334"/>
      <c r="E32" s="442">
        <v>3.9</v>
      </c>
      <c r="F32" s="335" t="s">
        <v>146</v>
      </c>
      <c r="G32" s="335" t="s">
        <v>192</v>
      </c>
      <c r="H32" s="336"/>
      <c r="J32" s="338"/>
      <c r="K32" s="335"/>
      <c r="L32" s="335"/>
      <c r="M32" s="335"/>
      <c r="N32" s="336"/>
    </row>
    <row r="33" spans="2:17" ht="14.15" customHeight="1"/>
    <row r="34" spans="2:17" ht="6" customHeight="1"/>
    <row r="35" spans="2:17" s="13" customFormat="1" ht="16" customHeight="1">
      <c r="C35" s="385" t="s">
        <v>90</v>
      </c>
      <c r="D35" s="388"/>
      <c r="E35" s="388"/>
      <c r="F35" s="388"/>
      <c r="G35" s="388"/>
      <c r="H35" s="389"/>
      <c r="J35" s="385" t="s">
        <v>83</v>
      </c>
      <c r="K35" s="388"/>
      <c r="L35" s="388"/>
      <c r="M35" s="388"/>
      <c r="N35" s="389"/>
    </row>
    <row r="36" spans="2:17" ht="3" customHeight="1">
      <c r="C36" s="395"/>
      <c r="D36" s="396"/>
      <c r="E36" s="396"/>
      <c r="F36" s="396"/>
      <c r="G36" s="396"/>
      <c r="H36" s="397"/>
      <c r="J36" s="395"/>
      <c r="K36" s="396"/>
      <c r="L36" s="396"/>
      <c r="M36" s="396"/>
      <c r="N36" s="397"/>
    </row>
    <row r="37" spans="2:17" ht="3" customHeight="1">
      <c r="C37" s="403"/>
      <c r="D37" s="404"/>
      <c r="E37" s="404"/>
      <c r="F37" s="404"/>
      <c r="G37" s="404"/>
      <c r="H37" s="405"/>
      <c r="J37" s="403"/>
      <c r="K37" s="404"/>
      <c r="L37" s="404"/>
      <c r="M37" s="404"/>
      <c r="N37" s="405"/>
    </row>
    <row r="38" spans="2:17" ht="14.15" customHeight="1">
      <c r="C38" s="331" t="s">
        <v>79</v>
      </c>
      <c r="D38" s="10" t="s">
        <v>155</v>
      </c>
      <c r="H38" s="355" t="s">
        <v>91</v>
      </c>
      <c r="J38" s="337"/>
      <c r="N38" s="332"/>
    </row>
    <row r="39" spans="2:17" ht="14.15" customHeight="1">
      <c r="C39" s="331" t="s">
        <v>79</v>
      </c>
      <c r="D39" s="24" t="s">
        <v>156</v>
      </c>
      <c r="H39" s="446">
        <v>25</v>
      </c>
      <c r="J39" s="340" t="s">
        <v>188</v>
      </c>
      <c r="N39" s="445">
        <v>0.35</v>
      </c>
    </row>
    <row r="40" spans="2:17" ht="14.15" customHeight="1">
      <c r="C40" s="333" t="s">
        <v>79</v>
      </c>
      <c r="D40" s="356" t="s">
        <v>157</v>
      </c>
      <c r="E40" s="335"/>
      <c r="F40" s="335"/>
      <c r="G40" s="335"/>
      <c r="H40" s="447">
        <v>30</v>
      </c>
      <c r="J40" s="353" t="s">
        <v>189</v>
      </c>
      <c r="K40" s="335"/>
      <c r="L40" s="335"/>
      <c r="M40" s="335"/>
      <c r="N40" s="354"/>
    </row>
    <row r="41" spans="2:17" ht="15" customHeight="1">
      <c r="B41" s="11"/>
      <c r="C41" s="11"/>
      <c r="D41" s="25"/>
      <c r="E41" s="20"/>
      <c r="F41" s="20"/>
      <c r="G41" s="20"/>
      <c r="H41" s="20"/>
      <c r="I41" s="11"/>
      <c r="J41" s="11"/>
      <c r="K41" s="11"/>
      <c r="L41" s="11"/>
      <c r="M41" s="11"/>
      <c r="N41" s="11"/>
      <c r="O41" s="11"/>
    </row>
    <row r="42" spans="2:17" ht="14.15" customHeight="1">
      <c r="C42" s="26"/>
      <c r="D42" s="24"/>
      <c r="H42" s="27"/>
    </row>
    <row r="43" spans="2:17" ht="14.15" customHeight="1">
      <c r="C43" s="26"/>
      <c r="J43" s="28"/>
    </row>
    <row r="44" spans="2:17" ht="22.5" customHeight="1">
      <c r="B44" s="1" t="str">
        <f>Summary!B1</f>
        <v>Green Containers Company</v>
      </c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7" ht="18.75" customHeight="1">
      <c r="B45" s="4" t="s">
        <v>107</v>
      </c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7" ht="3" customHeight="1" thickBot="1">
      <c r="B46" s="376"/>
      <c r="C46" s="376"/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77"/>
      <c r="O46" s="377"/>
    </row>
    <row r="47" spans="2:17" ht="12" customHeight="1">
      <c r="C47" s="26"/>
      <c r="J47" s="28"/>
    </row>
    <row r="48" spans="2:17" s="13" customFormat="1" ht="16" customHeight="1">
      <c r="C48" s="385" t="s">
        <v>158</v>
      </c>
      <c r="D48" s="388"/>
      <c r="E48" s="388"/>
      <c r="F48" s="388"/>
      <c r="G48" s="388"/>
      <c r="H48" s="388"/>
      <c r="I48" s="388"/>
      <c r="J48" s="398">
        <f>G8</f>
        <v>2023</v>
      </c>
      <c r="K48" s="398">
        <f>J48+1</f>
        <v>2024</v>
      </c>
      <c r="L48" s="398">
        <f>K48+1</f>
        <v>2025</v>
      </c>
      <c r="M48" s="398">
        <f>L48+1</f>
        <v>2026</v>
      </c>
      <c r="N48" s="390">
        <f>M48+1</f>
        <v>2027</v>
      </c>
      <c r="Q48" s="357"/>
    </row>
    <row r="49" spans="3:17" s="13" customFormat="1" ht="3" customHeight="1">
      <c r="C49" s="395"/>
      <c r="D49" s="396"/>
      <c r="E49" s="396"/>
      <c r="F49" s="396"/>
      <c r="G49" s="396"/>
      <c r="H49" s="397"/>
      <c r="I49" s="397"/>
      <c r="J49" s="397"/>
      <c r="K49" s="397"/>
      <c r="L49" s="397"/>
      <c r="M49" s="397"/>
      <c r="N49" s="397"/>
      <c r="Q49" s="357"/>
    </row>
    <row r="50" spans="3:17" s="13" customFormat="1" ht="3" customHeight="1">
      <c r="C50" s="403"/>
      <c r="D50" s="404"/>
      <c r="E50" s="404"/>
      <c r="F50" s="404"/>
      <c r="G50" s="404"/>
      <c r="H50" s="404"/>
      <c r="I50" s="404"/>
      <c r="J50" s="404"/>
      <c r="K50" s="404"/>
      <c r="L50" s="404"/>
      <c r="M50" s="404"/>
      <c r="N50" s="405"/>
      <c r="Q50" s="357"/>
    </row>
    <row r="51" spans="3:17" ht="8.15" customHeight="1">
      <c r="C51" s="337"/>
      <c r="L51" s="28"/>
      <c r="N51" s="332"/>
    </row>
    <row r="52" spans="3:17" ht="14.15" customHeight="1">
      <c r="C52" s="358" t="s">
        <v>37</v>
      </c>
      <c r="J52" s="31"/>
      <c r="K52" s="31"/>
      <c r="L52" s="31"/>
      <c r="M52" s="31"/>
      <c r="N52" s="359"/>
      <c r="Q52" s="29"/>
    </row>
    <row r="53" spans="3:17" ht="14.15" customHeight="1">
      <c r="C53" s="358"/>
      <c r="D53" t="s">
        <v>163</v>
      </c>
      <c r="G53" t="s">
        <v>146</v>
      </c>
      <c r="J53" s="31">
        <v>0</v>
      </c>
      <c r="K53" s="31">
        <v>0</v>
      </c>
      <c r="L53" s="31">
        <v>0</v>
      </c>
      <c r="M53" s="31">
        <v>0</v>
      </c>
      <c r="N53" s="359">
        <v>0</v>
      </c>
    </row>
    <row r="54" spans="3:17" ht="6" customHeight="1">
      <c r="C54" s="337"/>
      <c r="L54" s="28"/>
      <c r="N54" s="332"/>
    </row>
    <row r="55" spans="3:17" ht="14.15" customHeight="1">
      <c r="C55" s="358" t="s">
        <v>47</v>
      </c>
      <c r="J55" s="31"/>
      <c r="K55" s="31"/>
      <c r="L55" s="31"/>
      <c r="M55" s="31"/>
      <c r="N55" s="359"/>
      <c r="Q55" s="29"/>
    </row>
    <row r="56" spans="3:17" ht="14.15" customHeight="1">
      <c r="C56" s="358"/>
      <c r="D56" t="s">
        <v>164</v>
      </c>
      <c r="G56" t="s">
        <v>146</v>
      </c>
      <c r="J56" s="31">
        <v>0</v>
      </c>
      <c r="K56" s="31">
        <v>0</v>
      </c>
      <c r="L56" s="31">
        <v>0</v>
      </c>
      <c r="M56" s="31">
        <v>0</v>
      </c>
      <c r="N56" s="359">
        <v>0</v>
      </c>
    </row>
    <row r="57" spans="3:17" ht="6" customHeight="1">
      <c r="C57" s="337"/>
      <c r="L57" s="28"/>
      <c r="N57" s="332"/>
    </row>
    <row r="58" spans="3:17" ht="14.15" customHeight="1">
      <c r="C58" s="358" t="s">
        <v>101</v>
      </c>
      <c r="G58" t="s">
        <v>146</v>
      </c>
      <c r="J58" s="31">
        <v>16</v>
      </c>
      <c r="K58" s="31">
        <v>17</v>
      </c>
      <c r="L58" s="31">
        <v>17.3</v>
      </c>
      <c r="M58" s="31">
        <v>17.5</v>
      </c>
      <c r="N58" s="359">
        <v>18</v>
      </c>
      <c r="Q58" s="29"/>
    </row>
    <row r="59" spans="3:17" ht="6" customHeight="1">
      <c r="C59" s="337"/>
      <c r="L59" s="28"/>
      <c r="N59" s="332"/>
    </row>
    <row r="60" spans="3:17" ht="14.25" customHeight="1">
      <c r="C60" s="358" t="s">
        <v>174</v>
      </c>
      <c r="L60" s="28"/>
      <c r="N60" s="332"/>
    </row>
    <row r="61" spans="3:17" ht="14.25" customHeight="1">
      <c r="C61" s="337"/>
      <c r="D61" t="s">
        <v>178</v>
      </c>
      <c r="G61" t="s">
        <v>146</v>
      </c>
      <c r="J61" s="31">
        <v>5</v>
      </c>
      <c r="K61" s="31">
        <v>5</v>
      </c>
      <c r="L61" s="31">
        <v>5</v>
      </c>
      <c r="M61" s="31">
        <v>5</v>
      </c>
      <c r="N61" s="359">
        <v>5</v>
      </c>
    </row>
    <row r="62" spans="3:17" ht="6" customHeight="1">
      <c r="C62" s="337"/>
      <c r="L62" s="28"/>
      <c r="N62" s="332"/>
    </row>
    <row r="63" spans="3:17" ht="14.25" customHeight="1">
      <c r="C63" s="358" t="s">
        <v>159</v>
      </c>
      <c r="L63" s="28"/>
      <c r="N63" s="332"/>
    </row>
    <row r="64" spans="3:17" ht="14.15" customHeight="1">
      <c r="C64" s="337"/>
      <c r="D64" t="s">
        <v>14</v>
      </c>
      <c r="G64" t="s">
        <v>160</v>
      </c>
      <c r="J64" s="448">
        <v>48</v>
      </c>
      <c r="K64" s="448">
        <v>44</v>
      </c>
      <c r="L64" s="448">
        <v>40</v>
      </c>
      <c r="M64" s="448">
        <v>40</v>
      </c>
      <c r="N64" s="449">
        <v>40</v>
      </c>
    </row>
    <row r="65" spans="2:15" ht="14.15" customHeight="1">
      <c r="C65" s="350"/>
      <c r="D65" t="s">
        <v>28</v>
      </c>
      <c r="G65" t="s">
        <v>160</v>
      </c>
      <c r="J65" s="448">
        <v>70</v>
      </c>
      <c r="K65" s="448">
        <v>65</v>
      </c>
      <c r="L65" s="448">
        <v>60</v>
      </c>
      <c r="M65" s="448">
        <v>60</v>
      </c>
      <c r="N65" s="449">
        <v>55</v>
      </c>
    </row>
    <row r="66" spans="2:15" ht="14.15" customHeight="1">
      <c r="C66" s="350"/>
      <c r="D66" t="s">
        <v>165</v>
      </c>
      <c r="G66" t="s">
        <v>160</v>
      </c>
      <c r="J66" s="448">
        <v>30</v>
      </c>
      <c r="K66" s="448">
        <v>30</v>
      </c>
      <c r="L66" s="448">
        <v>30</v>
      </c>
      <c r="M66" s="448">
        <v>30</v>
      </c>
      <c r="N66" s="449">
        <v>30</v>
      </c>
    </row>
    <row r="67" spans="2:15" ht="14.15" customHeight="1">
      <c r="C67" s="350"/>
      <c r="D67" t="s">
        <v>166</v>
      </c>
      <c r="G67" t="s">
        <v>160</v>
      </c>
      <c r="J67" s="448">
        <v>3</v>
      </c>
      <c r="K67" s="448">
        <v>3</v>
      </c>
      <c r="L67" s="448">
        <v>3</v>
      </c>
      <c r="M67" s="448">
        <v>3</v>
      </c>
      <c r="N67" s="449">
        <v>3</v>
      </c>
    </row>
    <row r="68" spans="2:15" ht="14.15" customHeight="1">
      <c r="C68" s="331"/>
      <c r="D68" t="s">
        <v>20</v>
      </c>
      <c r="G68" t="s">
        <v>160</v>
      </c>
      <c r="J68" s="448">
        <v>40</v>
      </c>
      <c r="K68" s="448">
        <v>40</v>
      </c>
      <c r="L68" s="448">
        <v>40</v>
      </c>
      <c r="M68" s="448">
        <v>40</v>
      </c>
      <c r="N68" s="449">
        <v>40</v>
      </c>
    </row>
    <row r="69" spans="2:15" ht="14.15" customHeight="1">
      <c r="C69" s="331"/>
      <c r="D69" t="s">
        <v>167</v>
      </c>
      <c r="G69" t="s">
        <v>160</v>
      </c>
      <c r="J69" s="448">
        <v>10</v>
      </c>
      <c r="K69" s="448">
        <v>10</v>
      </c>
      <c r="L69" s="448">
        <v>10</v>
      </c>
      <c r="M69" s="448">
        <v>10</v>
      </c>
      <c r="N69" s="449">
        <v>10</v>
      </c>
    </row>
    <row r="70" spans="2:15" ht="6" customHeight="1">
      <c r="C70" s="331"/>
      <c r="N70" s="332"/>
    </row>
    <row r="71" spans="2:15" ht="14.15" customHeight="1">
      <c r="C71" s="360" t="s">
        <v>161</v>
      </c>
      <c r="N71" s="332"/>
    </row>
    <row r="72" spans="2:15" ht="14.15" customHeight="1">
      <c r="C72" s="348"/>
      <c r="D72" t="s">
        <v>186</v>
      </c>
      <c r="G72" t="s">
        <v>146</v>
      </c>
      <c r="J72" s="31">
        <v>-25</v>
      </c>
      <c r="K72" s="31">
        <v>-25</v>
      </c>
      <c r="L72" s="31">
        <v>-25</v>
      </c>
      <c r="M72" s="31">
        <v>-25</v>
      </c>
      <c r="N72" s="359">
        <v>-25</v>
      </c>
    </row>
    <row r="73" spans="2:15" ht="14.15" customHeight="1">
      <c r="C73" s="331"/>
      <c r="D73" t="s">
        <v>121</v>
      </c>
      <c r="G73" t="s">
        <v>146</v>
      </c>
      <c r="J73" s="31">
        <v>0</v>
      </c>
      <c r="K73" s="31">
        <v>0</v>
      </c>
      <c r="L73" s="31">
        <v>0</v>
      </c>
      <c r="M73" s="31">
        <v>0</v>
      </c>
      <c r="N73" s="359">
        <v>0</v>
      </c>
    </row>
    <row r="74" spans="2:15" ht="12" customHeight="1">
      <c r="C74" s="333"/>
      <c r="D74" s="335"/>
      <c r="E74" s="335"/>
      <c r="F74" s="335"/>
      <c r="G74" s="335"/>
      <c r="H74" s="335"/>
      <c r="I74" s="335"/>
      <c r="J74" s="361"/>
      <c r="K74" s="361"/>
      <c r="L74" s="361"/>
      <c r="M74" s="361"/>
      <c r="N74" s="362"/>
    </row>
    <row r="75" spans="2:15" ht="9" customHeight="1">
      <c r="B75" s="11"/>
      <c r="C75" s="11"/>
      <c r="D75" s="25"/>
      <c r="E75" s="20"/>
      <c r="F75" s="20"/>
      <c r="G75" s="20"/>
      <c r="H75" s="20"/>
      <c r="I75" s="11"/>
      <c r="J75" s="11"/>
      <c r="K75" s="11"/>
      <c r="L75" s="11"/>
      <c r="M75" s="11"/>
      <c r="N75" s="11"/>
      <c r="O75" s="11"/>
    </row>
    <row r="76" spans="2:15" ht="12.75" customHeight="1">
      <c r="D76" s="32"/>
      <c r="E76" s="3"/>
      <c r="F76" s="3"/>
      <c r="G76" s="3"/>
      <c r="H76" s="3"/>
    </row>
    <row r="77" spans="2:15">
      <c r="D77" s="28"/>
    </row>
    <row r="78" spans="2:15">
      <c r="D78" s="28"/>
    </row>
  </sheetData>
  <sheetProtection formatCells="0" formatColumns="0" formatRows="0" insertColumns="0" insertRows="0"/>
  <phoneticPr fontId="0" type="noConversion"/>
  <conditionalFormatting sqref="J349:N353">
    <cfRule type="cellIs" dxfId="1" priority="1" stopIfTrue="1" operator="greaterThan">
      <formula>330</formula>
    </cfRule>
  </conditionalFormatting>
  <printOptions horizontalCentered="1"/>
  <pageMargins left="0.25" right="0.25" top="0.35" bottom="0.5" header="0.25" footer="0.25"/>
  <pageSetup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M42"/>
  <sheetViews>
    <sheetView showGridLines="0" zoomScale="110" zoomScaleNormal="110" zoomScaleSheetLayoutView="100" workbookViewId="0">
      <selection activeCell="O26" sqref="O26"/>
    </sheetView>
  </sheetViews>
  <sheetFormatPr defaultColWidth="10.54296875" defaultRowHeight="12.5"/>
  <cols>
    <col min="1" max="1" width="4.26953125" style="36" bestFit="1" customWidth="1"/>
    <col min="2" max="2" width="1.54296875" style="36" customWidth="1"/>
    <col min="3" max="3" width="18.54296875" style="36" customWidth="1"/>
    <col min="4" max="4" width="11.54296875" style="57" customWidth="1"/>
    <col min="5" max="5" width="1.54296875" style="57" customWidth="1"/>
    <col min="6" max="6" width="6.7265625" style="36" customWidth="1"/>
    <col min="7" max="11" width="12.7265625" style="36" customWidth="1"/>
    <col min="12" max="12" width="13.54296875" style="36" customWidth="1"/>
    <col min="13" max="13" width="10.453125" style="36" customWidth="1"/>
    <col min="14" max="17" width="13.54296875" style="36" customWidth="1"/>
    <col min="18" max="16384" width="10.54296875" style="36"/>
  </cols>
  <sheetData>
    <row r="1" spans="1:11" s="33" customFormat="1" ht="22.75" customHeight="1">
      <c r="B1" s="34" t="str">
        <f>Assumptions!B1</f>
        <v>Green Containers Company</v>
      </c>
      <c r="C1" s="35"/>
      <c r="D1" s="35"/>
      <c r="E1" s="35"/>
      <c r="F1" s="35"/>
      <c r="G1" s="35"/>
      <c r="H1" s="35"/>
      <c r="I1" s="35"/>
      <c r="J1" s="35"/>
      <c r="K1" s="35"/>
    </row>
    <row r="2" spans="1:11" ht="18">
      <c r="B2" s="37" t="s">
        <v>194</v>
      </c>
      <c r="C2" s="37"/>
      <c r="D2" s="37"/>
      <c r="E2" s="37"/>
      <c r="F2" s="37"/>
      <c r="G2" s="37"/>
      <c r="H2" s="37"/>
      <c r="I2" s="37"/>
      <c r="J2" s="37"/>
      <c r="K2" s="37"/>
    </row>
    <row r="3" spans="1:11" ht="3" customHeight="1" thickBot="1">
      <c r="B3" s="374"/>
      <c r="C3" s="374"/>
      <c r="D3" s="375"/>
      <c r="E3" s="375"/>
      <c r="F3" s="374"/>
      <c r="G3" s="374"/>
      <c r="H3" s="374"/>
      <c r="I3" s="374"/>
      <c r="J3" s="374"/>
      <c r="K3" s="374"/>
    </row>
    <row r="4" spans="1:11" ht="12.75" customHeight="1">
      <c r="C4" s="38"/>
      <c r="D4" s="39"/>
      <c r="E4" s="39"/>
      <c r="F4" s="38"/>
    </row>
    <row r="5" spans="1:11" ht="6" customHeight="1">
      <c r="B5" s="40"/>
      <c r="C5" s="41"/>
      <c r="D5" s="42"/>
      <c r="E5" s="43"/>
      <c r="G5" s="44"/>
      <c r="H5" s="44"/>
      <c r="I5" s="44"/>
      <c r="J5" s="44"/>
      <c r="K5" s="44"/>
    </row>
    <row r="6" spans="1:11" ht="16.149999999999999" customHeight="1">
      <c r="B6" s="45" t="s">
        <v>99</v>
      </c>
      <c r="C6" s="46"/>
      <c r="D6" s="79">
        <v>1</v>
      </c>
      <c r="E6" s="47"/>
      <c r="F6" s="46"/>
      <c r="G6" s="367">
        <f>Assumptions!G8</f>
        <v>2023</v>
      </c>
      <c r="H6" s="367">
        <f>G6+1</f>
        <v>2024</v>
      </c>
      <c r="I6" s="367">
        <f>H6+1</f>
        <v>2025</v>
      </c>
      <c r="J6" s="367">
        <f>I6+1</f>
        <v>2026</v>
      </c>
      <c r="K6" s="367">
        <f>J6+1</f>
        <v>2027</v>
      </c>
    </row>
    <row r="7" spans="1:11" ht="6" customHeight="1">
      <c r="B7" s="49"/>
      <c r="C7" s="50"/>
      <c r="D7" s="51"/>
      <c r="E7" s="52"/>
      <c r="F7" s="46"/>
      <c r="G7" s="48"/>
      <c r="H7" s="48"/>
      <c r="I7" s="53"/>
      <c r="J7" s="53"/>
      <c r="K7" s="48"/>
    </row>
    <row r="8" spans="1:11" ht="13">
      <c r="B8" s="46"/>
      <c r="C8" s="46"/>
      <c r="D8" s="54"/>
      <c r="E8" s="54"/>
      <c r="F8" s="46"/>
      <c r="G8" s="48"/>
      <c r="H8" s="48"/>
      <c r="I8" s="53"/>
      <c r="J8" s="53"/>
      <c r="K8" s="48"/>
    </row>
    <row r="9" spans="1:11" ht="13">
      <c r="B9" s="46"/>
      <c r="C9" s="46"/>
      <c r="D9" s="54"/>
      <c r="E9" s="54"/>
      <c r="F9" s="46"/>
      <c r="G9" s="48"/>
      <c r="H9" s="48"/>
      <c r="I9" s="53"/>
      <c r="J9" s="53"/>
      <c r="K9" s="48"/>
    </row>
    <row r="10" spans="1:11" ht="15.5">
      <c r="A10" s="55"/>
      <c r="B10" s="56" t="s">
        <v>92</v>
      </c>
    </row>
    <row r="11" spans="1:11" ht="12.75" customHeight="1"/>
    <row r="12" spans="1:11" ht="16.149999999999999" customHeight="1">
      <c r="B12" s="58" t="s">
        <v>98</v>
      </c>
      <c r="D12" s="59"/>
      <c r="E12" s="59"/>
      <c r="G12" s="450">
        <f>CHOOSE($D$6,G14,G15,G16)</f>
        <v>0.02</v>
      </c>
      <c r="H12" s="451">
        <f t="shared" ref="H12:K12" si="0">CHOOSE($D$6,H14,H15,H16)</f>
        <v>0.02</v>
      </c>
      <c r="I12" s="451">
        <f t="shared" si="0"/>
        <v>0.02</v>
      </c>
      <c r="J12" s="451">
        <f t="shared" si="0"/>
        <v>2.5000000000000001E-2</v>
      </c>
      <c r="K12" s="452">
        <f t="shared" si="0"/>
        <v>2.5000000000000001E-2</v>
      </c>
    </row>
    <row r="13" spans="1:11" ht="4.4000000000000004" customHeight="1">
      <c r="B13" s="60"/>
      <c r="D13" s="59"/>
      <c r="E13" s="59"/>
      <c r="G13" s="61"/>
      <c r="H13" s="62"/>
      <c r="I13" s="62"/>
      <c r="J13" s="62"/>
      <c r="K13" s="62"/>
    </row>
    <row r="14" spans="1:11" ht="13">
      <c r="B14" s="60"/>
      <c r="C14" s="36" t="str">
        <f>Assumptions!C18</f>
        <v>Base Case</v>
      </c>
      <c r="D14" s="59"/>
      <c r="E14" s="59"/>
      <c r="G14" s="63">
        <v>0.02</v>
      </c>
      <c r="H14" s="64">
        <v>0.02</v>
      </c>
      <c r="I14" s="64">
        <v>0.02</v>
      </c>
      <c r="J14" s="64">
        <v>2.5000000000000001E-2</v>
      </c>
      <c r="K14" s="65">
        <v>2.5000000000000001E-2</v>
      </c>
    </row>
    <row r="15" spans="1:11" ht="13">
      <c r="B15" s="60"/>
      <c r="C15" s="36" t="str">
        <f>Assumptions!C19</f>
        <v>Best Case</v>
      </c>
      <c r="D15" s="59"/>
      <c r="E15" s="59"/>
      <c r="G15" s="66">
        <v>1.7999999999999999E-2</v>
      </c>
      <c r="H15" s="67">
        <v>1.7999999999999999E-2</v>
      </c>
      <c r="I15" s="67">
        <v>1.7999999999999999E-2</v>
      </c>
      <c r="J15" s="67">
        <v>0.02</v>
      </c>
      <c r="K15" s="68">
        <v>0.02</v>
      </c>
    </row>
    <row r="16" spans="1:11" ht="13">
      <c r="B16" s="60"/>
      <c r="C16" s="36" t="str">
        <f>Assumptions!C20</f>
        <v>Worst Case</v>
      </c>
      <c r="D16" s="59"/>
      <c r="E16" s="59"/>
      <c r="G16" s="69">
        <v>2.5000000000000001E-2</v>
      </c>
      <c r="H16" s="70">
        <v>2.5000000000000001E-2</v>
      </c>
      <c r="I16" s="70">
        <v>2.5000000000000001E-2</v>
      </c>
      <c r="J16" s="70">
        <v>2.5000000000000001E-2</v>
      </c>
      <c r="K16" s="71">
        <v>2.5000000000000001E-2</v>
      </c>
    </row>
    <row r="17" spans="1:13">
      <c r="C17" s="72"/>
      <c r="D17" s="73"/>
      <c r="E17" s="73"/>
      <c r="G17" s="74"/>
      <c r="H17" s="74"/>
      <c r="I17" s="74"/>
      <c r="J17" s="74"/>
      <c r="K17" s="75"/>
    </row>
    <row r="18" spans="1:13">
      <c r="B18" s="76"/>
      <c r="C18" s="76"/>
      <c r="D18" s="77"/>
      <c r="E18" s="77"/>
      <c r="F18" s="76"/>
      <c r="G18" s="76"/>
      <c r="H18" s="76"/>
      <c r="I18" s="76"/>
      <c r="J18" s="76"/>
      <c r="K18" s="76"/>
    </row>
    <row r="20" spans="1:13" ht="12.75" customHeight="1"/>
    <row r="21" spans="1:13" ht="12.75" customHeight="1">
      <c r="B21" s="56" t="s">
        <v>108</v>
      </c>
    </row>
    <row r="22" spans="1:13" ht="12.75" customHeight="1"/>
    <row r="23" spans="1:13" s="78" customFormat="1" ht="16.149999999999999" customHeight="1">
      <c r="B23" s="58" t="s">
        <v>170</v>
      </c>
      <c r="D23" s="79"/>
      <c r="E23" s="79"/>
      <c r="G23" s="455">
        <f>CHOOSE($D$6,G25,G26,G27)</f>
        <v>800</v>
      </c>
      <c r="H23" s="456">
        <f t="shared" ref="H23:K23" si="1">CHOOSE($D$6,H25,H26,H27)</f>
        <v>725</v>
      </c>
      <c r="I23" s="456">
        <f t="shared" si="1"/>
        <v>825</v>
      </c>
      <c r="J23" s="456">
        <f t="shared" si="1"/>
        <v>800</v>
      </c>
      <c r="K23" s="457">
        <f t="shared" si="1"/>
        <v>750</v>
      </c>
    </row>
    <row r="24" spans="1:13" ht="4.4000000000000004" customHeight="1">
      <c r="B24" s="80"/>
      <c r="D24" s="59"/>
      <c r="E24" s="59"/>
      <c r="G24" s="458"/>
      <c r="H24" s="458"/>
      <c r="I24" s="458"/>
      <c r="J24" s="458"/>
      <c r="K24" s="458"/>
    </row>
    <row r="25" spans="1:13">
      <c r="C25" s="72" t="str">
        <f>C14</f>
        <v>Base Case</v>
      </c>
      <c r="D25" s="73"/>
      <c r="E25" s="73"/>
      <c r="G25" s="453">
        <v>800</v>
      </c>
      <c r="H25" s="454">
        <v>725</v>
      </c>
      <c r="I25" s="454">
        <v>825</v>
      </c>
      <c r="J25" s="454">
        <v>800</v>
      </c>
      <c r="K25" s="459">
        <v>750</v>
      </c>
      <c r="L25" s="81"/>
      <c r="M25" s="82"/>
    </row>
    <row r="26" spans="1:13">
      <c r="A26" s="296">
        <f>Assumptions!F19</f>
        <v>0.04</v>
      </c>
      <c r="C26" s="72" t="str">
        <f>CONCATENATE(C15,": ",TEXT(A26,"+0.0%;-0.0%"))</f>
        <v>Best Case: +4.0%</v>
      </c>
      <c r="D26" s="73"/>
      <c r="E26" s="73"/>
      <c r="G26" s="460">
        <f>G$25*(1+$A26)</f>
        <v>832</v>
      </c>
      <c r="H26" s="461">
        <f t="shared" ref="H26:K27" si="2">H$25*(1+$A26)</f>
        <v>754</v>
      </c>
      <c r="I26" s="461">
        <f t="shared" si="2"/>
        <v>858</v>
      </c>
      <c r="J26" s="461">
        <f t="shared" si="2"/>
        <v>832</v>
      </c>
      <c r="K26" s="462">
        <f t="shared" si="2"/>
        <v>780</v>
      </c>
      <c r="L26" s="81"/>
      <c r="M26" s="82"/>
    </row>
    <row r="27" spans="1:13">
      <c r="A27" s="296">
        <f>Assumptions!F20</f>
        <v>-0.04</v>
      </c>
      <c r="C27" s="72" t="str">
        <f>CONCATENATE(C16,": ",TEXT(A27,"+0.0%;-0.0%"))</f>
        <v>Worst Case: -4.0%</v>
      </c>
      <c r="D27" s="73"/>
      <c r="E27" s="73"/>
      <c r="G27" s="463">
        <f>G$25*(1+$A27)</f>
        <v>768</v>
      </c>
      <c r="H27" s="464">
        <f t="shared" si="2"/>
        <v>696</v>
      </c>
      <c r="I27" s="464">
        <f t="shared" si="2"/>
        <v>792</v>
      </c>
      <c r="J27" s="464">
        <f t="shared" si="2"/>
        <v>768</v>
      </c>
      <c r="K27" s="465">
        <f t="shared" si="2"/>
        <v>720</v>
      </c>
      <c r="L27" s="81"/>
      <c r="M27" s="82"/>
    </row>
    <row r="28" spans="1:13">
      <c r="C28" s="83"/>
      <c r="D28" s="73"/>
      <c r="E28" s="73"/>
      <c r="G28" s="84"/>
      <c r="H28" s="84"/>
      <c r="I28" s="84"/>
      <c r="J28" s="84"/>
      <c r="K28" s="85"/>
      <c r="L28" s="81"/>
    </row>
    <row r="29" spans="1:13">
      <c r="C29" s="83"/>
      <c r="D29" s="73"/>
      <c r="E29" s="73"/>
      <c r="G29" s="84"/>
      <c r="H29" s="84"/>
      <c r="I29" s="84"/>
      <c r="J29" s="84"/>
      <c r="K29" s="85"/>
      <c r="L29" s="81"/>
    </row>
    <row r="30" spans="1:13" ht="16.149999999999999" customHeight="1">
      <c r="B30" s="58" t="s">
        <v>109</v>
      </c>
      <c r="D30" s="59"/>
      <c r="E30" s="59"/>
      <c r="G30" s="450">
        <f>CHOOSE($D$6,G32,G33,G34)</f>
        <v>0.05</v>
      </c>
      <c r="H30" s="451">
        <f t="shared" ref="H30:K30" si="3">CHOOSE($D$6,H32,H33,H34)</f>
        <v>0.04</v>
      </c>
      <c r="I30" s="451">
        <f t="shared" si="3"/>
        <v>0.04</v>
      </c>
      <c r="J30" s="451">
        <f t="shared" si="3"/>
        <v>0.04</v>
      </c>
      <c r="K30" s="452">
        <f t="shared" si="3"/>
        <v>0.04</v>
      </c>
    </row>
    <row r="31" spans="1:13" ht="4.4000000000000004" customHeight="1">
      <c r="B31" s="60"/>
      <c r="D31" s="59"/>
      <c r="E31" s="59"/>
      <c r="G31" s="61"/>
      <c r="H31" s="62"/>
      <c r="I31" s="62"/>
      <c r="J31" s="62"/>
      <c r="K31" s="62"/>
    </row>
    <row r="32" spans="1:13" ht="13">
      <c r="B32" s="60"/>
      <c r="C32" s="36" t="str">
        <f>C14</f>
        <v>Base Case</v>
      </c>
      <c r="D32" s="59"/>
      <c r="E32" s="59"/>
      <c r="G32" s="63">
        <v>0.05</v>
      </c>
      <c r="H32" s="64">
        <v>0.04</v>
      </c>
      <c r="I32" s="64">
        <v>0.04</v>
      </c>
      <c r="J32" s="64">
        <v>0.04</v>
      </c>
      <c r="K32" s="65">
        <v>0.04</v>
      </c>
    </row>
    <row r="33" spans="2:12" ht="13">
      <c r="B33" s="60"/>
      <c r="C33" s="36" t="str">
        <f>C15</f>
        <v>Best Case</v>
      </c>
      <c r="D33" s="59"/>
      <c r="E33" s="59"/>
      <c r="G33" s="66">
        <v>0.05</v>
      </c>
      <c r="H33" s="67">
        <v>0.04</v>
      </c>
      <c r="I33" s="67">
        <v>0.05</v>
      </c>
      <c r="J33" s="67">
        <v>0.05</v>
      </c>
      <c r="K33" s="68">
        <v>0.04</v>
      </c>
    </row>
    <row r="34" spans="2:12" ht="13">
      <c r="B34" s="60"/>
      <c r="C34" s="36" t="str">
        <f>C16</f>
        <v>Worst Case</v>
      </c>
      <c r="D34" s="59"/>
      <c r="E34" s="59"/>
      <c r="G34" s="69">
        <v>0.04</v>
      </c>
      <c r="H34" s="70">
        <v>0.04</v>
      </c>
      <c r="I34" s="70">
        <v>0.03</v>
      </c>
      <c r="J34" s="70">
        <v>0.03</v>
      </c>
      <c r="K34" s="71">
        <v>0.02</v>
      </c>
    </row>
    <row r="35" spans="2:12">
      <c r="C35" s="83"/>
      <c r="D35" s="73"/>
      <c r="E35" s="73"/>
      <c r="G35" s="84"/>
      <c r="H35" s="84"/>
      <c r="I35" s="84"/>
      <c r="J35" s="84"/>
      <c r="K35" s="85"/>
      <c r="L35" s="81"/>
    </row>
    <row r="36" spans="2:12">
      <c r="B36" s="86"/>
      <c r="C36" s="86"/>
      <c r="D36" s="87"/>
      <c r="E36" s="87"/>
      <c r="F36" s="86"/>
      <c r="G36" s="86"/>
      <c r="H36" s="86"/>
      <c r="I36" s="86"/>
      <c r="J36" s="86"/>
      <c r="K36" s="86"/>
    </row>
    <row r="39" spans="2:12" ht="13">
      <c r="C39" s="46"/>
      <c r="D39" s="59"/>
      <c r="E39" s="59"/>
      <c r="G39" s="88"/>
    </row>
    <row r="40" spans="2:12">
      <c r="D40" s="73"/>
      <c r="E40" s="73"/>
      <c r="H40" s="82"/>
    </row>
    <row r="41" spans="2:12">
      <c r="D41" s="73"/>
      <c r="E41" s="73"/>
    </row>
    <row r="42" spans="2:12">
      <c r="G42" s="88"/>
    </row>
  </sheetData>
  <sheetProtection formatCells="0" formatColumns="0" formatRows="0" insertColumns="0" insertRows="0"/>
  <phoneticPr fontId="0" type="noConversion"/>
  <conditionalFormatting sqref="J348:M352">
    <cfRule type="cellIs" dxfId="0" priority="1" stopIfTrue="1" operator="greaterThan">
      <formula>330</formula>
    </cfRule>
  </conditionalFormatting>
  <printOptions horizontalCentered="1"/>
  <pageMargins left="0.25" right="0.25" top="0.33500000000000002" bottom="0.5" header="0.25" footer="0.25"/>
  <pageSetup scale="9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Line="0" autoPict="0">
                <anchor moveWithCells="1">
                  <from>
                    <xdr:col>2</xdr:col>
                    <xdr:colOff>1174750</xdr:colOff>
                    <xdr:row>4</xdr:row>
                    <xdr:rowOff>50800</xdr:rowOff>
                  </from>
                  <to>
                    <xdr:col>4</xdr:col>
                    <xdr:colOff>69850</xdr:colOff>
                    <xdr:row>6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I342"/>
  <sheetViews>
    <sheetView showGridLines="0" zoomScaleNormal="100" zoomScaleSheetLayoutView="90" workbookViewId="0">
      <selection activeCell="AB86" sqref="AB86"/>
    </sheetView>
  </sheetViews>
  <sheetFormatPr defaultColWidth="9.453125" defaultRowHeight="12.5"/>
  <cols>
    <col min="1" max="1" width="3.54296875" customWidth="1"/>
    <col min="2" max="2" width="1.81640625" customWidth="1"/>
    <col min="3" max="3" width="2.453125" customWidth="1"/>
    <col min="4" max="4" width="11.453125" customWidth="1"/>
    <col min="5" max="5" width="12.54296875" customWidth="1"/>
    <col min="6" max="6" width="10.453125" style="96" customWidth="1"/>
    <col min="7" max="7" width="1.81640625" customWidth="1"/>
    <col min="8" max="15" width="10.7265625" customWidth="1"/>
    <col min="19" max="19" width="10.08984375" bestFit="1" customWidth="1"/>
  </cols>
  <sheetData>
    <row r="1" spans="1:15" ht="12.75" customHeight="1">
      <c r="A1" s="89"/>
      <c r="B1" s="2"/>
      <c r="C1" s="3"/>
      <c r="D1" s="3"/>
      <c r="E1" s="3"/>
      <c r="F1" s="90"/>
      <c r="G1" s="3"/>
      <c r="H1" s="3"/>
      <c r="I1" s="3"/>
      <c r="J1" s="3"/>
      <c r="K1" s="3"/>
      <c r="L1" s="3"/>
      <c r="M1" s="3"/>
      <c r="N1" s="3"/>
      <c r="O1" s="469" t="str">
        <f>UPPER("Currently Running: "&amp;CHOOSE(Scenarios!$D$6,Scenarios!C14,Scenarios!C15,Scenarios!C16)&amp;" Scenario")</f>
        <v>CURRENTLY RUNNING: BASE CASE SCENARIO</v>
      </c>
    </row>
    <row r="2" spans="1:15" ht="23">
      <c r="A2" s="91"/>
      <c r="B2" s="1" t="str">
        <f>Scenarios!B1</f>
        <v>Green Containers Company</v>
      </c>
      <c r="C2" s="3"/>
      <c r="D2" s="3"/>
      <c r="E2" s="3"/>
      <c r="F2" s="90"/>
      <c r="G2" s="3"/>
      <c r="H2" s="3"/>
      <c r="I2" s="3"/>
      <c r="J2" s="3"/>
      <c r="K2" s="3"/>
      <c r="L2" s="3"/>
      <c r="M2" s="3"/>
      <c r="N2" s="3"/>
      <c r="O2" s="3"/>
    </row>
    <row r="3" spans="1:15" ht="18">
      <c r="A3" s="92"/>
      <c r="B3" s="93" t="s">
        <v>100</v>
      </c>
      <c r="C3" s="94"/>
      <c r="D3" s="94"/>
      <c r="E3" s="94"/>
      <c r="F3" s="95"/>
      <c r="G3" s="94"/>
      <c r="H3" s="94"/>
      <c r="I3" s="94"/>
      <c r="J3" s="94"/>
      <c r="K3" s="94"/>
      <c r="L3" s="94"/>
      <c r="M3" s="94"/>
      <c r="N3" s="94"/>
      <c r="O3" s="94"/>
    </row>
    <row r="4" spans="1:15" ht="3" customHeight="1" thickBot="1">
      <c r="A4" s="92"/>
      <c r="B4" s="371"/>
      <c r="C4" s="372"/>
      <c r="D4" s="372"/>
      <c r="E4" s="372"/>
      <c r="F4" s="373"/>
      <c r="G4" s="372"/>
      <c r="H4" s="372"/>
      <c r="I4" s="372"/>
      <c r="J4" s="372"/>
      <c r="K4" s="372"/>
      <c r="L4" s="372"/>
      <c r="M4" s="372"/>
      <c r="N4" s="372"/>
      <c r="O4" s="372"/>
    </row>
    <row r="5" spans="1:15" ht="12.75" customHeight="1">
      <c r="A5" s="93"/>
      <c r="B5" s="94"/>
      <c r="C5" s="94"/>
      <c r="D5" s="94"/>
      <c r="E5" s="94"/>
      <c r="F5" s="95"/>
      <c r="G5" s="94"/>
      <c r="H5" s="94"/>
      <c r="I5" s="94"/>
      <c r="J5" s="94"/>
      <c r="K5" s="94"/>
      <c r="L5" s="94"/>
      <c r="M5" s="94"/>
      <c r="N5" s="94"/>
      <c r="O5" s="94"/>
    </row>
    <row r="6" spans="1:15" ht="13">
      <c r="G6" s="97"/>
      <c r="K6" s="98" t="s">
        <v>2</v>
      </c>
      <c r="L6" s="20"/>
      <c r="M6" s="20"/>
      <c r="N6" s="20"/>
      <c r="O6" s="20"/>
    </row>
    <row r="7" spans="1:15" ht="13">
      <c r="G7" s="21"/>
      <c r="H7" s="363">
        <f>I7-1</f>
        <v>2020</v>
      </c>
      <c r="I7" s="363">
        <f>J7-1</f>
        <v>2021</v>
      </c>
      <c r="J7" s="363">
        <f>K7-1</f>
        <v>2022</v>
      </c>
      <c r="K7" s="123">
        <f>Scenarios!G6</f>
        <v>2023</v>
      </c>
      <c r="L7" s="123">
        <f>Scenarios!H6</f>
        <v>2024</v>
      </c>
      <c r="M7" s="123">
        <f>Scenarios!I6</f>
        <v>2025</v>
      </c>
      <c r="N7" s="123">
        <f>Scenarios!J6</f>
        <v>2026</v>
      </c>
      <c r="O7" s="123">
        <f>Scenarios!K6</f>
        <v>2027</v>
      </c>
    </row>
    <row r="8" spans="1:15" ht="12.75" customHeight="1">
      <c r="H8" s="99"/>
      <c r="I8" s="99"/>
      <c r="J8" s="99"/>
    </row>
    <row r="9" spans="1:15" ht="13">
      <c r="B9" s="100" t="s">
        <v>1</v>
      </c>
      <c r="F9" s="101"/>
      <c r="H9" s="99"/>
      <c r="I9" s="99"/>
      <c r="J9" s="99"/>
      <c r="K9" s="102"/>
    </row>
    <row r="10" spans="1:15">
      <c r="C10" s="10" t="s">
        <v>62</v>
      </c>
      <c r="F10" s="103" t="s">
        <v>171</v>
      </c>
      <c r="H10" s="104"/>
      <c r="I10" s="104"/>
      <c r="J10" s="105">
        <v>694.4</v>
      </c>
      <c r="K10" s="466">
        <f>Scenarios!G23</f>
        <v>800</v>
      </c>
      <c r="L10" s="466">
        <f>Scenarios!H23</f>
        <v>725</v>
      </c>
      <c r="M10" s="466">
        <f>Scenarios!I23</f>
        <v>825</v>
      </c>
      <c r="N10" s="466">
        <f>Scenarios!J23</f>
        <v>800</v>
      </c>
      <c r="O10" s="466">
        <f>Scenarios!K23</f>
        <v>750</v>
      </c>
    </row>
    <row r="11" spans="1:15" ht="13">
      <c r="C11" t="s">
        <v>98</v>
      </c>
      <c r="F11" s="101" t="s">
        <v>110</v>
      </c>
      <c r="H11" s="106"/>
      <c r="I11" s="107"/>
      <c r="J11" s="107"/>
      <c r="K11" s="467">
        <f>Scenarios!G12</f>
        <v>0.02</v>
      </c>
      <c r="L11" s="467">
        <f>Scenarios!H12</f>
        <v>0.02</v>
      </c>
      <c r="M11" s="467">
        <f>Scenarios!I12</f>
        <v>0.02</v>
      </c>
      <c r="N11" s="467">
        <f>Scenarios!J12</f>
        <v>2.5000000000000001E-2</v>
      </c>
      <c r="O11" s="467">
        <f>Scenarios!K12</f>
        <v>2.5000000000000001E-2</v>
      </c>
    </row>
    <row r="12" spans="1:15">
      <c r="C12" s="19" t="s">
        <v>51</v>
      </c>
      <c r="F12" s="103" t="s">
        <v>171</v>
      </c>
      <c r="H12" s="108"/>
      <c r="I12" s="108"/>
      <c r="J12" s="109">
        <v>100</v>
      </c>
      <c r="K12" s="468">
        <f>J12*(1+K11)</f>
        <v>102</v>
      </c>
      <c r="L12" s="468">
        <f t="shared" ref="L12:O12" si="0">K12*(1+L11)</f>
        <v>104.04</v>
      </c>
      <c r="M12" s="468">
        <f t="shared" si="0"/>
        <v>106.1208</v>
      </c>
      <c r="N12" s="468">
        <f t="shared" si="0"/>
        <v>108.77381999999999</v>
      </c>
      <c r="O12" s="468">
        <f t="shared" si="0"/>
        <v>111.49316549999998</v>
      </c>
    </row>
    <row r="13" spans="1:15" ht="13">
      <c r="C13" s="110" t="s">
        <v>64</v>
      </c>
      <c r="F13" s="111" t="s">
        <v>171</v>
      </c>
      <c r="H13" s="112"/>
      <c r="I13" s="112"/>
      <c r="J13" s="113">
        <f t="shared" ref="J13" si="1">J10-J12</f>
        <v>594.4</v>
      </c>
      <c r="K13" s="113">
        <f>K10-K12</f>
        <v>698</v>
      </c>
      <c r="L13" s="113">
        <f t="shared" ref="L13:O13" si="2">L10-L12</f>
        <v>620.96</v>
      </c>
      <c r="M13" s="113">
        <f t="shared" si="2"/>
        <v>718.87919999999997</v>
      </c>
      <c r="N13" s="113">
        <f t="shared" si="2"/>
        <v>691.22618</v>
      </c>
      <c r="O13" s="113">
        <f t="shared" si="2"/>
        <v>638.50683449999997</v>
      </c>
    </row>
    <row r="14" spans="1:15" ht="13">
      <c r="B14" s="114"/>
      <c r="C14" s="115"/>
      <c r="D14" s="114"/>
      <c r="E14" s="114"/>
      <c r="F14" s="116"/>
      <c r="G14" s="114"/>
      <c r="H14" s="117"/>
      <c r="I14" s="117"/>
      <c r="J14" s="117"/>
      <c r="K14" s="118"/>
      <c r="L14" s="118"/>
      <c r="M14" s="118"/>
      <c r="N14" s="118"/>
      <c r="O14" s="118"/>
    </row>
    <row r="15" spans="1:15" ht="13">
      <c r="C15" s="100"/>
      <c r="F15" s="111"/>
      <c r="H15" s="119"/>
      <c r="I15" s="119"/>
      <c r="J15" s="119"/>
      <c r="K15" s="120"/>
      <c r="L15" s="120"/>
      <c r="M15" s="120"/>
      <c r="N15" s="120"/>
      <c r="O15" s="120"/>
    </row>
    <row r="16" spans="1:15" ht="13">
      <c r="B16" s="110" t="s">
        <v>111</v>
      </c>
      <c r="F16" s="101"/>
    </row>
    <row r="17" spans="1:15" ht="13">
      <c r="B17" s="110"/>
      <c r="C17" t="s">
        <v>162</v>
      </c>
      <c r="F17" s="101" t="s">
        <v>76</v>
      </c>
      <c r="H17" s="105"/>
      <c r="I17" s="105"/>
      <c r="J17" s="105"/>
      <c r="K17" s="466">
        <f>Assumptions!N17</f>
        <v>420</v>
      </c>
      <c r="L17" s="121">
        <f>K17</f>
        <v>420</v>
      </c>
      <c r="M17" s="121">
        <f>L17</f>
        <v>420</v>
      </c>
      <c r="N17" s="121">
        <f>M17</f>
        <v>420</v>
      </c>
      <c r="O17" s="121">
        <f>N17</f>
        <v>420</v>
      </c>
    </row>
    <row r="18" spans="1:15" ht="13">
      <c r="B18" s="110"/>
      <c r="F18" s="101"/>
    </row>
    <row r="19" spans="1:15" ht="13">
      <c r="C19" t="s">
        <v>109</v>
      </c>
      <c r="F19" s="101" t="s">
        <v>110</v>
      </c>
      <c r="H19" s="106"/>
      <c r="I19" s="107"/>
      <c r="J19" s="122"/>
      <c r="K19" s="470">
        <f>Scenarios!G30</f>
        <v>0.05</v>
      </c>
      <c r="L19" s="470">
        <f>Scenarios!H30</f>
        <v>0.04</v>
      </c>
      <c r="M19" s="470">
        <f>Scenarios!I30</f>
        <v>0.04</v>
      </c>
      <c r="N19" s="470">
        <f>Scenarios!J30</f>
        <v>0.04</v>
      </c>
      <c r="O19" s="470">
        <f>Scenarios!K30</f>
        <v>0.04</v>
      </c>
    </row>
    <row r="20" spans="1:15" ht="13">
      <c r="C20" s="123" t="s">
        <v>112</v>
      </c>
      <c r="F20" s="124" t="s">
        <v>76</v>
      </c>
      <c r="H20" s="125"/>
      <c r="I20" s="125"/>
      <c r="J20" s="113">
        <f>J26*1000/J10</f>
        <v>344.4700460829493</v>
      </c>
      <c r="K20" s="113">
        <f>MIN(K17,J20*(1+K19))</f>
        <v>361.69354838709677</v>
      </c>
      <c r="L20" s="113">
        <f t="shared" ref="L20:O20" si="3">MIN(L17,K20*(1+L19))</f>
        <v>376.16129032258067</v>
      </c>
      <c r="M20" s="113">
        <f t="shared" si="3"/>
        <v>391.20774193548391</v>
      </c>
      <c r="N20" s="113">
        <f t="shared" si="3"/>
        <v>406.85605161290329</v>
      </c>
      <c r="O20" s="113">
        <f t="shared" si="3"/>
        <v>420</v>
      </c>
    </row>
    <row r="21" spans="1:15" ht="6" customHeight="1">
      <c r="C21" s="123"/>
      <c r="F21" s="124"/>
      <c r="H21" s="120"/>
      <c r="I21" s="120"/>
      <c r="J21" s="120"/>
      <c r="K21" s="120"/>
      <c r="L21" s="120"/>
      <c r="M21" s="120"/>
      <c r="N21" s="120"/>
      <c r="O21" s="120"/>
    </row>
    <row r="22" spans="1:15">
      <c r="C22" t="s">
        <v>52</v>
      </c>
      <c r="F22" s="124"/>
      <c r="H22" s="126"/>
      <c r="I22" s="126"/>
      <c r="J22" s="126"/>
      <c r="K22" s="126">
        <f>K20/K17</f>
        <v>0.86117511520737322</v>
      </c>
      <c r="L22" s="126">
        <f t="shared" ref="L22:O22" si="4">L20/L17</f>
        <v>0.8956221198156683</v>
      </c>
      <c r="M22" s="126">
        <f t="shared" si="4"/>
        <v>0.93144700460829499</v>
      </c>
      <c r="N22" s="126">
        <f t="shared" si="4"/>
        <v>0.96870488479262684</v>
      </c>
      <c r="O22" s="126">
        <f t="shared" si="4"/>
        <v>1</v>
      </c>
    </row>
    <row r="23" spans="1:15" ht="12.75" customHeight="1">
      <c r="B23" s="114"/>
      <c r="C23" s="114"/>
      <c r="D23" s="114"/>
      <c r="E23" s="114"/>
      <c r="F23" s="127"/>
      <c r="G23" s="114"/>
      <c r="H23" s="114"/>
      <c r="I23" s="114"/>
      <c r="J23" s="114"/>
      <c r="K23" s="114"/>
      <c r="L23" s="114"/>
      <c r="M23" s="114"/>
      <c r="N23" s="114"/>
      <c r="O23" s="114"/>
    </row>
    <row r="24" spans="1:15" ht="12.75" customHeight="1">
      <c r="F24" s="101"/>
    </row>
    <row r="25" spans="1:15" ht="13">
      <c r="B25" s="123" t="s">
        <v>43</v>
      </c>
      <c r="F25" s="101"/>
    </row>
    <row r="26" spans="1:15">
      <c r="A26" s="128"/>
      <c r="C26" s="10" t="s">
        <v>44</v>
      </c>
      <c r="F26" s="101" t="s">
        <v>172</v>
      </c>
      <c r="H26" s="129"/>
      <c r="I26" s="129"/>
      <c r="J26" s="130">
        <f>J83</f>
        <v>239.2</v>
      </c>
      <c r="K26" s="130">
        <f>K20*K10/1000</f>
        <v>289.35483870967738</v>
      </c>
      <c r="L26" s="130">
        <f t="shared" ref="L26:O26" si="5">L20*L10/1000</f>
        <v>272.716935483871</v>
      </c>
      <c r="M26" s="130">
        <f t="shared" si="5"/>
        <v>322.74638709677424</v>
      </c>
      <c r="N26" s="130">
        <f t="shared" si="5"/>
        <v>325.48484129032266</v>
      </c>
      <c r="O26" s="130">
        <f t="shared" si="5"/>
        <v>315</v>
      </c>
    </row>
    <row r="27" spans="1:15">
      <c r="C27" s="19" t="s">
        <v>51</v>
      </c>
      <c r="F27" s="101" t="s">
        <v>172</v>
      </c>
      <c r="H27" s="129"/>
      <c r="I27" s="129"/>
      <c r="J27" s="130">
        <f>J84</f>
        <v>34.4</v>
      </c>
      <c r="K27" s="130">
        <f>K20*K12/1000</f>
        <v>36.892741935483869</v>
      </c>
      <c r="L27" s="130">
        <f t="shared" ref="L27:O27" si="6">L20*L12/1000</f>
        <v>39.135820645161296</v>
      </c>
      <c r="M27" s="130">
        <f t="shared" si="6"/>
        <v>41.515278540387101</v>
      </c>
      <c r="N27" s="130">
        <f t="shared" si="6"/>
        <v>44.255286924052648</v>
      </c>
      <c r="O27" s="130">
        <f t="shared" si="6"/>
        <v>46.827129509999992</v>
      </c>
    </row>
    <row r="28" spans="1:15" ht="13">
      <c r="C28" s="123" t="s">
        <v>3</v>
      </c>
      <c r="F28" s="124" t="s">
        <v>172</v>
      </c>
      <c r="H28" s="131"/>
      <c r="I28" s="131"/>
      <c r="J28" s="132">
        <f t="shared" ref="J28:O28" si="7">J26-J27</f>
        <v>204.79999999999998</v>
      </c>
      <c r="K28" s="132">
        <f t="shared" si="7"/>
        <v>252.46209677419353</v>
      </c>
      <c r="L28" s="132">
        <f t="shared" si="7"/>
        <v>233.58111483870971</v>
      </c>
      <c r="M28" s="132">
        <f t="shared" si="7"/>
        <v>281.23110855638714</v>
      </c>
      <c r="N28" s="132">
        <f t="shared" si="7"/>
        <v>281.22955436627001</v>
      </c>
      <c r="O28" s="132">
        <f t="shared" si="7"/>
        <v>268.17287049000004</v>
      </c>
    </row>
    <row r="29" spans="1:15" ht="12.75" customHeight="1">
      <c r="B29" s="11"/>
      <c r="C29" s="11"/>
      <c r="D29" s="11"/>
      <c r="E29" s="11"/>
      <c r="F29" s="133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2.75" customHeight="1"/>
    <row r="31" spans="1:15" ht="12.75" customHeight="1">
      <c r="A31" s="91"/>
      <c r="B31" s="1"/>
      <c r="C31" s="3"/>
      <c r="D31" s="3"/>
      <c r="E31" s="3"/>
      <c r="F31" s="90"/>
      <c r="G31" s="3"/>
      <c r="H31" s="3"/>
      <c r="I31" s="3"/>
      <c r="J31" s="3"/>
      <c r="K31" s="3"/>
      <c r="L31" s="3"/>
      <c r="M31" s="3"/>
      <c r="N31" s="3"/>
      <c r="O31" s="134" t="str">
        <f>$O$1</f>
        <v>CURRENTLY RUNNING: BASE CASE SCENARIO</v>
      </c>
    </row>
    <row r="32" spans="1:15" ht="23">
      <c r="A32" s="91"/>
      <c r="B32" s="1" t="str">
        <f>B$2</f>
        <v>Green Containers Company</v>
      </c>
      <c r="C32" s="3"/>
      <c r="D32" s="3"/>
      <c r="E32" s="3"/>
      <c r="F32" s="90"/>
      <c r="G32" s="3"/>
      <c r="H32" s="3"/>
      <c r="I32" s="3"/>
      <c r="J32" s="3"/>
      <c r="K32" s="3"/>
      <c r="L32" s="3"/>
      <c r="M32" s="3"/>
      <c r="N32" s="3"/>
      <c r="O32" s="3"/>
    </row>
    <row r="33" spans="1:15" ht="18">
      <c r="A33" s="92"/>
      <c r="B33" s="93" t="s">
        <v>182</v>
      </c>
      <c r="C33" s="94"/>
      <c r="D33" s="94"/>
      <c r="E33" s="94"/>
      <c r="F33" s="95"/>
      <c r="G33" s="94"/>
      <c r="H33" s="94"/>
      <c r="I33" s="94"/>
      <c r="J33" s="94"/>
      <c r="K33" s="94"/>
      <c r="L33" s="94"/>
      <c r="M33" s="94"/>
      <c r="N33" s="94"/>
      <c r="O33" s="94"/>
    </row>
    <row r="34" spans="1:15" ht="3" customHeight="1" thickBot="1">
      <c r="A34" s="92"/>
      <c r="B34" s="371"/>
      <c r="C34" s="372"/>
      <c r="D34" s="372"/>
      <c r="E34" s="372"/>
      <c r="F34" s="373"/>
      <c r="G34" s="372"/>
      <c r="H34" s="372"/>
      <c r="I34" s="372"/>
      <c r="J34" s="372"/>
      <c r="K34" s="372"/>
      <c r="L34" s="372"/>
      <c r="M34" s="372"/>
      <c r="N34" s="372"/>
      <c r="O34" s="372"/>
    </row>
    <row r="35" spans="1:15" ht="12.75" customHeight="1">
      <c r="A35" s="93"/>
      <c r="B35" s="94"/>
      <c r="C35" s="94"/>
      <c r="D35" s="94"/>
      <c r="E35" s="94"/>
      <c r="F35" s="95"/>
      <c r="G35" s="94"/>
      <c r="H35" s="94"/>
      <c r="I35" s="94"/>
      <c r="J35" s="94"/>
      <c r="K35" s="94"/>
      <c r="L35" s="94"/>
      <c r="M35" s="94"/>
      <c r="N35" s="94"/>
      <c r="O35" s="94"/>
    </row>
    <row r="36" spans="1:15" ht="13">
      <c r="G36" s="97"/>
      <c r="K36" s="98" t="s">
        <v>2</v>
      </c>
      <c r="L36" s="20"/>
      <c r="M36" s="20"/>
      <c r="N36" s="20"/>
      <c r="O36" s="20"/>
    </row>
    <row r="37" spans="1:15" ht="13">
      <c r="G37" s="21"/>
      <c r="H37" s="363">
        <f t="shared" ref="H37:J37" si="8">H$7</f>
        <v>2020</v>
      </c>
      <c r="I37" s="363">
        <f t="shared" si="8"/>
        <v>2021</v>
      </c>
      <c r="J37" s="363">
        <f t="shared" si="8"/>
        <v>2022</v>
      </c>
      <c r="K37" s="364">
        <f>K$7</f>
        <v>2023</v>
      </c>
      <c r="L37" s="364">
        <f>L$7</f>
        <v>2024</v>
      </c>
      <c r="M37" s="364">
        <f>M$7</f>
        <v>2025</v>
      </c>
      <c r="N37" s="364">
        <f>N$7</f>
        <v>2026</v>
      </c>
      <c r="O37" s="364">
        <f>O$7</f>
        <v>2027</v>
      </c>
    </row>
    <row r="38" spans="1:15" ht="13" customHeight="1">
      <c r="G38" s="21"/>
      <c r="H38" s="21"/>
      <c r="I38" s="21"/>
      <c r="J38" s="21"/>
      <c r="K38" s="21"/>
      <c r="L38" s="21"/>
      <c r="M38" s="21"/>
      <c r="N38" s="21"/>
      <c r="O38" s="21"/>
    </row>
    <row r="39" spans="1:15" ht="13" customHeight="1">
      <c r="B39" s="136" t="s">
        <v>112</v>
      </c>
      <c r="C39" s="137"/>
      <c r="D39" s="137"/>
      <c r="E39" s="137"/>
      <c r="F39" s="138" t="s">
        <v>76</v>
      </c>
      <c r="G39" s="139"/>
      <c r="H39" s="140"/>
      <c r="I39" s="140"/>
      <c r="J39" s="140">
        <f t="shared" ref="J39:O39" si="9">J20</f>
        <v>344.4700460829493</v>
      </c>
      <c r="K39" s="140">
        <f t="shared" si="9"/>
        <v>361.69354838709677</v>
      </c>
      <c r="L39" s="140">
        <f t="shared" si="9"/>
        <v>376.16129032258067</v>
      </c>
      <c r="M39" s="140">
        <f t="shared" si="9"/>
        <v>391.20774193548391</v>
      </c>
      <c r="N39" s="140">
        <f t="shared" si="9"/>
        <v>406.85605161290329</v>
      </c>
      <c r="O39" s="141">
        <f t="shared" si="9"/>
        <v>420</v>
      </c>
    </row>
    <row r="40" spans="1:15" ht="13">
      <c r="B40" s="142" t="s">
        <v>98</v>
      </c>
      <c r="C40" s="114"/>
      <c r="D40" s="114"/>
      <c r="E40" s="114"/>
      <c r="F40" s="127" t="s">
        <v>110</v>
      </c>
      <c r="G40" s="143"/>
      <c r="H40" s="144"/>
      <c r="I40" s="144"/>
      <c r="J40" s="144"/>
      <c r="K40" s="144"/>
      <c r="L40" s="145">
        <f>L11</f>
        <v>0.02</v>
      </c>
      <c r="M40" s="145">
        <f>M11</f>
        <v>0.02</v>
      </c>
      <c r="N40" s="145">
        <f>N11</f>
        <v>2.5000000000000001E-2</v>
      </c>
      <c r="O40" s="146">
        <f>O11</f>
        <v>2.5000000000000001E-2</v>
      </c>
    </row>
    <row r="41" spans="1:15" ht="13" customHeight="1">
      <c r="B41" s="147"/>
      <c r="G41" s="21"/>
      <c r="H41" s="21"/>
      <c r="I41" s="21"/>
      <c r="J41" s="21"/>
      <c r="K41" s="21"/>
      <c r="L41" s="21"/>
      <c r="M41" s="21"/>
      <c r="N41" s="21"/>
      <c r="O41" s="21"/>
    </row>
    <row r="42" spans="1:15" ht="12.75" customHeight="1">
      <c r="B42" s="148" t="s">
        <v>77</v>
      </c>
      <c r="G42" s="21"/>
      <c r="H42" s="21"/>
      <c r="I42" s="21"/>
      <c r="J42" s="21"/>
      <c r="K42" s="21"/>
      <c r="M42" s="21"/>
      <c r="N42" s="21"/>
      <c r="O42" s="21"/>
    </row>
    <row r="43" spans="1:15" ht="13">
      <c r="A43" s="128"/>
      <c r="C43" s="123" t="s">
        <v>33</v>
      </c>
    </row>
    <row r="44" spans="1:15">
      <c r="D44" s="19" t="str">
        <f>Assumptions!C27</f>
        <v>Raw Materials</v>
      </c>
      <c r="F44" s="96" t="s">
        <v>171</v>
      </c>
      <c r="H44" s="149"/>
      <c r="I44" s="149"/>
      <c r="J44" s="149"/>
      <c r="K44" s="471">
        <f>Assumptions!E27</f>
        <v>226</v>
      </c>
      <c r="L44" s="472">
        <f>K44*(1+L40)</f>
        <v>230.52</v>
      </c>
      <c r="M44" s="472">
        <f t="shared" ref="M44:O44" si="10">L44*(1+M40)</f>
        <v>235.13040000000001</v>
      </c>
      <c r="N44" s="472">
        <f t="shared" si="10"/>
        <v>241.00865999999999</v>
      </c>
      <c r="O44" s="472">
        <f t="shared" si="10"/>
        <v>247.03387649999996</v>
      </c>
    </row>
    <row r="45" spans="1:15">
      <c r="D45" s="19" t="str">
        <f>Assumptions!C28</f>
        <v>Utilities</v>
      </c>
      <c r="F45" s="96" t="s">
        <v>171</v>
      </c>
      <c r="H45" s="149"/>
      <c r="I45" s="149"/>
      <c r="J45" s="149"/>
      <c r="K45" s="473">
        <f>Assumptions!E28</f>
        <v>66.2</v>
      </c>
      <c r="L45" s="474">
        <f>K45*(1+L40)</f>
        <v>67.524000000000001</v>
      </c>
      <c r="M45" s="474">
        <f t="shared" ref="M45:O45" si="11">L45*(1+M40)</f>
        <v>68.874480000000005</v>
      </c>
      <c r="N45" s="474">
        <f t="shared" si="11"/>
        <v>70.596341999999993</v>
      </c>
      <c r="O45" s="474">
        <f t="shared" si="11"/>
        <v>72.36125054999998</v>
      </c>
    </row>
    <row r="46" spans="1:15" ht="13">
      <c r="D46" s="123" t="s">
        <v>34</v>
      </c>
      <c r="F46" s="151" t="s">
        <v>171</v>
      </c>
      <c r="H46" s="152"/>
      <c r="I46" s="152"/>
      <c r="J46" s="152"/>
      <c r="K46" s="182">
        <f>SUM(K44:K45)</f>
        <v>292.2</v>
      </c>
      <c r="L46" s="182">
        <f t="shared" ref="L46:O46" si="12">SUM(L44:L45)</f>
        <v>298.04399999999998</v>
      </c>
      <c r="M46" s="182">
        <f t="shared" si="12"/>
        <v>304.00488000000001</v>
      </c>
      <c r="N46" s="182">
        <f t="shared" si="12"/>
        <v>311.60500200000001</v>
      </c>
      <c r="O46" s="182">
        <f t="shared" si="12"/>
        <v>319.39512704999993</v>
      </c>
    </row>
    <row r="47" spans="1:15" ht="6" customHeight="1">
      <c r="D47" s="19"/>
      <c r="H47" s="153"/>
      <c r="I47" s="153"/>
      <c r="J47" s="153"/>
      <c r="K47" s="153"/>
      <c r="L47" s="153"/>
      <c r="M47" s="153"/>
      <c r="N47" s="153"/>
      <c r="O47" s="153"/>
    </row>
    <row r="48" spans="1:15" ht="12.75" customHeight="1">
      <c r="C48" s="110" t="s">
        <v>35</v>
      </c>
      <c r="D48" s="19"/>
      <c r="H48" s="154"/>
      <c r="I48" s="154"/>
      <c r="J48" s="154"/>
      <c r="K48" s="154"/>
      <c r="L48" s="155"/>
      <c r="M48" s="155"/>
      <c r="N48" s="155"/>
      <c r="O48" s="155"/>
    </row>
    <row r="49" spans="1:16" ht="12.75" customHeight="1">
      <c r="D49" s="19" t="str">
        <f>Assumptions!C29</f>
        <v>Rent</v>
      </c>
      <c r="F49" s="96" t="s">
        <v>171</v>
      </c>
      <c r="H49" s="150"/>
      <c r="I49" s="150"/>
      <c r="J49" s="472"/>
      <c r="K49" s="472">
        <f>K64*1000/K$39</f>
        <v>64.972129319955414</v>
      </c>
      <c r="L49" s="472">
        <f t="shared" ref="L49:O49" si="13">L64*1000/L$39</f>
        <v>63.722665294571648</v>
      </c>
      <c r="M49" s="472">
        <f t="shared" si="13"/>
        <v>62.497229423522192</v>
      </c>
      <c r="N49" s="472">
        <f t="shared" si="13"/>
        <v>61.595827076067536</v>
      </c>
      <c r="O49" s="472">
        <f t="shared" si="13"/>
        <v>61.159883035714273</v>
      </c>
    </row>
    <row r="50" spans="1:16">
      <c r="D50" s="19" t="str">
        <f>Assumptions!C30</f>
        <v>Operating Labour</v>
      </c>
      <c r="F50" s="96" t="s">
        <v>171</v>
      </c>
      <c r="H50" s="150"/>
      <c r="I50" s="150"/>
      <c r="J50" s="472"/>
      <c r="K50" s="472">
        <f t="shared" ref="K50:K51" si="14">K65*1000/K$39</f>
        <v>120.2675585284281</v>
      </c>
      <c r="L50" s="472">
        <f t="shared" ref="L50:O50" si="15">L65*1000/L$39</f>
        <v>117.95472086441985</v>
      </c>
      <c r="M50" s="472">
        <f t="shared" si="15"/>
        <v>115.68636084779638</v>
      </c>
      <c r="N50" s="472">
        <f t="shared" si="15"/>
        <v>114.01780756633777</v>
      </c>
      <c r="O50" s="472">
        <f t="shared" si="15"/>
        <v>113.21084732142855</v>
      </c>
    </row>
    <row r="51" spans="1:16" ht="12.75" customHeight="1">
      <c r="D51" t="s">
        <v>10</v>
      </c>
      <c r="F51" s="96" t="s">
        <v>171</v>
      </c>
      <c r="H51" s="150"/>
      <c r="I51" s="150"/>
      <c r="J51" s="472"/>
      <c r="K51" s="474">
        <f t="shared" si="14"/>
        <v>5.5295429208472688</v>
      </c>
      <c r="L51" s="474">
        <f t="shared" ref="L51:O51" si="16">L66*1000/L$39</f>
        <v>5.4232055569848212</v>
      </c>
      <c r="M51" s="474">
        <f t="shared" si="16"/>
        <v>5.3189131424274203</v>
      </c>
      <c r="N51" s="474">
        <f t="shared" si="16"/>
        <v>5.2421980490270235</v>
      </c>
      <c r="O51" s="474">
        <f t="shared" si="16"/>
        <v>5.2050964285714274</v>
      </c>
    </row>
    <row r="52" spans="1:16" ht="13">
      <c r="D52" s="100" t="s">
        <v>50</v>
      </c>
      <c r="F52" s="151" t="s">
        <v>171</v>
      </c>
      <c r="H52" s="152"/>
      <c r="I52" s="152"/>
      <c r="J52" s="182"/>
      <c r="K52" s="182">
        <f>SUM(K49:K51)</f>
        <v>190.76923076923077</v>
      </c>
      <c r="L52" s="182">
        <f t="shared" ref="L52:O52" si="17">SUM(L49:L51)</f>
        <v>187.10059171597632</v>
      </c>
      <c r="M52" s="182">
        <f t="shared" si="17"/>
        <v>183.50250341374598</v>
      </c>
      <c r="N52" s="182">
        <f t="shared" si="17"/>
        <v>180.85583269143234</v>
      </c>
      <c r="O52" s="182">
        <f t="shared" si="17"/>
        <v>179.57582678571424</v>
      </c>
      <c r="P52" s="156"/>
    </row>
    <row r="53" spans="1:16" ht="6" customHeight="1">
      <c r="C53" s="123"/>
      <c r="F53" s="151"/>
      <c r="H53" s="157"/>
      <c r="I53" s="157"/>
      <c r="J53" s="475"/>
      <c r="K53" s="475"/>
      <c r="L53" s="475"/>
      <c r="M53" s="475"/>
      <c r="N53" s="475"/>
      <c r="O53" s="475"/>
      <c r="P53" s="156"/>
    </row>
    <row r="54" spans="1:16" ht="13.5" thickBot="1">
      <c r="C54" s="100" t="s">
        <v>45</v>
      </c>
      <c r="F54" s="151" t="s">
        <v>171</v>
      </c>
      <c r="H54" s="158"/>
      <c r="I54" s="158"/>
      <c r="J54" s="131"/>
      <c r="K54" s="476">
        <f>SUM(K46,K52)</f>
        <v>482.96923076923076</v>
      </c>
      <c r="L54" s="476">
        <f t="shared" ref="L54:O54" si="18">SUM(L46,L52)</f>
        <v>485.14459171597628</v>
      </c>
      <c r="M54" s="476">
        <f t="shared" si="18"/>
        <v>487.50738341374597</v>
      </c>
      <c r="N54" s="476">
        <f t="shared" si="18"/>
        <v>492.46083469143235</v>
      </c>
      <c r="O54" s="476">
        <f t="shared" si="18"/>
        <v>498.97095383571417</v>
      </c>
    </row>
    <row r="55" spans="1:16" ht="13" customHeight="1" thickTop="1">
      <c r="B55" s="115"/>
      <c r="C55" s="160"/>
      <c r="D55" s="114"/>
      <c r="E55" s="114"/>
      <c r="F55" s="161"/>
      <c r="G55" s="162"/>
      <c r="H55" s="162"/>
      <c r="I55" s="162"/>
      <c r="J55" s="477"/>
      <c r="K55" s="477"/>
      <c r="L55" s="477"/>
      <c r="M55" s="477"/>
      <c r="N55" s="477"/>
      <c r="O55" s="477"/>
    </row>
    <row r="56" spans="1:16" ht="13" customHeight="1">
      <c r="B56" s="100"/>
      <c r="C56" s="123"/>
      <c r="F56" s="151"/>
      <c r="H56" s="157"/>
      <c r="I56" s="157"/>
      <c r="J56" s="157"/>
      <c r="K56" s="157"/>
      <c r="L56" s="157"/>
      <c r="M56" s="157"/>
      <c r="N56" s="157"/>
      <c r="O56" s="157"/>
    </row>
    <row r="57" spans="1:16" ht="13">
      <c r="B57" s="148" t="s">
        <v>183</v>
      </c>
      <c r="C57" s="123"/>
      <c r="F57" s="151"/>
      <c r="H57" s="157"/>
      <c r="I57" s="157"/>
      <c r="J57" s="157"/>
      <c r="K57" s="157"/>
      <c r="L57" s="157"/>
      <c r="M57" s="157"/>
      <c r="N57" s="157"/>
      <c r="O57" s="157"/>
    </row>
    <row r="58" spans="1:16" ht="13">
      <c r="C58" s="123" t="s">
        <v>33</v>
      </c>
      <c r="F58" s="151"/>
      <c r="H58" s="157"/>
      <c r="I58" s="157"/>
      <c r="J58" s="157"/>
      <c r="K58" s="157"/>
      <c r="L58" s="157"/>
      <c r="M58" s="157"/>
      <c r="N58" s="157"/>
      <c r="O58" s="157"/>
    </row>
    <row r="59" spans="1:16">
      <c r="D59" s="19" t="str">
        <f>D44</f>
        <v>Raw Materials</v>
      </c>
      <c r="F59" s="96" t="s">
        <v>172</v>
      </c>
      <c r="H59" s="150"/>
      <c r="I59" s="150"/>
      <c r="J59" s="150"/>
      <c r="K59" s="472">
        <f>K44*K$39/1000</f>
        <v>81.742741935483863</v>
      </c>
      <c r="L59" s="472">
        <f t="shared" ref="L59:O59" si="19">L44*L$39/1000</f>
        <v>86.712700645161291</v>
      </c>
      <c r="M59" s="472">
        <f t="shared" si="19"/>
        <v>91.984832844387114</v>
      </c>
      <c r="N59" s="472">
        <f t="shared" si="19"/>
        <v>98.055831812116651</v>
      </c>
      <c r="O59" s="472">
        <f t="shared" si="19"/>
        <v>103.75422812999999</v>
      </c>
    </row>
    <row r="60" spans="1:16">
      <c r="D60" s="19" t="str">
        <f>D45</f>
        <v>Utilities</v>
      </c>
      <c r="F60" s="96" t="s">
        <v>172</v>
      </c>
      <c r="H60" s="150"/>
      <c r="I60" s="150"/>
      <c r="J60" s="150"/>
      <c r="K60" s="474">
        <f>K45*K$39/1000</f>
        <v>23.944112903225808</v>
      </c>
      <c r="L60" s="474">
        <f t="shared" ref="L60:O60" si="20">L45*L$39/1000</f>
        <v>25.399914967741939</v>
      </c>
      <c r="M60" s="474">
        <f t="shared" si="20"/>
        <v>26.944229797780647</v>
      </c>
      <c r="N60" s="474">
        <f t="shared" si="20"/>
        <v>28.722548964434168</v>
      </c>
      <c r="O60" s="474">
        <f t="shared" si="20"/>
        <v>30.391725230999992</v>
      </c>
    </row>
    <row r="61" spans="1:16" ht="12.75" customHeight="1">
      <c r="D61" s="123" t="s">
        <v>34</v>
      </c>
      <c r="F61" s="151" t="s">
        <v>172</v>
      </c>
      <c r="H61" s="152"/>
      <c r="I61" s="152"/>
      <c r="J61" s="152"/>
      <c r="K61" s="182">
        <f>SUM(K59:K60)</f>
        <v>105.68685483870968</v>
      </c>
      <c r="L61" s="182">
        <f t="shared" ref="L61:O61" si="21">SUM(L59:L60)</f>
        <v>112.11261561290323</v>
      </c>
      <c r="M61" s="182">
        <f t="shared" si="21"/>
        <v>118.92906264216776</v>
      </c>
      <c r="N61" s="182">
        <f t="shared" si="21"/>
        <v>126.77838077655082</v>
      </c>
      <c r="O61" s="182">
        <f t="shared" si="21"/>
        <v>134.14595336099998</v>
      </c>
    </row>
    <row r="62" spans="1:16" ht="6" customHeight="1">
      <c r="D62" s="19"/>
      <c r="F62" s="151"/>
      <c r="H62" s="157"/>
      <c r="I62" s="157"/>
      <c r="J62" s="157"/>
      <c r="K62" s="475"/>
      <c r="L62" s="475"/>
      <c r="M62" s="475"/>
      <c r="N62" s="475"/>
      <c r="O62" s="475"/>
    </row>
    <row r="63" spans="1:16" ht="12.75" customHeight="1">
      <c r="C63" s="110" t="s">
        <v>35</v>
      </c>
      <c r="D63" s="19"/>
      <c r="F63" s="151"/>
      <c r="H63" s="157"/>
      <c r="I63" s="157"/>
      <c r="J63" s="157"/>
      <c r="K63" s="157"/>
      <c r="L63" s="157"/>
      <c r="M63" s="157"/>
      <c r="N63" s="157"/>
      <c r="O63" s="157"/>
    </row>
    <row r="64" spans="1:16" ht="12.75" customHeight="1">
      <c r="A64" s="23"/>
      <c r="D64" s="19" t="str">
        <f>D49</f>
        <v>Rent</v>
      </c>
      <c r="F64" s="96" t="s">
        <v>172</v>
      </c>
      <c r="H64" s="149"/>
      <c r="I64" s="149"/>
      <c r="J64" s="149"/>
      <c r="K64" s="471">
        <f>Assumptions!E29</f>
        <v>23.5</v>
      </c>
      <c r="L64" s="472">
        <f>K64*(1+L$40)</f>
        <v>23.97</v>
      </c>
      <c r="M64" s="472">
        <f t="shared" ref="M64:O64" si="22">L64*(1+M$40)</f>
        <v>24.449400000000001</v>
      </c>
      <c r="N64" s="472">
        <f t="shared" si="22"/>
        <v>25.060634999999998</v>
      </c>
      <c r="O64" s="472">
        <f t="shared" si="22"/>
        <v>25.687150874999997</v>
      </c>
    </row>
    <row r="65" spans="1:15" ht="12.75" customHeight="1">
      <c r="D65" s="19" t="str">
        <f>D50</f>
        <v>Operating Labour</v>
      </c>
      <c r="F65" s="96" t="s">
        <v>172</v>
      </c>
      <c r="H65" s="149"/>
      <c r="I65" s="149"/>
      <c r="J65" s="149"/>
      <c r="K65" s="471">
        <f>Assumptions!E30</f>
        <v>43.5</v>
      </c>
      <c r="L65" s="472">
        <f t="shared" ref="L65:L66" si="23">K65*(1+L$40)</f>
        <v>44.37</v>
      </c>
      <c r="M65" s="472">
        <f t="shared" ref="M65:O65" si="24">L65*(1+M$40)</f>
        <v>45.257399999999997</v>
      </c>
      <c r="N65" s="472">
        <f t="shared" si="24"/>
        <v>46.388834999999993</v>
      </c>
      <c r="O65" s="472">
        <f t="shared" si="24"/>
        <v>47.548555874999991</v>
      </c>
    </row>
    <row r="66" spans="1:15" ht="13" customHeight="1">
      <c r="D66" t="str">
        <f>D51</f>
        <v>Other</v>
      </c>
      <c r="F66" s="96" t="s">
        <v>172</v>
      </c>
      <c r="H66" s="149"/>
      <c r="I66" s="149"/>
      <c r="J66" s="149"/>
      <c r="K66" s="473">
        <f>Assumptions!E31</f>
        <v>2</v>
      </c>
      <c r="L66" s="474">
        <f t="shared" si="23"/>
        <v>2.04</v>
      </c>
      <c r="M66" s="474">
        <f t="shared" ref="M66:O66" si="25">L66*(1+M$40)</f>
        <v>2.0808</v>
      </c>
      <c r="N66" s="474">
        <f t="shared" si="25"/>
        <v>2.1328199999999997</v>
      </c>
      <c r="O66" s="474">
        <f t="shared" si="25"/>
        <v>2.1861404999999996</v>
      </c>
    </row>
    <row r="67" spans="1:15" ht="13" customHeight="1">
      <c r="D67" s="100" t="s">
        <v>50</v>
      </c>
      <c r="F67" s="151" t="s">
        <v>172</v>
      </c>
      <c r="H67" s="152"/>
      <c r="I67" s="152"/>
      <c r="J67" s="152"/>
      <c r="K67" s="182">
        <f>SUM(K64:K66)</f>
        <v>69</v>
      </c>
      <c r="L67" s="182">
        <f t="shared" ref="L67:O67" si="26">SUM(L64:L66)</f>
        <v>70.38000000000001</v>
      </c>
      <c r="M67" s="182">
        <f t="shared" si="26"/>
        <v>71.787599999999998</v>
      </c>
      <c r="N67" s="182">
        <f t="shared" si="26"/>
        <v>73.582289999999986</v>
      </c>
      <c r="O67" s="182">
        <f t="shared" si="26"/>
        <v>75.421847249999985</v>
      </c>
    </row>
    <row r="68" spans="1:15" ht="6" customHeight="1">
      <c r="C68" s="123"/>
      <c r="H68" s="153"/>
      <c r="I68" s="153"/>
      <c r="J68" s="153"/>
      <c r="K68" s="153"/>
      <c r="L68" s="153"/>
      <c r="M68" s="153"/>
      <c r="N68" s="153"/>
      <c r="O68" s="153"/>
    </row>
    <row r="69" spans="1:15" ht="13.5" thickBot="1">
      <c r="C69" s="100" t="s">
        <v>45</v>
      </c>
      <c r="F69" s="151" t="s">
        <v>172</v>
      </c>
      <c r="H69" s="158"/>
      <c r="I69" s="158"/>
      <c r="J69" s="158"/>
      <c r="K69" s="476">
        <f>SUM(K61,K67)</f>
        <v>174.68685483870968</v>
      </c>
      <c r="L69" s="476">
        <f t="shared" ref="L69:O69" si="27">SUM(L61,L67)</f>
        <v>182.49261561290325</v>
      </c>
      <c r="M69" s="476">
        <f t="shared" si="27"/>
        <v>190.71666264216776</v>
      </c>
      <c r="N69" s="476">
        <f t="shared" si="27"/>
        <v>200.36067077655082</v>
      </c>
      <c r="O69" s="476">
        <f t="shared" si="27"/>
        <v>209.56780061099997</v>
      </c>
    </row>
    <row r="70" spans="1:15" ht="12.75" customHeight="1" thickTop="1">
      <c r="B70" s="163"/>
      <c r="C70" s="164"/>
      <c r="D70" s="11"/>
      <c r="E70" s="11"/>
      <c r="F70" s="165"/>
      <c r="G70" s="166"/>
      <c r="H70" s="166"/>
      <c r="I70" s="166"/>
      <c r="J70" s="166"/>
      <c r="K70" s="166"/>
      <c r="L70" s="166"/>
      <c r="M70" s="166"/>
      <c r="N70" s="166"/>
      <c r="O70" s="166"/>
    </row>
    <row r="71" spans="1:15">
      <c r="H71" s="167"/>
      <c r="I71" s="167"/>
      <c r="J71" s="167"/>
      <c r="K71" s="167"/>
      <c r="L71" s="167"/>
      <c r="M71" s="167"/>
      <c r="N71" s="167"/>
      <c r="O71" s="167"/>
    </row>
    <row r="72" spans="1:15" ht="12.75" customHeight="1">
      <c r="A72" s="91"/>
      <c r="B72" s="1"/>
      <c r="C72" s="3"/>
      <c r="D72" s="3"/>
      <c r="E72" s="3"/>
      <c r="F72" s="90"/>
      <c r="G72" s="3"/>
      <c r="H72" s="3"/>
      <c r="I72" s="3"/>
      <c r="J72" s="3"/>
      <c r="K72" s="3"/>
      <c r="L72" s="3"/>
      <c r="M72" s="3"/>
      <c r="N72" s="3"/>
      <c r="O72" s="134" t="str">
        <f>$O$1</f>
        <v>CURRENTLY RUNNING: BASE CASE SCENARIO</v>
      </c>
    </row>
    <row r="73" spans="1:15" ht="23">
      <c r="A73" s="91"/>
      <c r="B73" s="1" t="str">
        <f>B$2</f>
        <v>Green Containers Company</v>
      </c>
      <c r="C73" s="3"/>
      <c r="D73" s="3"/>
      <c r="E73" s="3"/>
      <c r="F73" s="90"/>
      <c r="G73" s="3"/>
      <c r="H73" s="3"/>
      <c r="I73" s="3"/>
      <c r="J73" s="3"/>
      <c r="K73" s="3"/>
      <c r="L73" s="3"/>
      <c r="M73" s="3"/>
      <c r="N73" s="3"/>
      <c r="O73" s="3"/>
    </row>
    <row r="74" spans="1:15" ht="18">
      <c r="A74" s="92"/>
      <c r="B74" s="93" t="s">
        <v>37</v>
      </c>
      <c r="C74" s="94"/>
      <c r="D74" s="94"/>
      <c r="E74" s="94"/>
      <c r="F74" s="95"/>
      <c r="G74" s="94"/>
      <c r="H74" s="94"/>
      <c r="I74" s="94"/>
      <c r="J74" s="94"/>
      <c r="K74" s="94"/>
      <c r="L74" s="94"/>
      <c r="M74" s="94"/>
      <c r="N74" s="94"/>
      <c r="O74" s="94"/>
    </row>
    <row r="75" spans="1:15" ht="3" customHeight="1" thickBot="1">
      <c r="A75" s="92"/>
      <c r="B75" s="371"/>
      <c r="C75" s="372"/>
      <c r="D75" s="372"/>
      <c r="E75" s="372"/>
      <c r="F75" s="373"/>
      <c r="G75" s="372"/>
      <c r="H75" s="372"/>
      <c r="I75" s="372"/>
      <c r="J75" s="372"/>
      <c r="K75" s="372"/>
      <c r="L75" s="372"/>
      <c r="M75" s="372"/>
      <c r="N75" s="372"/>
      <c r="O75" s="372"/>
    </row>
    <row r="76" spans="1:15" ht="15" customHeight="1">
      <c r="A76" s="93"/>
      <c r="B76" s="168" t="s">
        <v>173</v>
      </c>
      <c r="C76" s="94"/>
      <c r="D76" s="94"/>
      <c r="E76" s="94"/>
      <c r="F76" s="95"/>
      <c r="G76" s="94"/>
      <c r="H76" s="94"/>
      <c r="I76" s="94"/>
      <c r="J76" s="94"/>
      <c r="K76" s="94"/>
      <c r="L76" s="94"/>
      <c r="M76" s="94"/>
      <c r="N76" s="94"/>
      <c r="O76" s="94"/>
    </row>
    <row r="77" spans="1:15" ht="13">
      <c r="G77" s="97"/>
      <c r="K77" s="98" t="s">
        <v>2</v>
      </c>
      <c r="L77" s="20"/>
      <c r="M77" s="20"/>
      <c r="N77" s="20"/>
      <c r="O77" s="20"/>
    </row>
    <row r="78" spans="1:15" ht="13">
      <c r="G78" s="21"/>
      <c r="H78" s="363">
        <f t="shared" ref="H78:J78" si="28">H$7</f>
        <v>2020</v>
      </c>
      <c r="I78" s="363">
        <f t="shared" si="28"/>
        <v>2021</v>
      </c>
      <c r="J78" s="363">
        <f t="shared" si="28"/>
        <v>2022</v>
      </c>
      <c r="K78" s="364">
        <f>K$7</f>
        <v>2023</v>
      </c>
      <c r="L78" s="364">
        <f>L$7</f>
        <v>2024</v>
      </c>
      <c r="M78" s="364">
        <f>M$7</f>
        <v>2025</v>
      </c>
      <c r="N78" s="364">
        <f>N$7</f>
        <v>2026</v>
      </c>
      <c r="O78" s="364">
        <f>O$7</f>
        <v>2027</v>
      </c>
    </row>
    <row r="79" spans="1:15" ht="6" customHeight="1">
      <c r="G79" s="21"/>
      <c r="H79" s="21"/>
      <c r="I79" s="21"/>
      <c r="J79" s="21"/>
      <c r="K79" s="169"/>
      <c r="L79" s="169"/>
      <c r="M79" s="169"/>
      <c r="N79" s="61"/>
      <c r="O79" s="102"/>
    </row>
    <row r="80" spans="1:15" ht="13">
      <c r="B80" s="170" t="s">
        <v>111</v>
      </c>
      <c r="C80" s="171"/>
      <c r="D80" s="171"/>
      <c r="E80" s="171"/>
      <c r="F80" s="171" t="s">
        <v>76</v>
      </c>
      <c r="G80" s="172"/>
      <c r="H80" s="173"/>
      <c r="I80" s="173"/>
      <c r="J80" s="173">
        <f t="shared" ref="J80" si="29">J20</f>
        <v>344.4700460829493</v>
      </c>
      <c r="K80" s="484">
        <f>K39</f>
        <v>361.69354838709677</v>
      </c>
      <c r="L80" s="484">
        <f t="shared" ref="L80:O80" si="30">L39</f>
        <v>376.16129032258067</v>
      </c>
      <c r="M80" s="484">
        <f t="shared" si="30"/>
        <v>391.20774193548391</v>
      </c>
      <c r="N80" s="484">
        <f t="shared" si="30"/>
        <v>406.85605161290329</v>
      </c>
      <c r="O80" s="485">
        <f t="shared" si="30"/>
        <v>420</v>
      </c>
    </row>
    <row r="81" spans="1:15" ht="6" customHeight="1">
      <c r="F81" s="101"/>
      <c r="G81" s="21"/>
      <c r="H81" s="21"/>
      <c r="I81" s="21"/>
      <c r="J81" s="21"/>
      <c r="K81" s="169"/>
      <c r="L81" s="169"/>
      <c r="M81" s="169"/>
      <c r="N81" s="61"/>
      <c r="O81" s="102"/>
    </row>
    <row r="82" spans="1:15" ht="13">
      <c r="B82" s="123" t="s">
        <v>43</v>
      </c>
      <c r="F82" s="101"/>
      <c r="G82" s="21"/>
      <c r="H82" s="21"/>
      <c r="I82" s="21"/>
      <c r="J82" s="21"/>
      <c r="K82" s="169"/>
      <c r="L82" s="169"/>
      <c r="M82" s="169"/>
      <c r="N82" s="61"/>
      <c r="O82" s="102"/>
    </row>
    <row r="83" spans="1:15" ht="13">
      <c r="C83" t="s">
        <v>44</v>
      </c>
      <c r="F83" s="101"/>
      <c r="G83" s="21"/>
      <c r="H83" s="149">
        <v>244.79999999999998</v>
      </c>
      <c r="I83" s="149">
        <v>269.3</v>
      </c>
      <c r="J83" s="149">
        <v>239.2</v>
      </c>
      <c r="K83" s="486">
        <f>K26</f>
        <v>289.35483870967738</v>
      </c>
      <c r="L83" s="486">
        <f t="shared" ref="L83:O83" si="31">L26</f>
        <v>272.716935483871</v>
      </c>
      <c r="M83" s="486">
        <f t="shared" si="31"/>
        <v>322.74638709677424</v>
      </c>
      <c r="N83" s="486">
        <f t="shared" si="31"/>
        <v>325.48484129032266</v>
      </c>
      <c r="O83" s="486">
        <f t="shared" si="31"/>
        <v>315</v>
      </c>
    </row>
    <row r="84" spans="1:15" ht="13">
      <c r="C84" s="19" t="s">
        <v>51</v>
      </c>
      <c r="F84" s="101"/>
      <c r="G84" s="21"/>
      <c r="H84" s="174">
        <v>31.3</v>
      </c>
      <c r="I84" s="174">
        <v>32.700000000000003</v>
      </c>
      <c r="J84" s="174">
        <v>34.4</v>
      </c>
      <c r="K84" s="487">
        <f>K27</f>
        <v>36.892741935483869</v>
      </c>
      <c r="L84" s="487">
        <f t="shared" ref="L84:O84" si="32">L27</f>
        <v>39.135820645161296</v>
      </c>
      <c r="M84" s="487">
        <f t="shared" si="32"/>
        <v>41.515278540387101</v>
      </c>
      <c r="N84" s="487">
        <f t="shared" si="32"/>
        <v>44.255286924052648</v>
      </c>
      <c r="O84" s="487">
        <f t="shared" si="32"/>
        <v>46.827129509999992</v>
      </c>
    </row>
    <row r="85" spans="1:15" ht="13">
      <c r="C85" s="123" t="s">
        <v>3</v>
      </c>
      <c r="F85" s="124"/>
      <c r="G85" s="21"/>
      <c r="H85" s="175">
        <f t="shared" ref="H85:O85" si="33">+H83-H84</f>
        <v>213.49999999999997</v>
      </c>
      <c r="I85" s="175">
        <f t="shared" si="33"/>
        <v>236.60000000000002</v>
      </c>
      <c r="J85" s="175">
        <f t="shared" si="33"/>
        <v>204.79999999999998</v>
      </c>
      <c r="K85" s="488">
        <f t="shared" si="33"/>
        <v>252.46209677419353</v>
      </c>
      <c r="L85" s="488">
        <f t="shared" si="33"/>
        <v>233.58111483870971</v>
      </c>
      <c r="M85" s="488">
        <f t="shared" si="33"/>
        <v>281.23110855638714</v>
      </c>
      <c r="N85" s="488">
        <f t="shared" si="33"/>
        <v>281.22955436627001</v>
      </c>
      <c r="O85" s="488">
        <f t="shared" si="33"/>
        <v>268.17287049000004</v>
      </c>
    </row>
    <row r="86" spans="1:15" ht="13">
      <c r="F86" s="101"/>
      <c r="G86" s="21"/>
      <c r="H86" s="176"/>
      <c r="I86" s="176"/>
      <c r="J86" s="176"/>
      <c r="K86" s="177"/>
      <c r="L86" s="177"/>
      <c r="M86" s="177"/>
      <c r="N86" s="177"/>
      <c r="O86" s="156"/>
    </row>
    <row r="87" spans="1:15" ht="13">
      <c r="C87" t="s">
        <v>4</v>
      </c>
      <c r="F87" s="101"/>
      <c r="G87" s="21"/>
      <c r="H87" s="178">
        <v>159.9</v>
      </c>
      <c r="I87" s="178">
        <v>164.6</v>
      </c>
      <c r="J87" s="178">
        <v>167.9</v>
      </c>
      <c r="K87" s="486">
        <f>K69</f>
        <v>174.68685483870968</v>
      </c>
      <c r="L87" s="486">
        <f t="shared" ref="L87:O87" si="34">L69</f>
        <v>182.49261561290325</v>
      </c>
      <c r="M87" s="486">
        <f t="shared" si="34"/>
        <v>190.71666264216776</v>
      </c>
      <c r="N87" s="486">
        <f t="shared" si="34"/>
        <v>200.36067077655082</v>
      </c>
      <c r="O87" s="486">
        <f t="shared" si="34"/>
        <v>209.56780061099997</v>
      </c>
    </row>
    <row r="88" spans="1:15" ht="13">
      <c r="A88" s="128"/>
      <c r="C88" s="10" t="s">
        <v>36</v>
      </c>
      <c r="F88" s="101"/>
      <c r="G88" s="21"/>
      <c r="H88" s="179">
        <v>3.4</v>
      </c>
      <c r="I88" s="179">
        <v>3.6</v>
      </c>
      <c r="J88" s="179">
        <v>3.8</v>
      </c>
      <c r="K88" s="480">
        <f>Assumptions!E32</f>
        <v>3.9</v>
      </c>
      <c r="L88" s="487">
        <f>K88*(1+L40)</f>
        <v>3.9779999999999998</v>
      </c>
      <c r="M88" s="487">
        <f t="shared" ref="M88:O88" si="35">L88*(1+M40)</f>
        <v>4.0575599999999996</v>
      </c>
      <c r="N88" s="487">
        <f t="shared" si="35"/>
        <v>4.1589989999999997</v>
      </c>
      <c r="O88" s="487">
        <f t="shared" si="35"/>
        <v>4.2629739749999995</v>
      </c>
    </row>
    <row r="89" spans="1:15" ht="13">
      <c r="C89" s="100" t="s">
        <v>45</v>
      </c>
      <c r="F89" s="124"/>
      <c r="G89" s="21"/>
      <c r="H89" s="175">
        <f t="shared" ref="H89:O89" si="36">SUM(H87:H88)</f>
        <v>163.30000000000001</v>
      </c>
      <c r="I89" s="175">
        <f t="shared" si="36"/>
        <v>168.2</v>
      </c>
      <c r="J89" s="175">
        <f t="shared" si="36"/>
        <v>171.70000000000002</v>
      </c>
      <c r="K89" s="488">
        <f t="shared" si="36"/>
        <v>178.58685483870968</v>
      </c>
      <c r="L89" s="488">
        <f t="shared" si="36"/>
        <v>186.47061561290326</v>
      </c>
      <c r="M89" s="488">
        <f t="shared" si="36"/>
        <v>194.77422264216776</v>
      </c>
      <c r="N89" s="488">
        <f t="shared" si="36"/>
        <v>204.51966977655081</v>
      </c>
      <c r="O89" s="488">
        <f t="shared" si="36"/>
        <v>213.83077458599996</v>
      </c>
    </row>
    <row r="90" spans="1:15" ht="13">
      <c r="C90" s="100"/>
      <c r="F90" s="124"/>
      <c r="G90" s="21"/>
      <c r="H90" s="180"/>
      <c r="I90" s="180"/>
      <c r="J90" s="180"/>
      <c r="K90" s="489"/>
      <c r="L90" s="489"/>
      <c r="M90" s="489"/>
      <c r="N90" s="489"/>
      <c r="O90" s="489"/>
    </row>
    <row r="91" spans="1:15" ht="13">
      <c r="A91" s="128"/>
      <c r="C91" s="10" t="s">
        <v>163</v>
      </c>
      <c r="F91" s="101"/>
      <c r="G91" s="21"/>
      <c r="H91" s="181">
        <v>0</v>
      </c>
      <c r="I91" s="181">
        <v>0</v>
      </c>
      <c r="J91" s="181">
        <v>0</v>
      </c>
      <c r="K91" s="480">
        <f>Assumptions!J53</f>
        <v>0</v>
      </c>
      <c r="L91" s="480">
        <f>Assumptions!K53</f>
        <v>0</v>
      </c>
      <c r="M91" s="480">
        <f>Assumptions!L53</f>
        <v>0</v>
      </c>
      <c r="N91" s="480">
        <f>Assumptions!M53</f>
        <v>0</v>
      </c>
      <c r="O91" s="480">
        <f>Assumptions!N53</f>
        <v>0</v>
      </c>
    </row>
    <row r="92" spans="1:15" ht="13">
      <c r="B92" s="123"/>
      <c r="C92" s="123" t="s">
        <v>5</v>
      </c>
      <c r="F92" s="124"/>
      <c r="H92" s="182">
        <f t="shared" ref="H92:O92" si="37">H85-H89+H91</f>
        <v>50.19999999999996</v>
      </c>
      <c r="I92" s="182">
        <f t="shared" si="37"/>
        <v>68.400000000000034</v>
      </c>
      <c r="J92" s="182">
        <f t="shared" si="37"/>
        <v>33.099999999999966</v>
      </c>
      <c r="K92" s="182">
        <f t="shared" si="37"/>
        <v>73.875241935483842</v>
      </c>
      <c r="L92" s="182">
        <f t="shared" si="37"/>
        <v>47.11049922580645</v>
      </c>
      <c r="M92" s="182">
        <f t="shared" si="37"/>
        <v>86.456885914219384</v>
      </c>
      <c r="N92" s="182">
        <f t="shared" si="37"/>
        <v>76.709884589719195</v>
      </c>
      <c r="O92" s="182">
        <f t="shared" si="37"/>
        <v>54.342095904000075</v>
      </c>
    </row>
    <row r="93" spans="1:15">
      <c r="F93" s="101"/>
      <c r="H93" s="153"/>
      <c r="I93" s="153"/>
      <c r="J93" s="183"/>
      <c r="K93" s="490"/>
      <c r="L93" s="490"/>
      <c r="M93" s="490"/>
      <c r="N93" s="490"/>
      <c r="O93" s="490"/>
    </row>
    <row r="94" spans="1:15">
      <c r="C94" t="s">
        <v>46</v>
      </c>
      <c r="F94" s="101"/>
      <c r="H94" s="184">
        <v>15.4</v>
      </c>
      <c r="I94" s="184">
        <v>15.5</v>
      </c>
      <c r="J94" s="184">
        <v>15.8</v>
      </c>
      <c r="K94" s="474">
        <f>K211</f>
        <v>16.174666666666667</v>
      </c>
      <c r="L94" s="474">
        <f t="shared" ref="L94:O94" si="38">L211</f>
        <v>16.724666666666668</v>
      </c>
      <c r="M94" s="474">
        <f t="shared" si="38"/>
        <v>17.296333333333333</v>
      </c>
      <c r="N94" s="474">
        <f t="shared" si="38"/>
        <v>17.876333333333335</v>
      </c>
      <c r="O94" s="474">
        <f t="shared" si="38"/>
        <v>18.468</v>
      </c>
    </row>
    <row r="95" spans="1:15" ht="13">
      <c r="C95" s="100" t="s">
        <v>7</v>
      </c>
      <c r="F95" s="124"/>
      <c r="H95" s="152">
        <f t="shared" ref="H95:O95" si="39">H92-H94</f>
        <v>34.799999999999962</v>
      </c>
      <c r="I95" s="152">
        <f t="shared" si="39"/>
        <v>52.900000000000034</v>
      </c>
      <c r="J95" s="152">
        <f t="shared" si="39"/>
        <v>17.299999999999965</v>
      </c>
      <c r="K95" s="182">
        <f t="shared" si="39"/>
        <v>57.700575268817175</v>
      </c>
      <c r="L95" s="182">
        <f t="shared" si="39"/>
        <v>30.385832559139782</v>
      </c>
      <c r="M95" s="182">
        <f t="shared" si="39"/>
        <v>69.160552580886048</v>
      </c>
      <c r="N95" s="182">
        <f t="shared" si="39"/>
        <v>58.83355125638586</v>
      </c>
      <c r="O95" s="182">
        <f t="shared" si="39"/>
        <v>35.874095904000072</v>
      </c>
    </row>
    <row r="96" spans="1:15" ht="6" customHeight="1">
      <c r="C96" s="100"/>
      <c r="F96" s="124"/>
      <c r="H96" s="157"/>
      <c r="I96" s="157"/>
      <c r="J96" s="157"/>
      <c r="K96" s="157"/>
      <c r="L96" s="157"/>
      <c r="M96" s="157"/>
      <c r="N96" s="157"/>
      <c r="O96" s="157"/>
    </row>
    <row r="97" spans="2:16">
      <c r="C97" s="19" t="s">
        <v>73</v>
      </c>
      <c r="F97" s="101"/>
      <c r="H97" s="185">
        <v>15</v>
      </c>
      <c r="I97" s="185">
        <v>15</v>
      </c>
      <c r="J97" s="185">
        <v>14</v>
      </c>
      <c r="K97" s="474">
        <f>K316</f>
        <v>11.997</v>
      </c>
      <c r="L97" s="474">
        <f t="shared" ref="L97:O97" si="40">L316</f>
        <v>10.564527457357491</v>
      </c>
      <c r="M97" s="474">
        <f t="shared" si="40"/>
        <v>9.4645185852770624</v>
      </c>
      <c r="N97" s="474">
        <f t="shared" si="40"/>
        <v>7.5736377461636701</v>
      </c>
      <c r="O97" s="474">
        <f t="shared" si="40"/>
        <v>5.9858178051259161</v>
      </c>
    </row>
    <row r="98" spans="2:16" ht="13">
      <c r="C98" s="110" t="s">
        <v>75</v>
      </c>
      <c r="F98" s="124"/>
      <c r="H98" s="150">
        <f t="shared" ref="H98:O98" si="41">H95-H97</f>
        <v>19.799999999999962</v>
      </c>
      <c r="I98" s="150">
        <f t="shared" si="41"/>
        <v>37.900000000000034</v>
      </c>
      <c r="J98" s="150">
        <f t="shared" si="41"/>
        <v>3.2999999999999652</v>
      </c>
      <c r="K98" s="472">
        <f t="shared" si="41"/>
        <v>45.703575268817175</v>
      </c>
      <c r="L98" s="472">
        <f t="shared" si="41"/>
        <v>19.821305101782293</v>
      </c>
      <c r="M98" s="472">
        <f t="shared" si="41"/>
        <v>59.696033995608985</v>
      </c>
      <c r="N98" s="472">
        <f t="shared" si="41"/>
        <v>51.259913510222191</v>
      </c>
      <c r="O98" s="472">
        <f t="shared" si="41"/>
        <v>29.888278098874157</v>
      </c>
    </row>
    <row r="99" spans="2:16" ht="6" customHeight="1">
      <c r="C99" s="100"/>
      <c r="F99" s="124"/>
      <c r="H99" s="186"/>
      <c r="I99" s="186"/>
      <c r="J99" s="186"/>
      <c r="K99" s="186"/>
      <c r="L99" s="157"/>
      <c r="M99" s="152"/>
      <c r="N99" s="152"/>
      <c r="O99" s="157"/>
    </row>
    <row r="100" spans="2:16">
      <c r="C100" t="s">
        <v>93</v>
      </c>
      <c r="F100" s="101"/>
      <c r="H100" s="149">
        <v>3</v>
      </c>
      <c r="I100" s="149">
        <v>8</v>
      </c>
      <c r="J100" s="149">
        <v>0</v>
      </c>
      <c r="K100" s="472">
        <f>K231</f>
        <v>14.24625134408601</v>
      </c>
      <c r="L100" s="472">
        <f t="shared" ref="L100:O100" si="42">L231</f>
        <v>5.1874567856238025</v>
      </c>
      <c r="M100" s="472">
        <f t="shared" si="42"/>
        <v>19.143611898463142</v>
      </c>
      <c r="N100" s="472">
        <f t="shared" si="42"/>
        <v>16.190969728577766</v>
      </c>
      <c r="O100" s="472">
        <f t="shared" si="42"/>
        <v>8.7108973346059546</v>
      </c>
    </row>
    <row r="101" spans="2:16">
      <c r="C101" t="s">
        <v>147</v>
      </c>
      <c r="F101" s="101"/>
      <c r="H101" s="174">
        <v>2.7</v>
      </c>
      <c r="I101" s="174">
        <v>6.2</v>
      </c>
      <c r="J101" s="174">
        <v>1.1000000000000001</v>
      </c>
      <c r="K101" s="474">
        <f>K232</f>
        <v>1.75</v>
      </c>
      <c r="L101" s="474">
        <f t="shared" ref="L101:O101" si="43">L232</f>
        <v>1.75</v>
      </c>
      <c r="M101" s="474">
        <f t="shared" si="43"/>
        <v>1.75</v>
      </c>
      <c r="N101" s="474">
        <f t="shared" si="43"/>
        <v>1.75</v>
      </c>
      <c r="O101" s="474">
        <f t="shared" si="43"/>
        <v>1.75</v>
      </c>
    </row>
    <row r="102" spans="2:16" ht="13">
      <c r="C102" s="123" t="s">
        <v>94</v>
      </c>
      <c r="F102" s="124"/>
      <c r="H102" s="187">
        <f t="shared" ref="H102:O102" si="44">SUM(H100:H101)</f>
        <v>5.7</v>
      </c>
      <c r="I102" s="187">
        <f t="shared" si="44"/>
        <v>14.2</v>
      </c>
      <c r="J102" s="187">
        <f t="shared" si="44"/>
        <v>1.1000000000000001</v>
      </c>
      <c r="K102" s="187">
        <f t="shared" si="44"/>
        <v>15.99625134408601</v>
      </c>
      <c r="L102" s="187">
        <f t="shared" si="44"/>
        <v>6.9374567856238025</v>
      </c>
      <c r="M102" s="187">
        <f t="shared" si="44"/>
        <v>20.893611898463142</v>
      </c>
      <c r="N102" s="187">
        <f t="shared" si="44"/>
        <v>17.940969728577766</v>
      </c>
      <c r="O102" s="187">
        <f t="shared" si="44"/>
        <v>10.460897334605955</v>
      </c>
    </row>
    <row r="103" spans="2:16">
      <c r="F103" s="101"/>
    </row>
    <row r="104" spans="2:16" ht="13.5" thickBot="1">
      <c r="C104" s="188" t="s">
        <v>8</v>
      </c>
      <c r="D104" s="123"/>
      <c r="E104" s="123"/>
      <c r="F104" s="124"/>
      <c r="H104" s="189">
        <f t="shared" ref="H104:O104" si="45">H98-H102</f>
        <v>14.099999999999962</v>
      </c>
      <c r="I104" s="189">
        <f t="shared" si="45"/>
        <v>23.700000000000035</v>
      </c>
      <c r="J104" s="189">
        <f t="shared" si="45"/>
        <v>2.1999999999999651</v>
      </c>
      <c r="K104" s="189">
        <f t="shared" si="45"/>
        <v>29.707323924731163</v>
      </c>
      <c r="L104" s="189">
        <f t="shared" si="45"/>
        <v>12.883848316158492</v>
      </c>
      <c r="M104" s="189">
        <f t="shared" si="45"/>
        <v>38.802422097145843</v>
      </c>
      <c r="N104" s="189">
        <f t="shared" si="45"/>
        <v>33.318943781644421</v>
      </c>
      <c r="O104" s="189">
        <f t="shared" si="45"/>
        <v>19.4273807642682</v>
      </c>
    </row>
    <row r="105" spans="2:16" ht="13.5" thickTop="1">
      <c r="C105" s="190"/>
      <c r="F105"/>
      <c r="H105" s="191"/>
      <c r="I105" s="191"/>
      <c r="J105" s="191"/>
      <c r="K105" s="191"/>
      <c r="L105" s="191"/>
      <c r="M105" s="191"/>
      <c r="N105" s="191"/>
      <c r="O105" s="191"/>
    </row>
    <row r="106" spans="2:16">
      <c r="H106" s="167"/>
      <c r="I106" s="167"/>
      <c r="J106" s="167"/>
      <c r="K106" s="192"/>
      <c r="L106" s="192"/>
      <c r="M106" s="192"/>
      <c r="N106" s="192"/>
      <c r="O106" s="192"/>
    </row>
    <row r="107" spans="2:16" ht="13">
      <c r="B107" s="193" t="s">
        <v>38</v>
      </c>
      <c r="C107" s="5"/>
      <c r="D107" s="5"/>
      <c r="E107" s="5"/>
      <c r="F107" s="194"/>
      <c r="G107" s="5"/>
      <c r="H107" s="195"/>
      <c r="I107" s="195"/>
      <c r="J107" s="195"/>
      <c r="K107" s="195"/>
      <c r="L107" s="195"/>
      <c r="M107" s="195"/>
      <c r="N107" s="195"/>
      <c r="O107" s="196"/>
    </row>
    <row r="108" spans="2:16" ht="13">
      <c r="B108" s="6"/>
      <c r="C108" t="s">
        <v>39</v>
      </c>
      <c r="H108" s="197">
        <f t="shared" ref="H108:O108" si="46">H92/H85</f>
        <v>0.23512880562060876</v>
      </c>
      <c r="I108" s="197">
        <f t="shared" si="46"/>
        <v>0.28909551986475074</v>
      </c>
      <c r="J108" s="197">
        <f t="shared" si="46"/>
        <v>0.16162109374999983</v>
      </c>
      <c r="K108" s="197">
        <f t="shared" si="46"/>
        <v>0.29261914116778937</v>
      </c>
      <c r="L108" s="197">
        <f t="shared" si="46"/>
        <v>0.20168796290888824</v>
      </c>
      <c r="M108" s="197">
        <f t="shared" si="46"/>
        <v>0.30742291049528286</v>
      </c>
      <c r="N108" s="197">
        <f t="shared" si="46"/>
        <v>0.27276608520956924</v>
      </c>
      <c r="O108" s="510">
        <f t="shared" si="46"/>
        <v>0.20263830492885912</v>
      </c>
      <c r="P108" s="198"/>
    </row>
    <row r="109" spans="2:16" ht="13">
      <c r="B109" s="6"/>
      <c r="C109" t="s">
        <v>40</v>
      </c>
      <c r="F109" s="199"/>
      <c r="H109" s="197">
        <f t="shared" ref="H109:O109" si="47">H95/H85</f>
        <v>0.16299765807962513</v>
      </c>
      <c r="I109" s="197">
        <f t="shared" si="47"/>
        <v>0.22358410819949293</v>
      </c>
      <c r="J109" s="197">
        <f t="shared" si="47"/>
        <v>8.4472656249999833E-2</v>
      </c>
      <c r="K109" s="197">
        <f t="shared" si="47"/>
        <v>0.22855143804190761</v>
      </c>
      <c r="L109" s="197">
        <f t="shared" si="47"/>
        <v>0.13008685475331142</v>
      </c>
      <c r="M109" s="197">
        <f t="shared" si="47"/>
        <v>0.24592070534408636</v>
      </c>
      <c r="N109" s="197">
        <f t="shared" si="47"/>
        <v>0.20920116802433128</v>
      </c>
      <c r="O109" s="510">
        <f t="shared" si="47"/>
        <v>0.13377227845028339</v>
      </c>
    </row>
    <row r="110" spans="2:16" ht="13">
      <c r="B110" s="12"/>
      <c r="C110" s="11" t="s">
        <v>125</v>
      </c>
      <c r="D110" s="11"/>
      <c r="E110" s="11"/>
      <c r="F110" s="200"/>
      <c r="G110" s="11"/>
      <c r="H110" s="201"/>
      <c r="I110" s="201"/>
      <c r="J110" s="531">
        <f t="shared" ref="J110:O110" si="48">J104/J184</f>
        <v>8.5106382978722053E-3</v>
      </c>
      <c r="K110" s="531">
        <f t="shared" si="48"/>
        <v>0.1052458983713626</v>
      </c>
      <c r="L110" s="531">
        <f t="shared" si="48"/>
        <v>4.4036363764056376E-2</v>
      </c>
      <c r="M110" s="531">
        <f t="shared" si="48"/>
        <v>0.11990308554493986</v>
      </c>
      <c r="N110" s="531">
        <f t="shared" si="48"/>
        <v>9.5123592887714298E-2</v>
      </c>
      <c r="O110" s="532">
        <f t="shared" si="48"/>
        <v>5.310756402351189E-2</v>
      </c>
    </row>
    <row r="111" spans="2:16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6" ht="13">
      <c r="C112" s="202"/>
      <c r="F112" s="199"/>
      <c r="H112" s="203"/>
      <c r="I112" s="203"/>
      <c r="J112" s="203"/>
      <c r="K112" s="203"/>
      <c r="L112" s="203"/>
      <c r="M112" s="203"/>
      <c r="N112" s="203"/>
      <c r="O112" s="203"/>
    </row>
    <row r="113" spans="1:15" ht="12.75" customHeight="1">
      <c r="A113" s="91"/>
      <c r="B113" s="1"/>
      <c r="C113" s="3"/>
      <c r="D113" s="3"/>
      <c r="E113" s="3"/>
      <c r="F113" s="90"/>
      <c r="G113" s="3"/>
      <c r="H113" s="3"/>
      <c r="I113" s="3"/>
      <c r="J113" s="3"/>
      <c r="K113" s="3"/>
      <c r="L113" s="3"/>
      <c r="M113" s="3"/>
      <c r="N113" s="3"/>
      <c r="O113" s="134" t="str">
        <f>$O$1</f>
        <v>CURRENTLY RUNNING: BASE CASE SCENARIO</v>
      </c>
    </row>
    <row r="114" spans="1:15" ht="23">
      <c r="B114" s="1" t="str">
        <f>B$2</f>
        <v>Green Containers Company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8">
      <c r="B115" s="93" t="s">
        <v>47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3" customHeight="1" thickBot="1">
      <c r="A116" s="92"/>
      <c r="B116" s="371"/>
      <c r="C116" s="372"/>
      <c r="D116" s="372"/>
      <c r="E116" s="372"/>
      <c r="F116" s="373"/>
      <c r="G116" s="372"/>
      <c r="H116" s="372"/>
      <c r="I116" s="372"/>
      <c r="J116" s="372"/>
      <c r="K116" s="372"/>
      <c r="L116" s="372"/>
      <c r="M116" s="372"/>
      <c r="N116" s="372"/>
      <c r="O116" s="372"/>
    </row>
    <row r="117" spans="1:15" ht="13">
      <c r="B117" s="168" t="s">
        <v>173</v>
      </c>
      <c r="F117"/>
    </row>
    <row r="118" spans="1:15" ht="13">
      <c r="F118"/>
      <c r="K118" s="98" t="s">
        <v>2</v>
      </c>
      <c r="L118" s="20"/>
      <c r="M118" s="20"/>
      <c r="N118" s="20"/>
      <c r="O118" s="20"/>
    </row>
    <row r="119" spans="1:15" ht="13">
      <c r="B119" s="204"/>
      <c r="F119" s="205"/>
      <c r="G119" s="206"/>
      <c r="H119" s="363">
        <f t="shared" ref="H119:J119" si="49">H$7</f>
        <v>2020</v>
      </c>
      <c r="I119" s="363">
        <f t="shared" si="49"/>
        <v>2021</v>
      </c>
      <c r="J119" s="363">
        <f t="shared" si="49"/>
        <v>2022</v>
      </c>
      <c r="K119" s="365">
        <f>K$7</f>
        <v>2023</v>
      </c>
      <c r="L119" s="365">
        <f>L$7</f>
        <v>2024</v>
      </c>
      <c r="M119" s="365">
        <f>M$7</f>
        <v>2025</v>
      </c>
      <c r="N119" s="365">
        <f>N$7</f>
        <v>2026</v>
      </c>
      <c r="O119" s="365">
        <f>O$7</f>
        <v>2027</v>
      </c>
    </row>
    <row r="120" spans="1:15" ht="13">
      <c r="B120" s="123" t="s">
        <v>9</v>
      </c>
      <c r="F120"/>
    </row>
    <row r="121" spans="1:15">
      <c r="C121" t="s">
        <v>8</v>
      </c>
      <c r="F121"/>
      <c r="G121" s="208"/>
      <c r="H121" s="209">
        <v>14.099999999999962</v>
      </c>
      <c r="I121" s="209">
        <v>23.700000000000035</v>
      </c>
      <c r="J121" s="209">
        <v>2.2000000000000002</v>
      </c>
      <c r="K121" s="212">
        <f>K104</f>
        <v>29.707323924731163</v>
      </c>
      <c r="L121" s="212">
        <f t="shared" ref="L121:O121" si="50">L104</f>
        <v>12.883848316158492</v>
      </c>
      <c r="M121" s="212">
        <f t="shared" si="50"/>
        <v>38.802422097145843</v>
      </c>
      <c r="N121" s="212">
        <f t="shared" si="50"/>
        <v>33.318943781644421</v>
      </c>
      <c r="O121" s="212">
        <f t="shared" si="50"/>
        <v>19.4273807642682</v>
      </c>
    </row>
    <row r="122" spans="1:15">
      <c r="C122" t="s">
        <v>6</v>
      </c>
      <c r="F122"/>
      <c r="G122" s="208"/>
      <c r="H122" s="209">
        <v>15.4</v>
      </c>
      <c r="I122" s="209">
        <v>15.5</v>
      </c>
      <c r="J122" s="209">
        <v>15.8</v>
      </c>
      <c r="K122" s="212">
        <f>K94</f>
        <v>16.174666666666667</v>
      </c>
      <c r="L122" s="212">
        <f t="shared" ref="L122:O122" si="51">L94</f>
        <v>16.724666666666668</v>
      </c>
      <c r="M122" s="212">
        <f t="shared" si="51"/>
        <v>17.296333333333333</v>
      </c>
      <c r="N122" s="212">
        <f t="shared" si="51"/>
        <v>17.876333333333335</v>
      </c>
      <c r="O122" s="212">
        <f t="shared" si="51"/>
        <v>18.468</v>
      </c>
    </row>
    <row r="123" spans="1:15">
      <c r="C123" t="s">
        <v>147</v>
      </c>
      <c r="F123"/>
      <c r="G123" s="211"/>
      <c r="H123" s="209">
        <v>2.7</v>
      </c>
      <c r="I123" s="209">
        <v>6.2</v>
      </c>
      <c r="J123" s="209">
        <v>1.1000000000000001</v>
      </c>
      <c r="K123" s="212">
        <f>K101</f>
        <v>1.75</v>
      </c>
      <c r="L123" s="212">
        <f t="shared" ref="L123:O123" si="52">L101</f>
        <v>1.75</v>
      </c>
      <c r="M123" s="212">
        <f t="shared" si="52"/>
        <v>1.75</v>
      </c>
      <c r="N123" s="212">
        <f t="shared" si="52"/>
        <v>1.75</v>
      </c>
      <c r="O123" s="212">
        <f t="shared" si="52"/>
        <v>1.75</v>
      </c>
    </row>
    <row r="124" spans="1:15">
      <c r="C124" t="s">
        <v>126</v>
      </c>
      <c r="F124"/>
      <c r="G124" s="213"/>
      <c r="H124" s="214">
        <v>0</v>
      </c>
      <c r="I124" s="214">
        <v>0</v>
      </c>
      <c r="J124" s="215">
        <v>0</v>
      </c>
      <c r="K124" s="474">
        <f>K269</f>
        <v>-2.0659834290764323</v>
      </c>
      <c r="L124" s="474">
        <f t="shared" ref="L124:O124" si="53">L269</f>
        <v>6.5517358817469855</v>
      </c>
      <c r="M124" s="474">
        <f t="shared" si="53"/>
        <v>-1.2735903591601243</v>
      </c>
      <c r="N124" s="474">
        <f t="shared" si="53"/>
        <v>-1.1359731018459911</v>
      </c>
      <c r="O124" s="474">
        <f t="shared" si="53"/>
        <v>3.2169856855465326</v>
      </c>
    </row>
    <row r="125" spans="1:15" ht="13">
      <c r="C125" s="100" t="s">
        <v>11</v>
      </c>
      <c r="F125"/>
      <c r="G125" s="157"/>
      <c r="H125" s="216">
        <f t="shared" ref="H125:O125" si="54">SUM(H121:H124)</f>
        <v>32.199999999999967</v>
      </c>
      <c r="I125" s="216">
        <f t="shared" si="54"/>
        <v>45.400000000000034</v>
      </c>
      <c r="J125" s="216">
        <f t="shared" si="54"/>
        <v>19.100000000000001</v>
      </c>
      <c r="K125" s="516">
        <f t="shared" si="54"/>
        <v>45.566007162321398</v>
      </c>
      <c r="L125" s="516">
        <f t="shared" si="54"/>
        <v>37.910250864572149</v>
      </c>
      <c r="M125" s="516">
        <f t="shared" si="54"/>
        <v>56.575165071319049</v>
      </c>
      <c r="N125" s="516">
        <f t="shared" si="54"/>
        <v>51.809304013131765</v>
      </c>
      <c r="O125" s="516">
        <f t="shared" si="54"/>
        <v>42.862366449814729</v>
      </c>
    </row>
    <row r="126" spans="1:15">
      <c r="B126" s="10"/>
      <c r="F126"/>
      <c r="G126" s="167"/>
      <c r="H126" s="217"/>
      <c r="I126" s="217"/>
      <c r="J126" s="217"/>
      <c r="K126" s="217"/>
      <c r="L126" s="217"/>
      <c r="M126" s="217"/>
      <c r="N126" s="217"/>
      <c r="O126" s="217"/>
    </row>
    <row r="127" spans="1:15">
      <c r="B127" s="10"/>
      <c r="F127"/>
      <c r="G127" s="167"/>
      <c r="H127" s="217"/>
      <c r="I127" s="217"/>
      <c r="J127" s="217"/>
      <c r="K127" s="217"/>
      <c r="L127" s="217"/>
      <c r="M127" s="217"/>
      <c r="N127" s="217"/>
      <c r="O127" s="217"/>
    </row>
    <row r="128" spans="1:15" ht="13">
      <c r="B128" s="123" t="s">
        <v>102</v>
      </c>
      <c r="F128"/>
      <c r="G128" s="218"/>
      <c r="H128" s="219"/>
      <c r="I128" s="219"/>
      <c r="J128" s="219"/>
      <c r="K128" s="211"/>
      <c r="L128" s="211"/>
      <c r="M128" s="211"/>
      <c r="N128" s="211"/>
      <c r="O128" s="211"/>
    </row>
    <row r="129" spans="1:15">
      <c r="C129" t="s">
        <v>54</v>
      </c>
      <c r="H129" s="220">
        <v>-14.1</v>
      </c>
      <c r="I129" s="220">
        <v>-15</v>
      </c>
      <c r="J129" s="220">
        <v>-15.5</v>
      </c>
      <c r="K129" s="471">
        <f>-Assumptions!J58</f>
        <v>-16</v>
      </c>
      <c r="L129" s="471">
        <f>-Assumptions!K58</f>
        <v>-17</v>
      </c>
      <c r="M129" s="471">
        <f>-Assumptions!L58</f>
        <v>-17.3</v>
      </c>
      <c r="N129" s="471">
        <f>-Assumptions!M58</f>
        <v>-17.5</v>
      </c>
      <c r="O129" s="471">
        <f>-Assumptions!N58</f>
        <v>-18</v>
      </c>
    </row>
    <row r="130" spans="1:15">
      <c r="C130" t="s">
        <v>10</v>
      </c>
      <c r="H130" s="184">
        <v>-5</v>
      </c>
      <c r="I130" s="184">
        <v>4</v>
      </c>
      <c r="J130" s="184">
        <v>3</v>
      </c>
      <c r="K130" s="480">
        <f>Assumptions!J56</f>
        <v>0</v>
      </c>
      <c r="L130" s="480">
        <f>Assumptions!K56</f>
        <v>0</v>
      </c>
      <c r="M130" s="480">
        <f>Assumptions!L56</f>
        <v>0</v>
      </c>
      <c r="N130" s="480">
        <f>Assumptions!M56</f>
        <v>0</v>
      </c>
      <c r="O130" s="480">
        <f>Assumptions!N56</f>
        <v>0</v>
      </c>
    </row>
    <row r="131" spans="1:15" ht="13">
      <c r="A131" s="123"/>
      <c r="C131" s="123" t="s">
        <v>103</v>
      </c>
      <c r="F131"/>
      <c r="G131" s="157"/>
      <c r="H131" s="221">
        <f t="shared" ref="H131:O131" si="55">SUM(H129:H130)</f>
        <v>-19.100000000000001</v>
      </c>
      <c r="I131" s="221">
        <f t="shared" si="55"/>
        <v>-11</v>
      </c>
      <c r="J131" s="221">
        <f t="shared" si="55"/>
        <v>-12.5</v>
      </c>
      <c r="K131" s="221">
        <f t="shared" si="55"/>
        <v>-16</v>
      </c>
      <c r="L131" s="221">
        <f t="shared" si="55"/>
        <v>-17</v>
      </c>
      <c r="M131" s="221">
        <f t="shared" si="55"/>
        <v>-17.3</v>
      </c>
      <c r="N131" s="221">
        <f t="shared" si="55"/>
        <v>-17.5</v>
      </c>
      <c r="O131" s="221">
        <f t="shared" si="55"/>
        <v>-18</v>
      </c>
    </row>
    <row r="132" spans="1:15" ht="13">
      <c r="A132" s="123"/>
      <c r="B132" s="110"/>
      <c r="F132"/>
      <c r="G132" s="157"/>
      <c r="H132" s="222"/>
      <c r="I132" s="222"/>
      <c r="J132" s="223"/>
      <c r="K132" s="224"/>
      <c r="L132" s="224"/>
      <c r="M132" s="224"/>
      <c r="N132" s="224"/>
      <c r="O132" s="224"/>
    </row>
    <row r="133" spans="1:15" ht="13">
      <c r="A133" s="123"/>
      <c r="B133" s="110"/>
      <c r="F133"/>
      <c r="G133" s="157"/>
      <c r="H133" s="222"/>
      <c r="I133" s="222"/>
      <c r="J133" s="222"/>
      <c r="K133" s="224"/>
      <c r="L133" s="224"/>
      <c r="M133" s="224"/>
      <c r="N133" s="224"/>
      <c r="O133" s="224"/>
    </row>
    <row r="134" spans="1:15" ht="13">
      <c r="A134" s="123"/>
      <c r="B134" s="110" t="s">
        <v>72</v>
      </c>
      <c r="F134"/>
      <c r="G134" s="157"/>
      <c r="H134" s="225"/>
      <c r="I134" s="225"/>
      <c r="J134" s="225"/>
      <c r="K134" s="226"/>
      <c r="L134" s="226"/>
      <c r="M134" s="226"/>
      <c r="N134" s="226"/>
      <c r="O134" s="226"/>
    </row>
    <row r="135" spans="1:15" ht="13">
      <c r="A135" s="123"/>
      <c r="B135" s="110"/>
      <c r="C135" t="s">
        <v>132</v>
      </c>
      <c r="F135"/>
      <c r="G135" s="157"/>
      <c r="H135" s="220">
        <v>0</v>
      </c>
      <c r="I135" s="220">
        <v>0</v>
      </c>
      <c r="J135" s="220">
        <v>0</v>
      </c>
      <c r="K135" s="212">
        <f>K300</f>
        <v>1.0754576226248351</v>
      </c>
      <c r="L135" s="212">
        <f t="shared" ref="L135:O135" si="56">L300</f>
        <v>6.6665187986595473</v>
      </c>
      <c r="M135" s="212">
        <f t="shared" si="56"/>
        <v>-6.5146806518898854</v>
      </c>
      <c r="N135" s="212">
        <f t="shared" si="56"/>
        <v>-1.2272957693944972</v>
      </c>
      <c r="O135" s="212">
        <f t="shared" si="56"/>
        <v>2.6048902156305287</v>
      </c>
    </row>
    <row r="136" spans="1:15" ht="13">
      <c r="A136" s="123"/>
      <c r="B136" s="110"/>
      <c r="C136" t="s">
        <v>133</v>
      </c>
      <c r="F136"/>
      <c r="G136" s="157"/>
      <c r="H136" s="220">
        <v>-25</v>
      </c>
      <c r="I136" s="220">
        <v>-25</v>
      </c>
      <c r="J136" s="220">
        <v>-25</v>
      </c>
      <c r="K136" s="212">
        <f>K309</f>
        <v>-25</v>
      </c>
      <c r="L136" s="212">
        <f t="shared" ref="L136:O136" si="57">L309</f>
        <v>-25</v>
      </c>
      <c r="M136" s="212">
        <f t="shared" si="57"/>
        <v>-25</v>
      </c>
      <c r="N136" s="212">
        <f t="shared" si="57"/>
        <v>-25</v>
      </c>
      <c r="O136" s="212">
        <f t="shared" si="57"/>
        <v>-25</v>
      </c>
    </row>
    <row r="137" spans="1:15" ht="13">
      <c r="A137" s="123"/>
      <c r="B137" s="110"/>
      <c r="C137" t="s">
        <v>122</v>
      </c>
      <c r="F137"/>
      <c r="G137" s="157"/>
      <c r="H137" s="220">
        <v>0</v>
      </c>
      <c r="I137" s="220">
        <v>0</v>
      </c>
      <c r="J137" s="220">
        <v>0</v>
      </c>
      <c r="K137" s="212">
        <f>K329</f>
        <v>0</v>
      </c>
      <c r="L137" s="212">
        <f t="shared" ref="L137:O137" si="58">L329</f>
        <v>0</v>
      </c>
      <c r="M137" s="212">
        <f t="shared" si="58"/>
        <v>0</v>
      </c>
      <c r="N137" s="212">
        <f t="shared" si="58"/>
        <v>0</v>
      </c>
      <c r="O137" s="212">
        <f t="shared" si="58"/>
        <v>0</v>
      </c>
    </row>
    <row r="138" spans="1:15" ht="13">
      <c r="A138" s="123"/>
      <c r="B138" s="110"/>
      <c r="C138" t="s">
        <v>123</v>
      </c>
      <c r="F138"/>
      <c r="G138" s="157"/>
      <c r="H138" s="184">
        <v>-2.8</v>
      </c>
      <c r="I138" s="184">
        <v>-4.7</v>
      </c>
      <c r="J138" s="184">
        <v>-2.4</v>
      </c>
      <c r="K138" s="212">
        <f>-K334</f>
        <v>-5.9414647849462332</v>
      </c>
      <c r="L138" s="212">
        <f t="shared" ref="L138:O138" si="59">-L334</f>
        <v>-2.5767696632316985</v>
      </c>
      <c r="M138" s="212">
        <f t="shared" si="59"/>
        <v>-7.7604844194291687</v>
      </c>
      <c r="N138" s="212">
        <f t="shared" si="59"/>
        <v>-6.6637887563288842</v>
      </c>
      <c r="O138" s="212">
        <f t="shared" si="59"/>
        <v>-3.8854761528536401</v>
      </c>
    </row>
    <row r="139" spans="1:15" ht="13">
      <c r="A139" s="123"/>
      <c r="B139" s="110"/>
      <c r="C139" s="123" t="s">
        <v>104</v>
      </c>
      <c r="F139"/>
      <c r="G139" s="157"/>
      <c r="H139" s="221">
        <f t="shared" ref="H139:O139" si="60">SUM(H135:H138)</f>
        <v>-27.8</v>
      </c>
      <c r="I139" s="221">
        <f t="shared" si="60"/>
        <v>-29.7</v>
      </c>
      <c r="J139" s="221">
        <f t="shared" si="60"/>
        <v>-27.4</v>
      </c>
      <c r="K139" s="517">
        <f t="shared" si="60"/>
        <v>-29.866007162321399</v>
      </c>
      <c r="L139" s="517">
        <f t="shared" si="60"/>
        <v>-20.910250864572152</v>
      </c>
      <c r="M139" s="517">
        <f t="shared" si="60"/>
        <v>-39.275165071319051</v>
      </c>
      <c r="N139" s="517">
        <f t="shared" si="60"/>
        <v>-32.891084525723386</v>
      </c>
      <c r="O139" s="517">
        <f t="shared" si="60"/>
        <v>-26.280585937223112</v>
      </c>
    </row>
    <row r="140" spans="1:15" ht="13">
      <c r="A140" s="123"/>
      <c r="B140" s="110"/>
      <c r="F140"/>
      <c r="G140" s="157"/>
      <c r="H140" s="225"/>
      <c r="I140" s="225"/>
      <c r="J140" s="225"/>
      <c r="K140" s="225"/>
      <c r="L140" s="225"/>
      <c r="M140" s="225"/>
      <c r="N140" s="225"/>
      <c r="O140" s="225"/>
    </row>
    <row r="141" spans="1:15" ht="13">
      <c r="A141" s="123"/>
      <c r="C141" s="100"/>
      <c r="F141"/>
      <c r="G141" s="157"/>
      <c r="H141" s="225"/>
      <c r="I141" s="225"/>
      <c r="J141" s="225"/>
      <c r="K141" s="225"/>
      <c r="L141" s="225"/>
      <c r="M141" s="225"/>
      <c r="N141" s="225"/>
      <c r="O141" s="225"/>
    </row>
    <row r="142" spans="1:15" ht="13">
      <c r="A142" s="123"/>
      <c r="B142" s="30" t="s">
        <v>55</v>
      </c>
      <c r="C142" s="227"/>
      <c r="D142" s="5"/>
      <c r="E142" s="5"/>
      <c r="F142" s="5"/>
      <c r="G142" s="228"/>
      <c r="H142" s="229">
        <f t="shared" ref="H142:J142" si="61">H139+H131+H125</f>
        <v>-14.700000000000038</v>
      </c>
      <c r="I142" s="229">
        <f t="shared" si="61"/>
        <v>4.7000000000000313</v>
      </c>
      <c r="J142" s="229">
        <f t="shared" si="61"/>
        <v>-20.799999999999997</v>
      </c>
      <c r="K142" s="518">
        <f t="shared" ref="K142:O142" si="62">K139+K131+K125</f>
        <v>-0.29999999999999716</v>
      </c>
      <c r="L142" s="518">
        <f t="shared" si="62"/>
        <v>0</v>
      </c>
      <c r="M142" s="518">
        <f t="shared" si="62"/>
        <v>0</v>
      </c>
      <c r="N142" s="518">
        <f t="shared" si="62"/>
        <v>1.4182194874083791</v>
      </c>
      <c r="O142" s="519">
        <f t="shared" si="62"/>
        <v>-1.4182194874083791</v>
      </c>
    </row>
    <row r="143" spans="1:15" ht="13">
      <c r="A143" s="123"/>
      <c r="B143" s="6" t="s">
        <v>56</v>
      </c>
      <c r="C143" s="100"/>
      <c r="F143"/>
      <c r="G143" s="157"/>
      <c r="H143" s="230">
        <v>31.1</v>
      </c>
      <c r="I143" s="231">
        <f t="shared" ref="I143:J143" si="63">+H144</f>
        <v>16.399999999999963</v>
      </c>
      <c r="J143" s="231">
        <f t="shared" si="63"/>
        <v>21.099999999999994</v>
      </c>
      <c r="K143" s="520">
        <f t="shared" ref="K143" si="64">+J144</f>
        <v>0.29999999999999716</v>
      </c>
      <c r="L143" s="520">
        <f t="shared" ref="L143" si="65">+K144</f>
        <v>0</v>
      </c>
      <c r="M143" s="520">
        <f t="shared" ref="M143" si="66">+L144</f>
        <v>0</v>
      </c>
      <c r="N143" s="520">
        <f t="shared" ref="N143" si="67">+M144</f>
        <v>0</v>
      </c>
      <c r="O143" s="521">
        <f t="shared" ref="O143" si="68">+N144</f>
        <v>1.4182194874083791</v>
      </c>
    </row>
    <row r="144" spans="1:15" ht="13">
      <c r="A144" s="123"/>
      <c r="B144" s="232" t="s">
        <v>57</v>
      </c>
      <c r="C144" s="163"/>
      <c r="D144" s="11"/>
      <c r="E144" s="11"/>
      <c r="F144" s="11"/>
      <c r="G144" s="166"/>
      <c r="H144" s="233">
        <f t="shared" ref="H144:J144" si="69">H143+H142</f>
        <v>16.399999999999963</v>
      </c>
      <c r="I144" s="233">
        <f t="shared" si="69"/>
        <v>21.099999999999994</v>
      </c>
      <c r="J144" s="233">
        <f t="shared" si="69"/>
        <v>0.29999999999999716</v>
      </c>
      <c r="K144" s="522">
        <f t="shared" ref="K144:O144" si="70">K143+K142</f>
        <v>0</v>
      </c>
      <c r="L144" s="522">
        <f t="shared" si="70"/>
        <v>0</v>
      </c>
      <c r="M144" s="522">
        <f t="shared" si="70"/>
        <v>0</v>
      </c>
      <c r="N144" s="522">
        <f t="shared" si="70"/>
        <v>1.4182194874083791</v>
      </c>
      <c r="O144" s="523">
        <f t="shared" si="70"/>
        <v>0</v>
      </c>
    </row>
    <row r="145" spans="1:19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1:19">
      <c r="F146"/>
    </row>
    <row r="147" spans="1:19" ht="12.75" customHeight="1">
      <c r="A147" s="91"/>
      <c r="B147" s="1"/>
      <c r="C147" s="3"/>
      <c r="D147" s="3"/>
      <c r="E147" s="3"/>
      <c r="F147" s="90"/>
      <c r="G147" s="3"/>
      <c r="H147" s="3"/>
      <c r="I147" s="3"/>
      <c r="J147" s="3"/>
      <c r="K147" s="3"/>
      <c r="L147" s="3"/>
      <c r="M147" s="3"/>
      <c r="N147" s="3"/>
      <c r="O147" s="134" t="str">
        <f>$O$1</f>
        <v>CURRENTLY RUNNING: BASE CASE SCENARIO</v>
      </c>
    </row>
    <row r="148" spans="1:19" ht="23">
      <c r="B148" s="1" t="str">
        <f>B$2</f>
        <v>Green Containers Company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9" ht="18">
      <c r="B149" s="93" t="s">
        <v>105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9" ht="3" customHeight="1" thickBot="1">
      <c r="A150" s="92"/>
      <c r="B150" s="371"/>
      <c r="C150" s="372"/>
      <c r="D150" s="372"/>
      <c r="E150" s="372"/>
      <c r="F150" s="373"/>
      <c r="G150" s="372"/>
      <c r="H150" s="372"/>
      <c r="I150" s="372"/>
      <c r="J150" s="372"/>
      <c r="K150" s="372"/>
      <c r="L150" s="372"/>
      <c r="M150" s="372"/>
      <c r="N150" s="372"/>
      <c r="O150" s="372"/>
    </row>
    <row r="151" spans="1:19" ht="13">
      <c r="B151" s="168" t="s">
        <v>173</v>
      </c>
      <c r="F151"/>
      <c r="O151" s="19"/>
    </row>
    <row r="152" spans="1:19" ht="13">
      <c r="F152"/>
      <c r="H152" s="234"/>
      <c r="I152" s="234"/>
      <c r="J152" s="234"/>
      <c r="K152" s="98" t="s">
        <v>2</v>
      </c>
      <c r="L152" s="20"/>
      <c r="M152" s="20"/>
      <c r="N152" s="20"/>
      <c r="O152" s="20"/>
    </row>
    <row r="153" spans="1:19" ht="13">
      <c r="B153" s="235"/>
      <c r="F153" s="207"/>
      <c r="G153" s="206"/>
      <c r="H153" s="363">
        <f t="shared" ref="H153:J153" si="71">H$7</f>
        <v>2020</v>
      </c>
      <c r="I153" s="363">
        <f t="shared" si="71"/>
        <v>2021</v>
      </c>
      <c r="J153" s="363">
        <f t="shared" si="71"/>
        <v>2022</v>
      </c>
      <c r="K153" s="365">
        <f>K$7</f>
        <v>2023</v>
      </c>
      <c r="L153" s="365">
        <f>L$7</f>
        <v>2024</v>
      </c>
      <c r="M153" s="365">
        <f>M$7</f>
        <v>2025</v>
      </c>
      <c r="N153" s="365">
        <f>N$7</f>
        <v>2026</v>
      </c>
      <c r="O153" s="365">
        <f>O$7</f>
        <v>2027</v>
      </c>
    </row>
    <row r="154" spans="1:19" ht="13">
      <c r="B154" s="235"/>
      <c r="F154"/>
      <c r="G154" s="206"/>
      <c r="H154" s="207"/>
      <c r="I154" s="207"/>
      <c r="J154" s="207"/>
      <c r="K154" s="207"/>
      <c r="L154" s="207"/>
      <c r="M154" s="207"/>
      <c r="N154" s="207"/>
      <c r="O154" s="207"/>
    </row>
    <row r="155" spans="1:19" ht="13">
      <c r="B155" s="123" t="s">
        <v>12</v>
      </c>
      <c r="F155"/>
    </row>
    <row r="156" spans="1:19">
      <c r="C156" t="s">
        <v>13</v>
      </c>
      <c r="F156" s="101"/>
      <c r="G156" s="213"/>
      <c r="H156" s="220">
        <v>16.399999999999963</v>
      </c>
      <c r="I156" s="220">
        <v>21.099999999999994</v>
      </c>
      <c r="J156" s="220">
        <v>0.3</v>
      </c>
      <c r="K156" s="524">
        <f>K144</f>
        <v>0</v>
      </c>
      <c r="L156" s="524">
        <f t="shared" ref="L156:O156" si="72">L144</f>
        <v>0</v>
      </c>
      <c r="M156" s="524">
        <f t="shared" si="72"/>
        <v>0</v>
      </c>
      <c r="N156" s="524">
        <f t="shared" si="72"/>
        <v>1.4182194874083791</v>
      </c>
      <c r="O156" s="524">
        <f t="shared" si="72"/>
        <v>0</v>
      </c>
      <c r="R156" s="187"/>
      <c r="S156" s="187"/>
    </row>
    <row r="157" spans="1:19">
      <c r="C157" t="s">
        <v>14</v>
      </c>
      <c r="F157" s="101"/>
      <c r="G157" s="213"/>
      <c r="H157" s="220">
        <v>27</v>
      </c>
      <c r="I157" s="220">
        <v>27.8</v>
      </c>
      <c r="J157" s="220">
        <v>28.3</v>
      </c>
      <c r="K157" s="212">
        <f>K261</f>
        <v>33.200494918250108</v>
      </c>
      <c r="L157" s="212">
        <f t="shared" ref="L157:O157" si="73">L261</f>
        <v>28.080789762030676</v>
      </c>
      <c r="M157" s="212">
        <f t="shared" si="73"/>
        <v>30.81984751302873</v>
      </c>
      <c r="N157" s="212">
        <f t="shared" si="73"/>
        <v>30.819677190824109</v>
      </c>
      <c r="O157" s="212">
        <f t="shared" si="73"/>
        <v>29.388807724931514</v>
      </c>
    </row>
    <row r="158" spans="1:19">
      <c r="C158" t="s">
        <v>15</v>
      </c>
      <c r="F158" s="101"/>
      <c r="G158" s="213"/>
      <c r="H158" s="220">
        <v>36.5</v>
      </c>
      <c r="I158" s="220">
        <v>36.1</v>
      </c>
      <c r="J158" s="220">
        <v>35.1</v>
      </c>
      <c r="K158" s="212">
        <f t="shared" ref="K158:O158" si="74">K262</f>
        <v>33.501588599204595</v>
      </c>
      <c r="L158" s="212">
        <f t="shared" si="74"/>
        <v>32.409890750925442</v>
      </c>
      <c r="M158" s="212">
        <f t="shared" si="74"/>
        <v>31.350684269945386</v>
      </c>
      <c r="N158" s="212">
        <f t="shared" si="74"/>
        <v>32.936000675597398</v>
      </c>
      <c r="O158" s="212">
        <f t="shared" si="74"/>
        <v>31.578709681109583</v>
      </c>
    </row>
    <row r="159" spans="1:19">
      <c r="C159" t="s">
        <v>165</v>
      </c>
      <c r="F159" s="101"/>
      <c r="G159" s="236"/>
      <c r="H159" s="220">
        <v>14.6</v>
      </c>
      <c r="I159" s="220">
        <v>14.4</v>
      </c>
      <c r="J159" s="220">
        <v>14.9</v>
      </c>
      <c r="K159" s="212">
        <f t="shared" ref="K159:O159" si="75">K263</f>
        <v>14.357823685373399</v>
      </c>
      <c r="L159" s="212">
        <f t="shared" si="75"/>
        <v>14.958411115811742</v>
      </c>
      <c r="M159" s="212">
        <f t="shared" si="75"/>
        <v>15.675342134972693</v>
      </c>
      <c r="N159" s="212">
        <f t="shared" si="75"/>
        <v>16.468000337798699</v>
      </c>
      <c r="O159" s="212">
        <f t="shared" si="75"/>
        <v>17.224750735150682</v>
      </c>
    </row>
    <row r="160" spans="1:19">
      <c r="C160" s="19" t="s">
        <v>10</v>
      </c>
      <c r="F160" s="101"/>
      <c r="G160" s="236"/>
      <c r="H160" s="184">
        <v>1.4</v>
      </c>
      <c r="I160" s="184">
        <v>1.8</v>
      </c>
      <c r="J160" s="184">
        <v>1.2</v>
      </c>
      <c r="K160" s="474">
        <f t="shared" ref="K160:O160" si="76">K264</f>
        <v>1.4357823685373399</v>
      </c>
      <c r="L160" s="474">
        <f t="shared" si="76"/>
        <v>1.4958411115811743</v>
      </c>
      <c r="M160" s="474">
        <f t="shared" si="76"/>
        <v>1.5675342134972692</v>
      </c>
      <c r="N160" s="474">
        <f t="shared" si="76"/>
        <v>1.6468000337798698</v>
      </c>
      <c r="O160" s="474">
        <f t="shared" si="76"/>
        <v>1.7224750735150682</v>
      </c>
    </row>
    <row r="161" spans="2:15" ht="13">
      <c r="C161" s="100" t="s">
        <v>16</v>
      </c>
      <c r="F161" s="124"/>
      <c r="G161" s="153"/>
      <c r="H161" s="210">
        <f t="shared" ref="H161:O161" si="77">SUM(H156:H160)</f>
        <v>95.899999999999963</v>
      </c>
      <c r="I161" s="210">
        <f t="shared" si="77"/>
        <v>101.2</v>
      </c>
      <c r="J161" s="210">
        <f t="shared" si="77"/>
        <v>79.800000000000011</v>
      </c>
      <c r="K161" s="212">
        <f t="shared" si="77"/>
        <v>82.495689571365446</v>
      </c>
      <c r="L161" s="212">
        <f t="shared" si="77"/>
        <v>76.944932740349032</v>
      </c>
      <c r="M161" s="212">
        <f t="shared" si="77"/>
        <v>79.413408131444072</v>
      </c>
      <c r="N161" s="212">
        <f t="shared" si="77"/>
        <v>83.288697725408454</v>
      </c>
      <c r="O161" s="212">
        <f t="shared" si="77"/>
        <v>79.914743214706846</v>
      </c>
    </row>
    <row r="162" spans="2:15">
      <c r="F162" s="153"/>
      <c r="G162" s="208"/>
      <c r="H162" s="153"/>
      <c r="I162" s="153"/>
      <c r="J162" s="237"/>
      <c r="K162" s="237"/>
      <c r="L162" s="237"/>
      <c r="M162" s="237"/>
      <c r="N162" s="237"/>
      <c r="O162" s="237"/>
    </row>
    <row r="163" spans="2:15">
      <c r="C163" t="s">
        <v>17</v>
      </c>
      <c r="F163" s="101"/>
      <c r="G163" s="236"/>
      <c r="H163" s="220">
        <v>398.5</v>
      </c>
      <c r="I163" s="220">
        <v>398</v>
      </c>
      <c r="J163" s="220">
        <v>397.7</v>
      </c>
      <c r="K163" s="212">
        <f>J163-K122-K129</f>
        <v>397.52533333333332</v>
      </c>
      <c r="L163" s="212">
        <f t="shared" ref="L163:O163" si="78">K163-L122-L129</f>
        <v>397.80066666666664</v>
      </c>
      <c r="M163" s="212">
        <f t="shared" si="78"/>
        <v>397.80433333333332</v>
      </c>
      <c r="N163" s="212">
        <f t="shared" si="78"/>
        <v>397.428</v>
      </c>
      <c r="O163" s="212">
        <f t="shared" si="78"/>
        <v>396.96</v>
      </c>
    </row>
    <row r="164" spans="2:15">
      <c r="C164" s="19" t="s">
        <v>10</v>
      </c>
      <c r="F164" s="101"/>
      <c r="G164" s="236"/>
      <c r="H164" s="184">
        <v>19</v>
      </c>
      <c r="I164" s="184">
        <v>15</v>
      </c>
      <c r="J164" s="184">
        <v>12</v>
      </c>
      <c r="K164" s="474">
        <f>J164-K130</f>
        <v>12</v>
      </c>
      <c r="L164" s="474">
        <f t="shared" ref="L164:O164" si="79">K164-L130</f>
        <v>12</v>
      </c>
      <c r="M164" s="474">
        <f t="shared" si="79"/>
        <v>12</v>
      </c>
      <c r="N164" s="474">
        <f t="shared" si="79"/>
        <v>12</v>
      </c>
      <c r="O164" s="474">
        <f t="shared" si="79"/>
        <v>12</v>
      </c>
    </row>
    <row r="165" spans="2:15" ht="13">
      <c r="C165" s="110" t="s">
        <v>179</v>
      </c>
      <c r="F165" s="101"/>
      <c r="G165" s="236"/>
      <c r="H165" s="238">
        <f>SUM(H163:H164)</f>
        <v>417.5</v>
      </c>
      <c r="I165" s="238">
        <f t="shared" ref="I165:O165" si="80">SUM(I163:I164)</f>
        <v>413</v>
      </c>
      <c r="J165" s="238">
        <f t="shared" si="80"/>
        <v>409.7</v>
      </c>
      <c r="K165" s="238">
        <f t="shared" si="80"/>
        <v>409.52533333333332</v>
      </c>
      <c r="L165" s="238">
        <f t="shared" si="80"/>
        <v>409.80066666666664</v>
      </c>
      <c r="M165" s="238">
        <f t="shared" si="80"/>
        <v>409.80433333333332</v>
      </c>
      <c r="N165" s="238">
        <f t="shared" si="80"/>
        <v>409.428</v>
      </c>
      <c r="O165" s="238">
        <f t="shared" si="80"/>
        <v>408.96</v>
      </c>
    </row>
    <row r="166" spans="2:15">
      <c r="C166" s="19"/>
      <c r="F166" s="101"/>
      <c r="G166" s="236"/>
      <c r="H166" s="220"/>
      <c r="I166" s="220"/>
      <c r="J166" s="220"/>
      <c r="K166" s="212"/>
      <c r="L166" s="212"/>
      <c r="M166" s="212"/>
      <c r="N166" s="212"/>
      <c r="O166" s="212"/>
    </row>
    <row r="167" spans="2:15" ht="13.5" thickBot="1">
      <c r="C167" s="123" t="s">
        <v>18</v>
      </c>
      <c r="F167" s="124"/>
      <c r="G167" s="157"/>
      <c r="H167" s="159">
        <f>+H161+H165</f>
        <v>513.4</v>
      </c>
      <c r="I167" s="159">
        <f t="shared" ref="I167:O167" si="81">+I161+I165</f>
        <v>514.20000000000005</v>
      </c>
      <c r="J167" s="159">
        <f t="shared" si="81"/>
        <v>489.5</v>
      </c>
      <c r="K167" s="476">
        <f t="shared" si="81"/>
        <v>492.02102290469878</v>
      </c>
      <c r="L167" s="476">
        <f t="shared" si="81"/>
        <v>486.74559940701567</v>
      </c>
      <c r="M167" s="476">
        <f t="shared" si="81"/>
        <v>489.21774146477742</v>
      </c>
      <c r="N167" s="476">
        <f t="shared" si="81"/>
        <v>492.71669772540844</v>
      </c>
      <c r="O167" s="476">
        <f t="shared" si="81"/>
        <v>488.87474321470683</v>
      </c>
    </row>
    <row r="168" spans="2:15" ht="13" thickTop="1">
      <c r="F168" s="153"/>
      <c r="G168" s="208"/>
      <c r="H168" s="153"/>
      <c r="I168" s="153"/>
      <c r="J168" s="208"/>
      <c r="K168" s="211"/>
      <c r="L168" s="211"/>
      <c r="M168" s="211"/>
      <c r="N168" s="211"/>
      <c r="O168" s="211"/>
    </row>
    <row r="169" spans="2:15">
      <c r="F169" s="153"/>
      <c r="G169" s="208"/>
      <c r="H169" s="153"/>
      <c r="I169" s="153"/>
      <c r="J169" s="208"/>
      <c r="K169" s="208"/>
      <c r="L169" s="208"/>
      <c r="M169" s="208"/>
      <c r="N169" s="208"/>
      <c r="O169" s="208"/>
    </row>
    <row r="170" spans="2:15" ht="13">
      <c r="B170" s="100" t="s">
        <v>19</v>
      </c>
      <c r="F170" s="153"/>
      <c r="G170" s="208"/>
      <c r="H170" s="153"/>
      <c r="I170" s="153"/>
      <c r="J170" s="208"/>
      <c r="K170" s="208"/>
      <c r="L170" s="208"/>
      <c r="M170" s="208"/>
      <c r="N170" s="208"/>
      <c r="O170" s="208"/>
    </row>
    <row r="171" spans="2:15">
      <c r="C171" s="19" t="s">
        <v>134</v>
      </c>
      <c r="F171" s="101"/>
      <c r="G171" s="213"/>
      <c r="H171" s="220">
        <v>0</v>
      </c>
      <c r="I171" s="220">
        <v>0</v>
      </c>
      <c r="J171" s="220">
        <v>0</v>
      </c>
      <c r="K171" s="212">
        <f>K301</f>
        <v>1.0754576226248351</v>
      </c>
      <c r="L171" s="212">
        <f t="shared" ref="L171:O171" si="82">L301</f>
        <v>7.7419764212843827</v>
      </c>
      <c r="M171" s="212">
        <f t="shared" si="82"/>
        <v>1.2272957693944972</v>
      </c>
      <c r="N171" s="212">
        <f t="shared" si="82"/>
        <v>0</v>
      </c>
      <c r="O171" s="212">
        <f t="shared" si="82"/>
        <v>2.6048902156305287</v>
      </c>
    </row>
    <row r="172" spans="2:15">
      <c r="C172" s="19" t="s">
        <v>20</v>
      </c>
      <c r="F172" s="101"/>
      <c r="G172" s="213"/>
      <c r="H172" s="239">
        <v>18.299999999999997</v>
      </c>
      <c r="I172" s="239">
        <v>18.700000000000003</v>
      </c>
      <c r="J172" s="239">
        <v>18.2</v>
      </c>
      <c r="K172" s="472">
        <f>K265</f>
        <v>19.143764913831198</v>
      </c>
      <c r="L172" s="472">
        <f t="shared" ref="L172:O172" si="83">L265</f>
        <v>19.944548154415656</v>
      </c>
      <c r="M172" s="472">
        <f t="shared" si="83"/>
        <v>20.900456179963591</v>
      </c>
      <c r="N172" s="472">
        <f t="shared" si="83"/>
        <v>21.957333783731595</v>
      </c>
      <c r="O172" s="472">
        <f t="shared" si="83"/>
        <v>22.966334313534244</v>
      </c>
    </row>
    <row r="173" spans="2:15">
      <c r="C173" s="19" t="s">
        <v>10</v>
      </c>
      <c r="F173" s="101"/>
      <c r="G173" s="236"/>
      <c r="H173" s="184">
        <v>4.7</v>
      </c>
      <c r="I173" s="184">
        <v>4.9000000000000004</v>
      </c>
      <c r="J173" s="184">
        <v>4.8</v>
      </c>
      <c r="K173" s="474">
        <f>K266</f>
        <v>4.7859412284577996</v>
      </c>
      <c r="L173" s="474">
        <f t="shared" ref="L173:O173" si="84">L266</f>
        <v>4.9861370386039141</v>
      </c>
      <c r="M173" s="474">
        <f t="shared" si="84"/>
        <v>5.2251140449908977</v>
      </c>
      <c r="N173" s="474">
        <f t="shared" si="84"/>
        <v>5.4893334459328988</v>
      </c>
      <c r="O173" s="474">
        <f t="shared" si="84"/>
        <v>5.7415835783835609</v>
      </c>
    </row>
    <row r="174" spans="2:15" ht="13">
      <c r="C174" s="100" t="s">
        <v>21</v>
      </c>
      <c r="F174" s="124"/>
      <c r="G174" s="153"/>
      <c r="H174" s="150">
        <f t="shared" ref="H174:O174" si="85">SUM(H171:H173)</f>
        <v>22.999999999999996</v>
      </c>
      <c r="I174" s="150">
        <f t="shared" si="85"/>
        <v>23.6</v>
      </c>
      <c r="J174" s="150">
        <f t="shared" si="85"/>
        <v>23</v>
      </c>
      <c r="K174" s="472">
        <f t="shared" si="85"/>
        <v>25.005163764913831</v>
      </c>
      <c r="L174" s="472">
        <f t="shared" si="85"/>
        <v>32.672661614303955</v>
      </c>
      <c r="M174" s="472">
        <f t="shared" si="85"/>
        <v>27.352865994348988</v>
      </c>
      <c r="N174" s="472">
        <f t="shared" si="85"/>
        <v>27.446667229664495</v>
      </c>
      <c r="O174" s="472">
        <f t="shared" si="85"/>
        <v>31.312808107548335</v>
      </c>
    </row>
    <row r="175" spans="2:15">
      <c r="F175" s="153"/>
      <c r="G175" s="208"/>
      <c r="H175" s="153"/>
      <c r="I175" s="153"/>
      <c r="J175" s="208"/>
      <c r="K175" s="211"/>
      <c r="L175" s="211"/>
      <c r="M175" s="212"/>
      <c r="N175" s="211"/>
      <c r="O175" s="211"/>
    </row>
    <row r="176" spans="2:15">
      <c r="C176" t="s">
        <v>147</v>
      </c>
      <c r="F176" s="101"/>
      <c r="G176" s="208"/>
      <c r="H176" s="240">
        <v>0.70000000000000018</v>
      </c>
      <c r="I176" s="240">
        <v>6.9</v>
      </c>
      <c r="J176" s="240">
        <v>8</v>
      </c>
      <c r="K176" s="212">
        <f>J176+K232</f>
        <v>9.75</v>
      </c>
      <c r="L176" s="212">
        <f t="shared" ref="L176:O176" si="86">K176+L232</f>
        <v>11.5</v>
      </c>
      <c r="M176" s="212">
        <f t="shared" si="86"/>
        <v>13.25</v>
      </c>
      <c r="N176" s="212">
        <f t="shared" si="86"/>
        <v>15</v>
      </c>
      <c r="O176" s="212">
        <f t="shared" si="86"/>
        <v>16.75</v>
      </c>
    </row>
    <row r="177" spans="1:15">
      <c r="C177" s="19" t="s">
        <v>131</v>
      </c>
      <c r="F177" s="101"/>
      <c r="G177" s="241"/>
      <c r="H177" s="184">
        <v>250</v>
      </c>
      <c r="I177" s="184">
        <v>225</v>
      </c>
      <c r="J177" s="184">
        <v>200</v>
      </c>
      <c r="K177" s="474">
        <f>K310</f>
        <v>175</v>
      </c>
      <c r="L177" s="474">
        <f t="shared" ref="L177:O177" si="87">L310</f>
        <v>150</v>
      </c>
      <c r="M177" s="474">
        <f t="shared" si="87"/>
        <v>125</v>
      </c>
      <c r="N177" s="474">
        <f t="shared" si="87"/>
        <v>100</v>
      </c>
      <c r="O177" s="474">
        <f t="shared" si="87"/>
        <v>75</v>
      </c>
    </row>
    <row r="178" spans="1:15" ht="13">
      <c r="C178" s="110" t="s">
        <v>22</v>
      </c>
      <c r="F178" s="124"/>
      <c r="G178" s="213"/>
      <c r="H178" s="210">
        <f t="shared" ref="H178:O178" si="88">SUM(H176:H177)</f>
        <v>250.7</v>
      </c>
      <c r="I178" s="210">
        <f t="shared" si="88"/>
        <v>231.9</v>
      </c>
      <c r="J178" s="210">
        <f t="shared" si="88"/>
        <v>208</v>
      </c>
      <c r="K178" s="212">
        <f t="shared" si="88"/>
        <v>184.75</v>
      </c>
      <c r="L178" s="212">
        <f t="shared" si="88"/>
        <v>161.5</v>
      </c>
      <c r="M178" s="212">
        <f t="shared" si="88"/>
        <v>138.25</v>
      </c>
      <c r="N178" s="212">
        <f t="shared" si="88"/>
        <v>115</v>
      </c>
      <c r="O178" s="212">
        <f t="shared" si="88"/>
        <v>91.75</v>
      </c>
    </row>
    <row r="179" spans="1:15" ht="13">
      <c r="C179" s="100"/>
      <c r="F179" s="153"/>
      <c r="G179" s="208"/>
      <c r="H179" s="153"/>
      <c r="I179" s="153"/>
      <c r="J179" s="208"/>
      <c r="K179" s="211"/>
      <c r="L179" s="211"/>
      <c r="M179" s="211"/>
      <c r="N179" s="211"/>
      <c r="O179" s="211"/>
    </row>
    <row r="180" spans="1:15" ht="13">
      <c r="C180" s="110" t="s">
        <v>23</v>
      </c>
      <c r="F180" s="124"/>
      <c r="G180" s="157"/>
      <c r="H180" s="152">
        <f t="shared" ref="H180:O180" si="89">H178+H174</f>
        <v>273.7</v>
      </c>
      <c r="I180" s="152">
        <f t="shared" si="89"/>
        <v>255.5</v>
      </c>
      <c r="J180" s="152">
        <f t="shared" si="89"/>
        <v>231</v>
      </c>
      <c r="K180" s="182">
        <f t="shared" si="89"/>
        <v>209.75516376491385</v>
      </c>
      <c r="L180" s="182">
        <f t="shared" si="89"/>
        <v>194.17266161430396</v>
      </c>
      <c r="M180" s="182">
        <f t="shared" si="89"/>
        <v>165.60286599434897</v>
      </c>
      <c r="N180" s="182">
        <f t="shared" si="89"/>
        <v>142.44666722966448</v>
      </c>
      <c r="O180" s="182">
        <f t="shared" si="89"/>
        <v>123.06280810754834</v>
      </c>
    </row>
    <row r="181" spans="1:15">
      <c r="F181" s="153"/>
      <c r="G181" s="153"/>
      <c r="H181" s="153"/>
      <c r="I181" s="153"/>
      <c r="J181" s="208"/>
      <c r="K181" s="208"/>
      <c r="L181" s="208"/>
      <c r="M181" s="208"/>
      <c r="N181" s="208"/>
      <c r="O181" s="208"/>
    </row>
    <row r="182" spans="1:15">
      <c r="C182" t="s">
        <v>115</v>
      </c>
      <c r="F182" s="101"/>
      <c r="G182" s="153"/>
      <c r="H182" s="220">
        <v>120</v>
      </c>
      <c r="I182" s="220">
        <v>120</v>
      </c>
      <c r="J182" s="220">
        <v>120</v>
      </c>
      <c r="K182" s="212">
        <f>K330</f>
        <v>120</v>
      </c>
      <c r="L182" s="212">
        <f t="shared" ref="L182:O182" si="90">L330</f>
        <v>120</v>
      </c>
      <c r="M182" s="212">
        <f t="shared" si="90"/>
        <v>120</v>
      </c>
      <c r="N182" s="212">
        <f t="shared" si="90"/>
        <v>120</v>
      </c>
      <c r="O182" s="212">
        <f t="shared" si="90"/>
        <v>120</v>
      </c>
    </row>
    <row r="183" spans="1:15">
      <c r="C183" t="s">
        <v>118</v>
      </c>
      <c r="F183" s="101"/>
      <c r="G183" s="242"/>
      <c r="H183" s="184">
        <v>119.70000000000002</v>
      </c>
      <c r="I183" s="184">
        <v>138.70000000000007</v>
      </c>
      <c r="J183" s="184">
        <v>138.50000000000003</v>
      </c>
      <c r="K183" s="474">
        <f>K341</f>
        <v>162.26585913978496</v>
      </c>
      <c r="L183" s="474">
        <f t="shared" ref="L183:O183" si="91">L341</f>
        <v>172.57293779271177</v>
      </c>
      <c r="M183" s="474">
        <f t="shared" si="91"/>
        <v>203.61487547042844</v>
      </c>
      <c r="N183" s="474">
        <f t="shared" si="91"/>
        <v>230.27003049574398</v>
      </c>
      <c r="O183" s="474">
        <f t="shared" si="91"/>
        <v>245.81193510715855</v>
      </c>
    </row>
    <row r="184" spans="1:15" ht="13">
      <c r="C184" s="100" t="s">
        <v>24</v>
      </c>
      <c r="F184" s="124"/>
      <c r="G184" s="213"/>
      <c r="H184" s="216">
        <f>SUM(H182:H183)</f>
        <v>239.70000000000002</v>
      </c>
      <c r="I184" s="216">
        <f>SUM(I182:I183)</f>
        <v>258.70000000000005</v>
      </c>
      <c r="J184" s="216">
        <f t="shared" ref="J184:O184" si="92">SUM(J182:J183)</f>
        <v>258.5</v>
      </c>
      <c r="K184" s="516">
        <f t="shared" si="92"/>
        <v>282.26585913978499</v>
      </c>
      <c r="L184" s="516">
        <f t="shared" si="92"/>
        <v>292.57293779271174</v>
      </c>
      <c r="M184" s="516">
        <f t="shared" si="92"/>
        <v>323.61487547042844</v>
      </c>
      <c r="N184" s="516">
        <f t="shared" si="92"/>
        <v>350.27003049574398</v>
      </c>
      <c r="O184" s="516">
        <f t="shared" si="92"/>
        <v>365.81193510715855</v>
      </c>
    </row>
    <row r="185" spans="1:15">
      <c r="F185" s="153"/>
      <c r="G185" s="153"/>
      <c r="H185" s="208"/>
      <c r="I185" s="208"/>
      <c r="J185" s="208"/>
      <c r="K185" s="211"/>
      <c r="L185" s="211"/>
      <c r="M185" s="211"/>
      <c r="N185" s="211"/>
      <c r="O185" s="211"/>
    </row>
    <row r="186" spans="1:15" ht="13.5" thickBot="1">
      <c r="B186" s="100" t="s">
        <v>25</v>
      </c>
      <c r="F186" s="124"/>
      <c r="G186" s="157"/>
      <c r="H186" s="159">
        <f>H184+H180</f>
        <v>513.4</v>
      </c>
      <c r="I186" s="159">
        <f>I184+I180</f>
        <v>514.20000000000005</v>
      </c>
      <c r="J186" s="159">
        <f t="shared" ref="J186:O186" si="93">J184+J180</f>
        <v>489.5</v>
      </c>
      <c r="K186" s="476">
        <f t="shared" si="93"/>
        <v>492.02102290469884</v>
      </c>
      <c r="L186" s="476">
        <f t="shared" si="93"/>
        <v>486.74559940701567</v>
      </c>
      <c r="M186" s="476">
        <f t="shared" si="93"/>
        <v>489.21774146477742</v>
      </c>
      <c r="N186" s="476">
        <f t="shared" si="93"/>
        <v>492.71669772540849</v>
      </c>
      <c r="O186" s="476">
        <f t="shared" si="93"/>
        <v>488.87474321470688</v>
      </c>
    </row>
    <row r="187" spans="1:15" ht="13" thickTop="1">
      <c r="F187" s="243"/>
      <c r="G187" s="243"/>
      <c r="H187" s="244"/>
      <c r="I187" s="244"/>
      <c r="J187" s="244"/>
      <c r="K187" s="244"/>
      <c r="L187" s="244"/>
      <c r="M187" s="244"/>
      <c r="N187" s="244"/>
      <c r="O187" s="244"/>
    </row>
    <row r="188" spans="1:15" ht="13">
      <c r="B188" s="204"/>
      <c r="D188" s="245" t="s">
        <v>26</v>
      </c>
      <c r="F188" s="246"/>
      <c r="G188" s="246"/>
      <c r="H188" s="247">
        <f>ROUND(H167-H186,3)</f>
        <v>0</v>
      </c>
      <c r="I188" s="247">
        <f t="shared" ref="I188:O188" si="94">ROUND(I167-I186,3)</f>
        <v>0</v>
      </c>
      <c r="J188" s="247">
        <f t="shared" si="94"/>
        <v>0</v>
      </c>
      <c r="K188" s="247">
        <f t="shared" si="94"/>
        <v>0</v>
      </c>
      <c r="L188" s="247">
        <f t="shared" si="94"/>
        <v>0</v>
      </c>
      <c r="M188" s="247">
        <f t="shared" si="94"/>
        <v>0</v>
      </c>
      <c r="N188" s="247">
        <f t="shared" si="94"/>
        <v>0</v>
      </c>
      <c r="O188" s="247">
        <f t="shared" si="94"/>
        <v>0</v>
      </c>
    </row>
    <row r="189" spans="1:15" ht="13">
      <c r="B189" s="248"/>
      <c r="C189" s="11"/>
      <c r="D189" s="11"/>
      <c r="E189" s="11"/>
      <c r="F189" s="11"/>
      <c r="G189" s="11"/>
      <c r="H189" s="11"/>
      <c r="I189" s="11"/>
      <c r="J189" s="11"/>
      <c r="K189" s="249"/>
      <c r="L189" s="249"/>
      <c r="M189" s="249"/>
      <c r="N189" s="249"/>
      <c r="O189" s="249"/>
    </row>
    <row r="190" spans="1:15">
      <c r="F190"/>
    </row>
    <row r="191" spans="1:15" ht="12.75" customHeight="1">
      <c r="A191" s="91"/>
      <c r="B191" s="1"/>
      <c r="C191" s="3"/>
      <c r="D191" s="3"/>
      <c r="E191" s="3"/>
      <c r="F191" s="90"/>
      <c r="G191" s="3"/>
      <c r="H191" s="3"/>
      <c r="I191" s="3"/>
      <c r="J191" s="3"/>
      <c r="K191" s="3"/>
      <c r="L191" s="3"/>
      <c r="M191" s="3"/>
      <c r="N191" s="3"/>
      <c r="O191" s="134" t="str">
        <f>$O$1</f>
        <v>CURRENTLY RUNNING: BASE CASE SCENARIO</v>
      </c>
    </row>
    <row r="192" spans="1:15" ht="22.75" customHeight="1">
      <c r="B192" s="250" t="str">
        <f>B$2</f>
        <v>Green Containers Company</v>
      </c>
      <c r="C192" s="251"/>
      <c r="D192" s="251"/>
      <c r="E192" s="252"/>
      <c r="F192" s="252"/>
      <c r="G192" s="253"/>
      <c r="H192" s="253"/>
      <c r="I192" s="253"/>
      <c r="J192" s="253"/>
      <c r="K192" s="253"/>
      <c r="L192" s="253"/>
      <c r="M192" s="253"/>
      <c r="N192" s="253"/>
      <c r="O192" s="253"/>
    </row>
    <row r="193" spans="1:243" ht="18">
      <c r="B193" s="93" t="s">
        <v>135</v>
      </c>
      <c r="C193" s="93"/>
      <c r="D193" s="93"/>
      <c r="E193" s="254"/>
      <c r="F193" s="254"/>
      <c r="G193" s="93"/>
      <c r="H193" s="93"/>
      <c r="I193" s="93"/>
      <c r="J193" s="93"/>
      <c r="K193" s="93"/>
      <c r="L193" s="93"/>
      <c r="M193" s="93"/>
      <c r="N193" s="93"/>
      <c r="O193" s="93"/>
    </row>
    <row r="194" spans="1:243" ht="3" customHeight="1" thickBot="1">
      <c r="A194" s="92"/>
      <c r="B194" s="371"/>
      <c r="C194" s="372"/>
      <c r="D194" s="372"/>
      <c r="E194" s="372"/>
      <c r="F194" s="373"/>
      <c r="G194" s="372"/>
      <c r="H194" s="372"/>
      <c r="I194" s="372"/>
      <c r="J194" s="372"/>
      <c r="K194" s="372"/>
      <c r="L194" s="372"/>
      <c r="M194" s="372"/>
      <c r="N194" s="372"/>
      <c r="O194" s="372"/>
    </row>
    <row r="195" spans="1:243" ht="13">
      <c r="B195" s="168" t="s">
        <v>173</v>
      </c>
      <c r="C195" s="204"/>
      <c r="E195" s="96"/>
      <c r="G195" s="204"/>
    </row>
    <row r="196" spans="1:243" ht="13">
      <c r="E196" s="96"/>
      <c r="K196" s="98" t="s">
        <v>2</v>
      </c>
      <c r="L196" s="255"/>
      <c r="M196" s="255"/>
      <c r="N196" s="255"/>
      <c r="O196" s="255"/>
    </row>
    <row r="197" spans="1:243" ht="13">
      <c r="C197" s="123"/>
      <c r="D197" s="123"/>
      <c r="E197" s="151"/>
      <c r="F197" s="256"/>
      <c r="G197" s="135"/>
      <c r="H197" s="363">
        <f t="shared" ref="H197:J197" si="95">H$7</f>
        <v>2020</v>
      </c>
      <c r="I197" s="363">
        <f t="shared" si="95"/>
        <v>2021</v>
      </c>
      <c r="J197" s="363">
        <f t="shared" si="95"/>
        <v>2022</v>
      </c>
      <c r="K197" s="366">
        <f>K$7</f>
        <v>2023</v>
      </c>
      <c r="L197" s="366">
        <f>L$7</f>
        <v>2024</v>
      </c>
      <c r="M197" s="366">
        <f>M$7</f>
        <v>2025</v>
      </c>
      <c r="N197" s="366">
        <f>N$7</f>
        <v>2026</v>
      </c>
      <c r="O197" s="366">
        <f>O$7</f>
        <v>2027</v>
      </c>
    </row>
    <row r="199" spans="1:243" ht="13.4" customHeight="1">
      <c r="A199" s="257"/>
      <c r="B199" s="258" t="s">
        <v>196</v>
      </c>
      <c r="C199" s="5"/>
      <c r="D199" s="5"/>
      <c r="E199" s="5"/>
      <c r="F199" s="478">
        <f>Assumptions!H39</f>
        <v>25</v>
      </c>
      <c r="K199" s="259"/>
      <c r="L199" s="260"/>
      <c r="M199" s="260"/>
      <c r="N199" s="260"/>
      <c r="P199" s="261"/>
      <c r="Q199" s="261"/>
      <c r="R199" s="261"/>
      <c r="S199" s="261"/>
      <c r="T199" s="261"/>
      <c r="U199" s="261"/>
      <c r="V199" s="261"/>
      <c r="W199" s="261"/>
      <c r="X199" s="261"/>
      <c r="Y199" s="261"/>
      <c r="Z199" s="261"/>
      <c r="AA199" s="261"/>
      <c r="AB199" s="261"/>
      <c r="AC199" s="261"/>
      <c r="AD199" s="261"/>
      <c r="AE199" s="261"/>
      <c r="AF199" s="261"/>
      <c r="AG199" s="261"/>
      <c r="AH199" s="261"/>
      <c r="AI199" s="261"/>
      <c r="AJ199" s="261"/>
      <c r="AK199" s="261"/>
      <c r="AL199" s="261"/>
      <c r="AM199" s="261"/>
      <c r="AN199" s="261"/>
      <c r="AO199" s="261"/>
      <c r="AP199" s="261"/>
      <c r="AQ199" s="261"/>
      <c r="AR199" s="261"/>
      <c r="AS199" s="261"/>
      <c r="AT199" s="261"/>
      <c r="AU199" s="261"/>
      <c r="AV199" s="261"/>
      <c r="AW199" s="261"/>
      <c r="AX199" s="261"/>
      <c r="AY199" s="261"/>
      <c r="AZ199" s="261"/>
      <c r="BA199" s="261"/>
      <c r="BB199" s="261"/>
      <c r="BC199" s="261"/>
      <c r="BD199" s="261"/>
      <c r="BE199" s="261"/>
      <c r="BF199" s="261"/>
      <c r="BG199" s="261"/>
      <c r="BH199" s="261"/>
      <c r="BI199" s="261"/>
      <c r="BJ199" s="261"/>
      <c r="BK199" s="261"/>
      <c r="BL199" s="261"/>
      <c r="BM199" s="261"/>
      <c r="BN199" s="261"/>
      <c r="BO199" s="261"/>
      <c r="BP199" s="261"/>
      <c r="BQ199" s="261"/>
      <c r="BR199" s="261"/>
      <c r="BS199" s="261"/>
      <c r="BT199" s="261"/>
      <c r="BU199" s="261"/>
      <c r="BV199" s="261"/>
      <c r="BW199" s="261"/>
      <c r="BX199" s="261"/>
      <c r="BY199" s="261"/>
      <c r="BZ199" s="261"/>
      <c r="CA199" s="261"/>
      <c r="CB199" s="261"/>
      <c r="CC199" s="261"/>
      <c r="CD199" s="261"/>
      <c r="CE199" s="261"/>
      <c r="CF199" s="261"/>
      <c r="CG199" s="261"/>
      <c r="CH199" s="261"/>
      <c r="CI199" s="261"/>
      <c r="CJ199" s="261"/>
      <c r="CK199" s="261"/>
      <c r="CL199" s="261"/>
      <c r="CM199" s="261"/>
      <c r="CN199" s="261"/>
      <c r="CO199" s="261"/>
      <c r="CP199" s="261"/>
      <c r="CQ199" s="261"/>
      <c r="CR199" s="261"/>
      <c r="CS199" s="261"/>
      <c r="CT199" s="261"/>
      <c r="CU199" s="261"/>
      <c r="CV199" s="261"/>
      <c r="CW199" s="261"/>
      <c r="CX199" s="261"/>
      <c r="CY199" s="261"/>
      <c r="CZ199" s="261"/>
      <c r="DA199" s="261"/>
      <c r="DB199" s="261"/>
      <c r="DC199" s="261"/>
      <c r="DD199" s="261"/>
      <c r="DE199" s="261"/>
      <c r="DF199" s="261"/>
      <c r="DG199" s="261"/>
      <c r="DH199" s="261"/>
      <c r="DI199" s="261"/>
      <c r="DJ199" s="261"/>
      <c r="DK199" s="261"/>
      <c r="DL199" s="261"/>
      <c r="DM199" s="261"/>
      <c r="DN199" s="261"/>
      <c r="DO199" s="261"/>
      <c r="DP199" s="261"/>
      <c r="DQ199" s="261"/>
      <c r="DR199" s="261"/>
      <c r="DS199" s="261"/>
      <c r="DT199" s="261"/>
      <c r="DU199" s="261"/>
      <c r="DV199" s="261"/>
      <c r="DW199" s="261"/>
      <c r="DX199" s="261"/>
      <c r="DY199" s="261"/>
      <c r="DZ199" s="261"/>
      <c r="EA199" s="261"/>
      <c r="EB199" s="261"/>
      <c r="EC199" s="261"/>
      <c r="ED199" s="261"/>
      <c r="EE199" s="261"/>
      <c r="EF199" s="261"/>
      <c r="EG199" s="261"/>
      <c r="EH199" s="261"/>
      <c r="EI199" s="261"/>
      <c r="EJ199" s="261"/>
      <c r="EK199" s="261"/>
      <c r="EL199" s="261"/>
      <c r="EM199" s="261"/>
      <c r="EN199" s="261"/>
      <c r="EO199" s="261"/>
      <c r="EP199" s="261"/>
      <c r="EQ199" s="261"/>
      <c r="ER199" s="261"/>
      <c r="ES199" s="261"/>
      <c r="ET199" s="261"/>
      <c r="EU199" s="261"/>
      <c r="EV199" s="261"/>
      <c r="EW199" s="261"/>
      <c r="EX199" s="261"/>
      <c r="EY199" s="261"/>
      <c r="EZ199" s="261"/>
      <c r="FA199" s="261"/>
      <c r="FB199" s="261"/>
      <c r="FC199" s="261"/>
      <c r="FD199" s="261"/>
      <c r="FE199" s="261"/>
      <c r="FF199" s="261"/>
      <c r="FG199" s="261"/>
      <c r="FH199" s="261"/>
      <c r="FI199" s="261"/>
      <c r="FJ199" s="261"/>
      <c r="FK199" s="261"/>
      <c r="FL199" s="261"/>
      <c r="FM199" s="261"/>
      <c r="FN199" s="261"/>
      <c r="FO199" s="261"/>
      <c r="FP199" s="261"/>
      <c r="FQ199" s="261"/>
      <c r="FR199" s="261"/>
      <c r="FS199" s="261"/>
      <c r="FT199" s="261"/>
      <c r="FU199" s="261"/>
      <c r="FV199" s="261"/>
      <c r="FW199" s="261"/>
      <c r="FX199" s="261"/>
      <c r="FY199" s="261"/>
      <c r="FZ199" s="261"/>
      <c r="GA199" s="261"/>
      <c r="GB199" s="261"/>
      <c r="GC199" s="261"/>
      <c r="GD199" s="261"/>
      <c r="GE199" s="261"/>
      <c r="GF199" s="261"/>
      <c r="GG199" s="261"/>
      <c r="GH199" s="261"/>
      <c r="GI199" s="261"/>
      <c r="GJ199" s="261"/>
      <c r="GK199" s="261"/>
      <c r="GL199" s="261"/>
      <c r="GM199" s="261"/>
      <c r="GN199" s="261"/>
      <c r="GO199" s="261"/>
      <c r="GP199" s="261"/>
      <c r="GQ199" s="261"/>
      <c r="GR199" s="261"/>
      <c r="GS199" s="261"/>
      <c r="GT199" s="261"/>
      <c r="GU199" s="261"/>
      <c r="GV199" s="261"/>
      <c r="GW199" s="261"/>
      <c r="GX199" s="261"/>
      <c r="GY199" s="261"/>
      <c r="GZ199" s="261"/>
      <c r="HA199" s="261"/>
      <c r="HB199" s="261"/>
      <c r="HC199" s="261"/>
      <c r="HD199" s="261"/>
      <c r="HE199" s="261"/>
      <c r="HF199" s="261"/>
      <c r="HG199" s="261"/>
      <c r="HH199" s="261"/>
      <c r="HI199" s="261"/>
      <c r="HJ199" s="261"/>
      <c r="HK199" s="261"/>
      <c r="HL199" s="261"/>
      <c r="HM199" s="261"/>
      <c r="HN199" s="261"/>
      <c r="HO199" s="261"/>
      <c r="HP199" s="261"/>
      <c r="HQ199" s="261"/>
      <c r="HR199" s="261"/>
      <c r="HS199" s="261"/>
      <c r="HT199" s="261"/>
      <c r="HU199" s="261"/>
      <c r="HV199" s="261"/>
      <c r="HW199" s="261"/>
      <c r="HX199" s="261"/>
      <c r="HY199" s="261"/>
      <c r="HZ199" s="261"/>
      <c r="IA199" s="261"/>
      <c r="IB199" s="261"/>
      <c r="IC199" s="261"/>
      <c r="ID199" s="261"/>
      <c r="IE199" s="261"/>
      <c r="IF199" s="261"/>
      <c r="IG199" s="261"/>
      <c r="IH199" s="261"/>
      <c r="II199" s="261"/>
    </row>
    <row r="200" spans="1:243" ht="13.4" customHeight="1">
      <c r="A200" s="257"/>
      <c r="B200" s="262" t="s">
        <v>142</v>
      </c>
      <c r="C200" s="11"/>
      <c r="D200" s="263"/>
      <c r="E200" s="264"/>
      <c r="F200" s="479">
        <f>Assumptions!H40</f>
        <v>30</v>
      </c>
      <c r="K200" s="259"/>
      <c r="L200" s="260"/>
      <c r="M200" s="260"/>
      <c r="N200" s="260"/>
      <c r="P200" s="261"/>
      <c r="Q200" s="261"/>
      <c r="R200" s="261"/>
      <c r="S200" s="261"/>
      <c r="T200" s="261"/>
      <c r="U200" s="261"/>
      <c r="V200" s="261"/>
      <c r="W200" s="261"/>
      <c r="X200" s="261"/>
      <c r="Y200" s="261"/>
      <c r="Z200" s="261"/>
      <c r="AA200" s="261"/>
      <c r="AB200" s="261"/>
      <c r="AC200" s="261"/>
      <c r="AD200" s="261"/>
      <c r="AE200" s="261"/>
      <c r="AF200" s="261"/>
      <c r="AG200" s="261"/>
      <c r="AH200" s="261"/>
      <c r="AI200" s="261"/>
      <c r="AJ200" s="261"/>
      <c r="AK200" s="261"/>
      <c r="AL200" s="261"/>
      <c r="AM200" s="261"/>
      <c r="AN200" s="261"/>
      <c r="AO200" s="261"/>
      <c r="AP200" s="261"/>
      <c r="AQ200" s="261"/>
      <c r="AR200" s="261"/>
      <c r="AS200" s="261"/>
      <c r="AT200" s="261"/>
      <c r="AU200" s="261"/>
      <c r="AV200" s="261"/>
      <c r="AW200" s="261"/>
      <c r="AX200" s="261"/>
      <c r="AY200" s="261"/>
      <c r="AZ200" s="261"/>
      <c r="BA200" s="261"/>
      <c r="BB200" s="261"/>
      <c r="BC200" s="261"/>
      <c r="BD200" s="261"/>
      <c r="BE200" s="261"/>
      <c r="BF200" s="261"/>
      <c r="BG200" s="261"/>
      <c r="BH200" s="261"/>
      <c r="BI200" s="261"/>
      <c r="BJ200" s="261"/>
      <c r="BK200" s="261"/>
      <c r="BL200" s="261"/>
      <c r="BM200" s="261"/>
      <c r="BN200" s="261"/>
      <c r="BO200" s="261"/>
      <c r="BP200" s="261"/>
      <c r="BQ200" s="261"/>
      <c r="BR200" s="261"/>
      <c r="BS200" s="261"/>
      <c r="BT200" s="261"/>
      <c r="BU200" s="261"/>
      <c r="BV200" s="261"/>
      <c r="BW200" s="261"/>
      <c r="BX200" s="261"/>
      <c r="BY200" s="261"/>
      <c r="BZ200" s="261"/>
      <c r="CA200" s="261"/>
      <c r="CB200" s="261"/>
      <c r="CC200" s="261"/>
      <c r="CD200" s="261"/>
      <c r="CE200" s="261"/>
      <c r="CF200" s="261"/>
      <c r="CG200" s="261"/>
      <c r="CH200" s="261"/>
      <c r="CI200" s="261"/>
      <c r="CJ200" s="261"/>
      <c r="CK200" s="261"/>
      <c r="CL200" s="261"/>
      <c r="CM200" s="261"/>
      <c r="CN200" s="261"/>
      <c r="CO200" s="261"/>
      <c r="CP200" s="261"/>
      <c r="CQ200" s="261"/>
      <c r="CR200" s="261"/>
      <c r="CS200" s="261"/>
      <c r="CT200" s="261"/>
      <c r="CU200" s="261"/>
      <c r="CV200" s="261"/>
      <c r="CW200" s="261"/>
      <c r="CX200" s="261"/>
      <c r="CY200" s="261"/>
      <c r="CZ200" s="261"/>
      <c r="DA200" s="261"/>
      <c r="DB200" s="261"/>
      <c r="DC200" s="261"/>
      <c r="DD200" s="261"/>
      <c r="DE200" s="261"/>
      <c r="DF200" s="261"/>
      <c r="DG200" s="261"/>
      <c r="DH200" s="261"/>
      <c r="DI200" s="261"/>
      <c r="DJ200" s="261"/>
      <c r="DK200" s="261"/>
      <c r="DL200" s="261"/>
      <c r="DM200" s="261"/>
      <c r="DN200" s="261"/>
      <c r="DO200" s="261"/>
      <c r="DP200" s="261"/>
      <c r="DQ200" s="261"/>
      <c r="DR200" s="261"/>
      <c r="DS200" s="261"/>
      <c r="DT200" s="261"/>
      <c r="DU200" s="261"/>
      <c r="DV200" s="261"/>
      <c r="DW200" s="261"/>
      <c r="DX200" s="261"/>
      <c r="DY200" s="261"/>
      <c r="DZ200" s="261"/>
      <c r="EA200" s="261"/>
      <c r="EB200" s="261"/>
      <c r="EC200" s="261"/>
      <c r="ED200" s="261"/>
      <c r="EE200" s="261"/>
      <c r="EF200" s="261"/>
      <c r="EG200" s="261"/>
      <c r="EH200" s="261"/>
      <c r="EI200" s="261"/>
      <c r="EJ200" s="261"/>
      <c r="EK200" s="261"/>
      <c r="EL200" s="261"/>
      <c r="EM200" s="261"/>
      <c r="EN200" s="261"/>
      <c r="EO200" s="261"/>
      <c r="EP200" s="261"/>
      <c r="EQ200" s="261"/>
      <c r="ER200" s="261"/>
      <c r="ES200" s="261"/>
      <c r="ET200" s="261"/>
      <c r="EU200" s="261"/>
      <c r="EV200" s="261"/>
      <c r="EW200" s="261"/>
      <c r="EX200" s="261"/>
      <c r="EY200" s="261"/>
      <c r="EZ200" s="261"/>
      <c r="FA200" s="261"/>
      <c r="FB200" s="261"/>
      <c r="FC200" s="261"/>
      <c r="FD200" s="261"/>
      <c r="FE200" s="261"/>
      <c r="FF200" s="261"/>
      <c r="FG200" s="261"/>
      <c r="FH200" s="261"/>
      <c r="FI200" s="261"/>
      <c r="FJ200" s="261"/>
      <c r="FK200" s="261"/>
      <c r="FL200" s="261"/>
      <c r="FM200" s="261"/>
      <c r="FN200" s="261"/>
      <c r="FO200" s="261"/>
      <c r="FP200" s="261"/>
      <c r="FQ200" s="261"/>
      <c r="FR200" s="261"/>
      <c r="FS200" s="261"/>
      <c r="FT200" s="261"/>
      <c r="FU200" s="261"/>
      <c r="FV200" s="261"/>
      <c r="FW200" s="261"/>
      <c r="FX200" s="261"/>
      <c r="FY200" s="261"/>
      <c r="FZ200" s="261"/>
      <c r="GA200" s="261"/>
      <c r="GB200" s="261"/>
      <c r="GC200" s="261"/>
      <c r="GD200" s="261"/>
      <c r="GE200" s="261"/>
      <c r="GF200" s="261"/>
      <c r="GG200" s="261"/>
      <c r="GH200" s="261"/>
      <c r="GI200" s="261"/>
      <c r="GJ200" s="261"/>
      <c r="GK200" s="261"/>
      <c r="GL200" s="261"/>
      <c r="GM200" s="261"/>
      <c r="GN200" s="261"/>
      <c r="GO200" s="261"/>
      <c r="GP200" s="261"/>
      <c r="GQ200" s="261"/>
      <c r="GR200" s="261"/>
      <c r="GS200" s="261"/>
      <c r="GT200" s="261"/>
      <c r="GU200" s="261"/>
      <c r="GV200" s="261"/>
      <c r="GW200" s="261"/>
      <c r="GX200" s="261"/>
      <c r="GY200" s="261"/>
      <c r="GZ200" s="261"/>
      <c r="HA200" s="261"/>
      <c r="HB200" s="261"/>
      <c r="HC200" s="261"/>
      <c r="HD200" s="261"/>
      <c r="HE200" s="261"/>
      <c r="HF200" s="261"/>
      <c r="HG200" s="261"/>
      <c r="HH200" s="261"/>
      <c r="HI200" s="261"/>
      <c r="HJ200" s="261"/>
      <c r="HK200" s="261"/>
      <c r="HL200" s="261"/>
      <c r="HM200" s="261"/>
      <c r="HN200" s="261"/>
      <c r="HO200" s="261"/>
      <c r="HP200" s="261"/>
      <c r="HQ200" s="261"/>
      <c r="HR200" s="261"/>
      <c r="HS200" s="261"/>
      <c r="HT200" s="261"/>
      <c r="HU200" s="261"/>
      <c r="HV200" s="261"/>
      <c r="HW200" s="261"/>
      <c r="HX200" s="261"/>
      <c r="HY200" s="261"/>
      <c r="HZ200" s="261"/>
      <c r="IA200" s="261"/>
      <c r="IB200" s="261"/>
      <c r="IC200" s="261"/>
      <c r="ID200" s="261"/>
      <c r="IE200" s="261"/>
      <c r="IF200" s="261"/>
      <c r="IG200" s="261"/>
      <c r="IH200" s="261"/>
      <c r="II200" s="261"/>
    </row>
    <row r="201" spans="1:243" ht="12.75" customHeight="1">
      <c r="F201"/>
      <c r="K201" s="265"/>
    </row>
    <row r="202" spans="1:243">
      <c r="D202" t="s">
        <v>41</v>
      </c>
      <c r="F202"/>
      <c r="H202" s="31"/>
      <c r="I202" s="31"/>
      <c r="J202" s="31"/>
      <c r="K202" s="266">
        <f>J163/F199</f>
        <v>15.907999999999999</v>
      </c>
      <c r="L202" s="266">
        <f>K202</f>
        <v>15.907999999999999</v>
      </c>
      <c r="M202" s="266">
        <f>L202</f>
        <v>15.907999999999999</v>
      </c>
      <c r="N202" s="266">
        <f>M202</f>
        <v>15.907999999999999</v>
      </c>
      <c r="O202" s="266">
        <f>N202</f>
        <v>15.907999999999999</v>
      </c>
    </row>
    <row r="203" spans="1:243">
      <c r="F203"/>
    </row>
    <row r="204" spans="1:243" ht="13">
      <c r="D204" s="267" t="s">
        <v>54</v>
      </c>
      <c r="F204"/>
    </row>
    <row r="205" spans="1:243">
      <c r="D205" s="268">
        <f>K197</f>
        <v>2023</v>
      </c>
      <c r="E205" s="481">
        <f>-HLOOKUP(D205,$K$119:$O$129,ROWS($J$119:$J$129),FALSE)</f>
        <v>16</v>
      </c>
      <c r="F205" s="269"/>
      <c r="H205" s="260"/>
      <c r="I205" s="260"/>
      <c r="J205" s="260"/>
      <c r="K205" s="270">
        <f>IF(K$197=$D205,$E205/$F$200/2,$E205/$F$200)</f>
        <v>0.26666666666666666</v>
      </c>
      <c r="L205" s="270">
        <f t="shared" ref="L205:O209" si="96">IF(L$197=$D205,$E205/$F$200/2,$E205/$F$200)</f>
        <v>0.53333333333333333</v>
      </c>
      <c r="M205" s="270">
        <f t="shared" si="96"/>
        <v>0.53333333333333333</v>
      </c>
      <c r="N205" s="270">
        <f t="shared" si="96"/>
        <v>0.53333333333333333</v>
      </c>
      <c r="O205" s="270">
        <f t="shared" si="96"/>
        <v>0.53333333333333333</v>
      </c>
    </row>
    <row r="206" spans="1:243">
      <c r="D206" s="268">
        <f>D205+1</f>
        <v>2024</v>
      </c>
      <c r="E206" s="482">
        <f t="shared" ref="E206:E209" si="97">-HLOOKUP(D206,$K$119:$O$129,ROWS($J$119:$J$129),FALSE)</f>
        <v>17</v>
      </c>
      <c r="F206" s="269"/>
      <c r="H206" s="260"/>
      <c r="I206" s="260"/>
      <c r="J206" s="260"/>
      <c r="K206" s="270"/>
      <c r="L206" s="270">
        <f t="shared" si="96"/>
        <v>0.28333333333333333</v>
      </c>
      <c r="M206" s="270">
        <f t="shared" si="96"/>
        <v>0.56666666666666665</v>
      </c>
      <c r="N206" s="270">
        <f t="shared" si="96"/>
        <v>0.56666666666666665</v>
      </c>
      <c r="O206" s="270">
        <f t="shared" si="96"/>
        <v>0.56666666666666665</v>
      </c>
    </row>
    <row r="207" spans="1:243">
      <c r="D207" s="268">
        <f>D206+1</f>
        <v>2025</v>
      </c>
      <c r="E207" s="482">
        <f t="shared" si="97"/>
        <v>17.3</v>
      </c>
      <c r="F207" s="269"/>
      <c r="H207" s="156"/>
      <c r="I207" s="156"/>
      <c r="J207" s="156"/>
      <c r="K207" s="270"/>
      <c r="L207" s="270"/>
      <c r="M207" s="270">
        <f t="shared" si="96"/>
        <v>0.28833333333333333</v>
      </c>
      <c r="N207" s="270">
        <f t="shared" si="96"/>
        <v>0.57666666666666666</v>
      </c>
      <c r="O207" s="270">
        <f t="shared" si="96"/>
        <v>0.57666666666666666</v>
      </c>
    </row>
    <row r="208" spans="1:243">
      <c r="D208" s="268">
        <f>D207+1</f>
        <v>2026</v>
      </c>
      <c r="E208" s="482">
        <f t="shared" si="97"/>
        <v>17.5</v>
      </c>
      <c r="F208" s="269"/>
      <c r="H208" s="156"/>
      <c r="I208" s="156"/>
      <c r="J208" s="156"/>
      <c r="K208" s="187"/>
      <c r="L208" s="270"/>
      <c r="M208" s="270"/>
      <c r="N208" s="270">
        <f t="shared" si="96"/>
        <v>0.29166666666666669</v>
      </c>
      <c r="O208" s="270">
        <f t="shared" si="96"/>
        <v>0.58333333333333337</v>
      </c>
    </row>
    <row r="209" spans="1:15">
      <c r="D209" s="268">
        <f>D208+1</f>
        <v>2027</v>
      </c>
      <c r="E209" s="483">
        <f t="shared" si="97"/>
        <v>18</v>
      </c>
      <c r="F209" s="269"/>
      <c r="H209" s="156"/>
      <c r="I209" s="156"/>
      <c r="J209" s="156"/>
      <c r="K209" s="187"/>
      <c r="L209" s="187"/>
      <c r="M209" s="270"/>
      <c r="N209" s="270"/>
      <c r="O209" s="270">
        <f t="shared" si="96"/>
        <v>0.3</v>
      </c>
    </row>
    <row r="211" spans="1:15" ht="13.5" thickBot="1">
      <c r="D211" s="271" t="s">
        <v>42</v>
      </c>
      <c r="H211" s="272"/>
      <c r="I211" s="272"/>
      <c r="J211" s="272"/>
      <c r="K211" s="272">
        <f>SUM(K202:K209)</f>
        <v>16.174666666666667</v>
      </c>
      <c r="L211" s="272">
        <f t="shared" ref="L211:O211" si="98">SUM(L202:L209)</f>
        <v>16.724666666666668</v>
      </c>
      <c r="M211" s="272">
        <f t="shared" si="98"/>
        <v>17.296333333333333</v>
      </c>
      <c r="N211" s="272">
        <f t="shared" si="98"/>
        <v>17.876333333333335</v>
      </c>
      <c r="O211" s="272">
        <f t="shared" si="98"/>
        <v>18.468</v>
      </c>
    </row>
    <row r="212" spans="1:15" ht="13" thickTop="1">
      <c r="B212" s="11"/>
      <c r="C212" s="11"/>
      <c r="D212" s="11"/>
      <c r="E212" s="11"/>
      <c r="F212" s="133"/>
      <c r="G212" s="11"/>
      <c r="H212" s="273"/>
      <c r="I212" s="273"/>
      <c r="J212" s="273"/>
      <c r="K212" s="273"/>
      <c r="L212" s="273"/>
      <c r="M212" s="273"/>
      <c r="N212" s="273"/>
      <c r="O212" s="11"/>
    </row>
    <row r="213" spans="1:15">
      <c r="F213"/>
    </row>
    <row r="214" spans="1:15" ht="12.75" customHeight="1">
      <c r="A214" s="91"/>
      <c r="B214" s="1"/>
      <c r="C214" s="3"/>
      <c r="D214" s="3"/>
      <c r="E214" s="3"/>
      <c r="F214" s="90"/>
      <c r="G214" s="3"/>
      <c r="H214" s="3"/>
      <c r="I214" s="3"/>
      <c r="J214" s="3"/>
      <c r="K214" s="3"/>
      <c r="L214" s="3"/>
      <c r="M214" s="3"/>
      <c r="N214" s="3"/>
      <c r="O214" s="134" t="str">
        <f>$O$1</f>
        <v>CURRENTLY RUNNING: BASE CASE SCENARIO</v>
      </c>
    </row>
    <row r="215" spans="1:15" ht="23">
      <c r="B215" s="1" t="str">
        <f>B$2</f>
        <v>Green Containers Company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8">
      <c r="B216" s="93" t="s">
        <v>48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3" customHeight="1" thickBot="1">
      <c r="A217" s="92"/>
      <c r="B217" s="371"/>
      <c r="C217" s="372"/>
      <c r="D217" s="372"/>
      <c r="E217" s="372"/>
      <c r="F217" s="373"/>
      <c r="G217" s="372"/>
      <c r="H217" s="372"/>
      <c r="I217" s="372"/>
      <c r="J217" s="372"/>
      <c r="K217" s="372"/>
      <c r="L217" s="372"/>
      <c r="M217" s="372"/>
      <c r="N217" s="372"/>
      <c r="O217" s="372"/>
    </row>
    <row r="218" spans="1:15" ht="13">
      <c r="B218" s="168" t="s">
        <v>173</v>
      </c>
      <c r="F218"/>
    </row>
    <row r="219" spans="1:15" ht="13">
      <c r="F219"/>
      <c r="H219" s="234"/>
      <c r="I219" s="234"/>
      <c r="J219" s="234"/>
      <c r="K219" s="98" t="s">
        <v>2</v>
      </c>
      <c r="L219" s="20"/>
      <c r="M219" s="20"/>
      <c r="N219" s="20"/>
      <c r="O219" s="20"/>
    </row>
    <row r="220" spans="1:15" ht="13">
      <c r="B220" s="274"/>
      <c r="C220" s="275" t="s">
        <v>95</v>
      </c>
      <c r="D220" s="276"/>
      <c r="E220" s="491">
        <f>Assumptions!N39</f>
        <v>0.35</v>
      </c>
      <c r="F220"/>
      <c r="H220" s="135"/>
      <c r="I220" s="135"/>
      <c r="J220" s="135"/>
      <c r="K220" s="365">
        <f>K$7</f>
        <v>2023</v>
      </c>
      <c r="L220" s="365">
        <f>L$7</f>
        <v>2024</v>
      </c>
      <c r="M220" s="365">
        <f>M$7</f>
        <v>2025</v>
      </c>
      <c r="N220" s="365">
        <f>N$7</f>
        <v>2026</v>
      </c>
      <c r="O220" s="365">
        <f>O$7</f>
        <v>2027</v>
      </c>
    </row>
    <row r="221" spans="1:15" ht="13">
      <c r="B221" s="274"/>
      <c r="C221" s="123"/>
      <c r="E221" s="492"/>
      <c r="F221"/>
      <c r="H221" s="135"/>
      <c r="I221" s="135"/>
      <c r="J221" s="135"/>
      <c r="K221" s="365"/>
      <c r="L221" s="365"/>
      <c r="M221" s="365"/>
      <c r="N221" s="365"/>
      <c r="O221" s="365"/>
    </row>
    <row r="222" spans="1:15">
      <c r="F222"/>
    </row>
    <row r="223" spans="1:15" ht="13">
      <c r="D223" s="100" t="s">
        <v>175</v>
      </c>
      <c r="F223"/>
      <c r="H223" s="493" t="s">
        <v>31</v>
      </c>
      <c r="I223" s="260"/>
      <c r="J223" s="260"/>
      <c r="K223" s="494">
        <f>K98</f>
        <v>45.703575268817175</v>
      </c>
      <c r="L223" s="494">
        <f t="shared" ref="L223:O223" si="99">L98</f>
        <v>19.821305101782293</v>
      </c>
      <c r="M223" s="494">
        <f t="shared" si="99"/>
        <v>59.696033995608985</v>
      </c>
      <c r="N223" s="494">
        <f t="shared" si="99"/>
        <v>51.259913510222191</v>
      </c>
      <c r="O223" s="494">
        <f t="shared" si="99"/>
        <v>29.888278098874157</v>
      </c>
    </row>
    <row r="224" spans="1:15" ht="6" customHeight="1">
      <c r="E224" s="84"/>
      <c r="F224" s="84"/>
      <c r="H224" s="177"/>
      <c r="I224" s="177"/>
      <c r="J224" s="177"/>
      <c r="K224" s="177"/>
      <c r="L224" s="177"/>
      <c r="M224" s="177"/>
      <c r="N224" s="177"/>
      <c r="O224" s="177"/>
    </row>
    <row r="225" spans="1:16" ht="14.5">
      <c r="D225" t="s">
        <v>185</v>
      </c>
      <c r="F225"/>
      <c r="K225" s="495">
        <f>Assumptions!J61</f>
        <v>5</v>
      </c>
      <c r="L225" s="495">
        <f>Assumptions!K61</f>
        <v>5</v>
      </c>
      <c r="M225" s="495">
        <f>Assumptions!L61</f>
        <v>5</v>
      </c>
      <c r="N225" s="495">
        <f>Assumptions!M61</f>
        <v>5</v>
      </c>
      <c r="O225" s="495">
        <f>Assumptions!N61</f>
        <v>5</v>
      </c>
    </row>
    <row r="226" spans="1:16" ht="13">
      <c r="D226" s="100" t="s">
        <v>176</v>
      </c>
      <c r="F226" s="84"/>
      <c r="H226" s="493" t="s">
        <v>32</v>
      </c>
      <c r="I226" s="496"/>
      <c r="J226" s="496"/>
      <c r="K226" s="494">
        <f>K223-K225</f>
        <v>40.703575268817175</v>
      </c>
      <c r="L226" s="494">
        <f t="shared" ref="L226:O226" si="100">L223-L225</f>
        <v>14.821305101782293</v>
      </c>
      <c r="M226" s="494">
        <f t="shared" si="100"/>
        <v>54.696033995608985</v>
      </c>
      <c r="N226" s="494">
        <f t="shared" si="100"/>
        <v>46.259913510222191</v>
      </c>
      <c r="O226" s="494">
        <f t="shared" si="100"/>
        <v>24.888278098874157</v>
      </c>
    </row>
    <row r="227" spans="1:16" ht="13">
      <c r="E227" s="123"/>
      <c r="F227"/>
      <c r="H227" s="260"/>
      <c r="I227" s="260"/>
      <c r="J227" s="260"/>
      <c r="K227" s="270"/>
      <c r="L227" s="270"/>
      <c r="M227" s="270"/>
      <c r="N227" s="270"/>
      <c r="O227" s="270"/>
      <c r="P227" s="187"/>
    </row>
    <row r="228" spans="1:16">
      <c r="D228" s="19" t="str">
        <f>CONCATENATE("Accounting Taxes (",$E$220*100,"% of A)")</f>
        <v>Accounting Taxes (35% of A)</v>
      </c>
      <c r="E228" s="84"/>
      <c r="F228" s="177"/>
      <c r="G228" s="177"/>
      <c r="H228" s="260"/>
      <c r="I228" s="260"/>
      <c r="J228" s="260"/>
      <c r="K228" s="270">
        <f>$E$220*K223</f>
        <v>15.99625134408601</v>
      </c>
      <c r="L228" s="270">
        <f t="shared" ref="L228:O228" si="101">$E$220*L223</f>
        <v>6.9374567856238025</v>
      </c>
      <c r="M228" s="270">
        <f t="shared" si="101"/>
        <v>20.893611898463142</v>
      </c>
      <c r="N228" s="270">
        <f t="shared" si="101"/>
        <v>17.940969728577766</v>
      </c>
      <c r="O228" s="270">
        <f t="shared" si="101"/>
        <v>10.460897334605955</v>
      </c>
    </row>
    <row r="229" spans="1:16">
      <c r="F229" s="497"/>
      <c r="H229" s="260"/>
      <c r="I229" s="260"/>
      <c r="J229" s="260"/>
      <c r="K229" s="260"/>
      <c r="L229" s="260"/>
      <c r="M229" s="260"/>
      <c r="N229" s="260"/>
      <c r="O229" s="260"/>
    </row>
    <row r="230" spans="1:16" ht="13">
      <c r="D230" s="193" t="s">
        <v>96</v>
      </c>
      <c r="E230" s="498"/>
      <c r="F230" s="499"/>
      <c r="G230" s="499"/>
      <c r="H230" s="499"/>
      <c r="I230" s="499"/>
      <c r="J230" s="499"/>
      <c r="K230" s="499"/>
      <c r="L230" s="499"/>
      <c r="M230" s="499"/>
      <c r="N230" s="499"/>
      <c r="O230" s="500"/>
    </row>
    <row r="231" spans="1:16" ht="13">
      <c r="D231" s="22" t="str">
        <f>CONCATENATE("Current Tax (",$E$220*100,"% of B)")</f>
        <v>Current Tax (35% of B)</v>
      </c>
      <c r="E231" s="84"/>
      <c r="F231" s="177"/>
      <c r="G231" s="501"/>
      <c r="H231" s="260"/>
      <c r="I231" s="260"/>
      <c r="J231" s="260"/>
      <c r="K231" s="270">
        <f>$E$220*K226</f>
        <v>14.24625134408601</v>
      </c>
      <c r="L231" s="270">
        <f t="shared" ref="L231:O231" si="102">$E$220*L226</f>
        <v>5.1874567856238025</v>
      </c>
      <c r="M231" s="270">
        <f t="shared" si="102"/>
        <v>19.143611898463142</v>
      </c>
      <c r="N231" s="270">
        <f t="shared" si="102"/>
        <v>16.190969728577766</v>
      </c>
      <c r="O231" s="502">
        <f t="shared" si="102"/>
        <v>8.7108973346059546</v>
      </c>
    </row>
    <row r="232" spans="1:16">
      <c r="D232" s="6" t="s">
        <v>148</v>
      </c>
      <c r="E232" s="84"/>
      <c r="F232" s="177"/>
      <c r="G232" s="177"/>
      <c r="H232" s="260"/>
      <c r="I232" s="260"/>
      <c r="J232" s="260"/>
      <c r="K232" s="503">
        <f>K228-K231</f>
        <v>1.75</v>
      </c>
      <c r="L232" s="503">
        <f t="shared" ref="L232:O232" si="103">L228-L231</f>
        <v>1.75</v>
      </c>
      <c r="M232" s="503">
        <f t="shared" si="103"/>
        <v>1.75</v>
      </c>
      <c r="N232" s="503">
        <f t="shared" si="103"/>
        <v>1.75</v>
      </c>
      <c r="O232" s="504">
        <f t="shared" si="103"/>
        <v>1.75</v>
      </c>
    </row>
    <row r="233" spans="1:16" ht="13">
      <c r="D233" s="277" t="s">
        <v>97</v>
      </c>
      <c r="E233" s="505"/>
      <c r="F233" s="506"/>
      <c r="G233" s="506"/>
      <c r="H233" s="507"/>
      <c r="I233" s="507"/>
      <c r="J233" s="507"/>
      <c r="K233" s="508">
        <f>SUM(K231:K232)</f>
        <v>15.99625134408601</v>
      </c>
      <c r="L233" s="508">
        <f t="shared" ref="L233:O233" si="104">SUM(L231:L232)</f>
        <v>6.9374567856238025</v>
      </c>
      <c r="M233" s="508">
        <f t="shared" si="104"/>
        <v>20.893611898463142</v>
      </c>
      <c r="N233" s="508">
        <f t="shared" si="104"/>
        <v>17.940969728577766</v>
      </c>
      <c r="O233" s="509">
        <f t="shared" si="104"/>
        <v>10.460897334605955</v>
      </c>
    </row>
    <row r="234" spans="1:16">
      <c r="E234" s="84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</row>
    <row r="235" spans="1:16" ht="13">
      <c r="C235" s="278" t="s">
        <v>177</v>
      </c>
      <c r="E235" s="84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</row>
    <row r="236" spans="1:16" ht="6" customHeight="1">
      <c r="B236" s="11"/>
      <c r="C236" s="11"/>
      <c r="D236" s="11"/>
      <c r="E236" s="279"/>
      <c r="F236" s="279"/>
      <c r="G236" s="280"/>
      <c r="H236" s="280"/>
      <c r="I236" s="280"/>
      <c r="J236" s="280"/>
      <c r="K236" s="280"/>
      <c r="L236" s="280"/>
      <c r="M236" s="280"/>
      <c r="N236" s="280"/>
      <c r="O236" s="11"/>
    </row>
    <row r="238" spans="1:16" ht="12.75" customHeight="1">
      <c r="A238" s="91"/>
      <c r="B238" s="1"/>
      <c r="C238" s="3"/>
      <c r="D238" s="3"/>
      <c r="E238" s="3"/>
      <c r="F238" s="90"/>
      <c r="G238" s="3"/>
      <c r="H238" s="3"/>
      <c r="I238" s="3"/>
      <c r="J238" s="3"/>
      <c r="K238" s="3"/>
      <c r="L238" s="3"/>
      <c r="M238" s="3"/>
      <c r="N238" s="3"/>
      <c r="O238" s="134" t="str">
        <f>$O$1</f>
        <v>CURRENTLY RUNNING: BASE CASE SCENARIO</v>
      </c>
    </row>
    <row r="239" spans="1:16" ht="23">
      <c r="B239" s="1" t="str">
        <f>B$2</f>
        <v>Green Containers Company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6" ht="18">
      <c r="B240" s="93" t="s">
        <v>49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9" ht="3" customHeight="1" thickBot="1">
      <c r="A241" s="92"/>
      <c r="B241" s="371"/>
      <c r="C241" s="372"/>
      <c r="D241" s="372"/>
      <c r="E241" s="372"/>
      <c r="F241" s="373"/>
      <c r="G241" s="372"/>
      <c r="H241" s="372"/>
      <c r="I241" s="372"/>
      <c r="J241" s="372"/>
      <c r="K241" s="372"/>
      <c r="L241" s="372"/>
      <c r="M241" s="372"/>
      <c r="N241" s="372"/>
      <c r="O241" s="372"/>
    </row>
    <row r="242" spans="1:19" ht="13">
      <c r="B242" s="168" t="s">
        <v>173</v>
      </c>
      <c r="F242"/>
      <c r="O242" s="19"/>
    </row>
    <row r="243" spans="1:19" ht="13">
      <c r="F243"/>
      <c r="H243" s="3"/>
      <c r="I243" s="3"/>
      <c r="J243" s="3"/>
      <c r="K243" s="98" t="s">
        <v>2</v>
      </c>
      <c r="L243" s="20"/>
      <c r="M243" s="20"/>
      <c r="N243" s="20"/>
      <c r="O243" s="20"/>
    </row>
    <row r="244" spans="1:19" ht="12" customHeight="1">
      <c r="F244"/>
      <c r="G244" s="206"/>
      <c r="H244" s="363">
        <f t="shared" ref="H244:J244" si="105">H$7</f>
        <v>2020</v>
      </c>
      <c r="I244" s="363">
        <f t="shared" si="105"/>
        <v>2021</v>
      </c>
      <c r="J244" s="363">
        <f t="shared" si="105"/>
        <v>2022</v>
      </c>
      <c r="K244" s="365">
        <f>K$7</f>
        <v>2023</v>
      </c>
      <c r="L244" s="365">
        <f>L$7</f>
        <v>2024</v>
      </c>
      <c r="M244" s="365">
        <f>M$7</f>
        <v>2025</v>
      </c>
      <c r="N244" s="365">
        <f>N$7</f>
        <v>2026</v>
      </c>
      <c r="O244" s="365">
        <f>O$7</f>
        <v>2027</v>
      </c>
    </row>
    <row r="245" spans="1:19" ht="12" customHeight="1">
      <c r="F245"/>
    </row>
    <row r="246" spans="1:19">
      <c r="B246" s="170" t="s">
        <v>106</v>
      </c>
      <c r="C246" s="171"/>
      <c r="D246" s="171"/>
      <c r="E246" s="171"/>
      <c r="F246" s="281" t="s">
        <v>61</v>
      </c>
      <c r="G246" s="171"/>
      <c r="H246" s="171"/>
      <c r="I246" s="512">
        <f>DATE(I244,12,31)-DATE(H244,12,31)</f>
        <v>365</v>
      </c>
      <c r="J246" s="512">
        <f t="shared" ref="J246:O246" si="106">DATE(J244,12,31)-DATE(I244,12,31)</f>
        <v>365</v>
      </c>
      <c r="K246" s="512">
        <f t="shared" si="106"/>
        <v>365</v>
      </c>
      <c r="L246" s="512">
        <f t="shared" si="106"/>
        <v>366</v>
      </c>
      <c r="M246" s="512">
        <f t="shared" si="106"/>
        <v>365</v>
      </c>
      <c r="N246" s="512">
        <f t="shared" si="106"/>
        <v>365</v>
      </c>
      <c r="O246" s="512">
        <f t="shared" si="106"/>
        <v>365</v>
      </c>
    </row>
    <row r="247" spans="1:19">
      <c r="F247" s="101"/>
    </row>
    <row r="248" spans="1:19" ht="13">
      <c r="B248" s="123" t="s">
        <v>143</v>
      </c>
      <c r="F248" s="101"/>
    </row>
    <row r="249" spans="1:19">
      <c r="C249" t="s">
        <v>3</v>
      </c>
      <c r="F249" s="101" t="s">
        <v>172</v>
      </c>
      <c r="I249" s="130">
        <f>I85</f>
        <v>236.60000000000002</v>
      </c>
      <c r="J249" s="130">
        <f t="shared" ref="J249:O249" si="107">J85</f>
        <v>204.79999999999998</v>
      </c>
      <c r="K249" s="130">
        <f t="shared" si="107"/>
        <v>252.46209677419353</v>
      </c>
      <c r="L249" s="130">
        <f t="shared" si="107"/>
        <v>233.58111483870971</v>
      </c>
      <c r="M249" s="130">
        <f t="shared" si="107"/>
        <v>281.23110855638714</v>
      </c>
      <c r="N249" s="130">
        <f t="shared" si="107"/>
        <v>281.22955436627001</v>
      </c>
      <c r="O249" s="130">
        <f t="shared" si="107"/>
        <v>268.17287049000004</v>
      </c>
    </row>
    <row r="250" spans="1:19">
      <c r="C250" t="s">
        <v>4</v>
      </c>
      <c r="F250" s="101" t="s">
        <v>172</v>
      </c>
      <c r="I250" s="130">
        <f>I87</f>
        <v>164.6</v>
      </c>
      <c r="J250" s="130">
        <f t="shared" ref="J250:O250" si="108">J87</f>
        <v>167.9</v>
      </c>
      <c r="K250" s="130">
        <f t="shared" si="108"/>
        <v>174.68685483870968</v>
      </c>
      <c r="L250" s="130">
        <f t="shared" si="108"/>
        <v>182.49261561290325</v>
      </c>
      <c r="M250" s="130">
        <f t="shared" si="108"/>
        <v>190.71666264216776</v>
      </c>
      <c r="N250" s="130">
        <f t="shared" si="108"/>
        <v>200.36067077655082</v>
      </c>
      <c r="O250" s="130">
        <f t="shared" si="108"/>
        <v>209.56780061099997</v>
      </c>
    </row>
    <row r="251" spans="1:19">
      <c r="F251" s="101"/>
    </row>
    <row r="252" spans="1:19" ht="13">
      <c r="B252" s="282" t="s">
        <v>27</v>
      </c>
      <c r="C252" s="283"/>
      <c r="F252" s="101"/>
      <c r="S252" t="s">
        <v>141</v>
      </c>
    </row>
    <row r="253" spans="1:19">
      <c r="B253" s="284"/>
      <c r="C253" s="283" t="s">
        <v>14</v>
      </c>
      <c r="F253" s="101" t="s">
        <v>61</v>
      </c>
      <c r="G253" s="285"/>
      <c r="H253" s="286"/>
      <c r="I253" s="130">
        <f>I261*I246/I249</f>
        <v>42.886728655959423</v>
      </c>
      <c r="J253" s="130">
        <f>J261*J246/J249</f>
        <v>50.437011718750007</v>
      </c>
      <c r="K253" s="513">
        <f>Assumptions!J64</f>
        <v>48</v>
      </c>
      <c r="L253" s="513">
        <f>Assumptions!K64</f>
        <v>44</v>
      </c>
      <c r="M253" s="513">
        <f>Assumptions!L64</f>
        <v>40</v>
      </c>
      <c r="N253" s="513">
        <f>Assumptions!M64</f>
        <v>40</v>
      </c>
      <c r="O253" s="513">
        <f>Assumptions!N64</f>
        <v>40</v>
      </c>
    </row>
    <row r="254" spans="1:19">
      <c r="B254" s="284"/>
      <c r="C254" s="287" t="s">
        <v>28</v>
      </c>
      <c r="F254" s="101" t="s">
        <v>61</v>
      </c>
      <c r="G254" s="285"/>
      <c r="H254" s="286"/>
      <c r="I254" s="130">
        <f>I262*I$246/I$250</f>
        <v>80.051640340218711</v>
      </c>
      <c r="J254" s="130">
        <f>J262*J$246/J$250</f>
        <v>76.304347826086953</v>
      </c>
      <c r="K254" s="513">
        <f>Assumptions!J65</f>
        <v>70</v>
      </c>
      <c r="L254" s="513">
        <f>Assumptions!K65</f>
        <v>65</v>
      </c>
      <c r="M254" s="513">
        <f>Assumptions!L65</f>
        <v>60</v>
      </c>
      <c r="N254" s="513">
        <f>Assumptions!M65</f>
        <v>60</v>
      </c>
      <c r="O254" s="513">
        <f>Assumptions!N65</f>
        <v>55</v>
      </c>
    </row>
    <row r="255" spans="1:19">
      <c r="B255" s="284"/>
      <c r="C255" s="287" t="s">
        <v>165</v>
      </c>
      <c r="F255" s="101" t="s">
        <v>61</v>
      </c>
      <c r="G255" s="288"/>
      <c r="H255" s="289"/>
      <c r="I255" s="130">
        <f t="shared" ref="I255:J255" si="109">I263*I$246/I$250</f>
        <v>31.93195625759417</v>
      </c>
      <c r="J255" s="130">
        <f t="shared" si="109"/>
        <v>32.391304347826086</v>
      </c>
      <c r="K255" s="513">
        <f>Assumptions!J66</f>
        <v>30</v>
      </c>
      <c r="L255" s="513">
        <f>Assumptions!K66</f>
        <v>30</v>
      </c>
      <c r="M255" s="513">
        <f>Assumptions!L66</f>
        <v>30</v>
      </c>
      <c r="N255" s="513">
        <f>Assumptions!M66</f>
        <v>30</v>
      </c>
      <c r="O255" s="513">
        <f>Assumptions!N66</f>
        <v>30</v>
      </c>
    </row>
    <row r="256" spans="1:19">
      <c r="B256" s="284"/>
      <c r="C256" s="287" t="s">
        <v>166</v>
      </c>
      <c r="F256" s="101" t="s">
        <v>61</v>
      </c>
      <c r="G256" s="288"/>
      <c r="H256" s="289"/>
      <c r="I256" s="130">
        <f t="shared" ref="I256:J256" si="110">I264*I$246/I$250</f>
        <v>3.9914945321992712</v>
      </c>
      <c r="J256" s="130">
        <f t="shared" si="110"/>
        <v>2.6086956521739131</v>
      </c>
      <c r="K256" s="513">
        <f>Assumptions!J67</f>
        <v>3</v>
      </c>
      <c r="L256" s="513">
        <f>Assumptions!K67</f>
        <v>3</v>
      </c>
      <c r="M256" s="513">
        <f>Assumptions!L67</f>
        <v>3</v>
      </c>
      <c r="N256" s="513">
        <f>Assumptions!M67</f>
        <v>3</v>
      </c>
      <c r="O256" s="513">
        <f>Assumptions!N67</f>
        <v>3</v>
      </c>
      <c r="S256" s="511"/>
    </row>
    <row r="257" spans="1:15">
      <c r="B257" s="284"/>
      <c r="C257" s="283" t="s">
        <v>20</v>
      </c>
      <c r="F257" s="101" t="s">
        <v>61</v>
      </c>
      <c r="G257" s="288"/>
      <c r="H257" s="289"/>
      <c r="I257" s="130">
        <f t="shared" ref="I257:J257" si="111">I265*I$246/I$250</f>
        <v>41.467193195625768</v>
      </c>
      <c r="J257" s="130">
        <f t="shared" si="111"/>
        <v>39.565217391304344</v>
      </c>
      <c r="K257" s="513">
        <f>Assumptions!J68</f>
        <v>40</v>
      </c>
      <c r="L257" s="513">
        <f>Assumptions!K68</f>
        <v>40</v>
      </c>
      <c r="M257" s="513">
        <f>Assumptions!L68</f>
        <v>40</v>
      </c>
      <c r="N257" s="513">
        <f>Assumptions!M68</f>
        <v>40</v>
      </c>
      <c r="O257" s="513">
        <f>Assumptions!N68</f>
        <v>40</v>
      </c>
    </row>
    <row r="258" spans="1:15">
      <c r="B258" s="284"/>
      <c r="C258" s="283" t="s">
        <v>167</v>
      </c>
      <c r="F258" s="101" t="s">
        <v>61</v>
      </c>
      <c r="G258" s="288"/>
      <c r="H258" s="289"/>
      <c r="I258" s="130">
        <f t="shared" ref="I258:J258" si="112">I266*I$246/I$250</f>
        <v>10.865735115431351</v>
      </c>
      <c r="J258" s="130">
        <f t="shared" si="112"/>
        <v>10.434782608695652</v>
      </c>
      <c r="K258" s="513">
        <f>Assumptions!J69</f>
        <v>10</v>
      </c>
      <c r="L258" s="513">
        <f>Assumptions!K69</f>
        <v>10</v>
      </c>
      <c r="M258" s="513">
        <f>Assumptions!L69</f>
        <v>10</v>
      </c>
      <c r="N258" s="513">
        <f>Assumptions!M69</f>
        <v>10</v>
      </c>
      <c r="O258" s="513">
        <f>Assumptions!N69</f>
        <v>10</v>
      </c>
    </row>
    <row r="259" spans="1:15">
      <c r="B259" s="284"/>
      <c r="C259" s="283"/>
      <c r="F259" s="101"/>
      <c r="H259" s="268"/>
      <c r="I259" s="268"/>
      <c r="J259" s="268"/>
      <c r="K259" s="268"/>
      <c r="L259" s="268"/>
      <c r="M259" s="268"/>
      <c r="N259" s="268"/>
      <c r="O259" s="268"/>
    </row>
    <row r="260" spans="1:15" ht="13">
      <c r="B260" s="282" t="s">
        <v>29</v>
      </c>
      <c r="C260" s="283"/>
      <c r="F260" s="101"/>
      <c r="H260" s="268"/>
      <c r="I260" s="268"/>
      <c r="J260" s="268"/>
      <c r="K260" s="268"/>
      <c r="L260" s="268"/>
      <c r="M260" s="268"/>
      <c r="N260" s="268"/>
      <c r="O260" s="268"/>
    </row>
    <row r="261" spans="1:15">
      <c r="B261" s="284"/>
      <c r="C261" s="283" t="s">
        <v>14</v>
      </c>
      <c r="F261" s="101" t="s">
        <v>172</v>
      </c>
      <c r="I261" s="130">
        <f>I157</f>
        <v>27.8</v>
      </c>
      <c r="J261" s="130">
        <f>J157</f>
        <v>28.3</v>
      </c>
      <c r="K261" s="130">
        <f>K253*K249/K$246</f>
        <v>33.200494918250108</v>
      </c>
      <c r="L261" s="130">
        <f t="shared" ref="L261:O261" si="113">L253*L249/L$246</f>
        <v>28.080789762030676</v>
      </c>
      <c r="M261" s="130">
        <f t="shared" si="113"/>
        <v>30.81984751302873</v>
      </c>
      <c r="N261" s="130">
        <f t="shared" si="113"/>
        <v>30.819677190824109</v>
      </c>
      <c r="O261" s="130">
        <f t="shared" si="113"/>
        <v>29.388807724931514</v>
      </c>
    </row>
    <row r="262" spans="1:15">
      <c r="B262" s="284"/>
      <c r="C262" s="287" t="s">
        <v>28</v>
      </c>
      <c r="F262" s="101" t="s">
        <v>172</v>
      </c>
      <c r="I262" s="130">
        <f t="shared" ref="I262:J262" si="114">I158</f>
        <v>36.1</v>
      </c>
      <c r="J262" s="130">
        <f t="shared" si="114"/>
        <v>35.1</v>
      </c>
      <c r="K262" s="130">
        <f>K254*K$250/K$246</f>
        <v>33.501588599204595</v>
      </c>
      <c r="L262" s="130">
        <f t="shared" ref="L262:O262" si="115">L254*L$250/L$246</f>
        <v>32.409890750925442</v>
      </c>
      <c r="M262" s="130">
        <f t="shared" si="115"/>
        <v>31.350684269945386</v>
      </c>
      <c r="N262" s="130">
        <f t="shared" si="115"/>
        <v>32.936000675597398</v>
      </c>
      <c r="O262" s="130">
        <f t="shared" si="115"/>
        <v>31.578709681109583</v>
      </c>
    </row>
    <row r="263" spans="1:15">
      <c r="B263" s="284"/>
      <c r="C263" s="287" t="s">
        <v>165</v>
      </c>
      <c r="F263" s="101" t="s">
        <v>172</v>
      </c>
      <c r="I263" s="130">
        <f t="shared" ref="I263:J263" si="116">I159</f>
        <v>14.4</v>
      </c>
      <c r="J263" s="130">
        <f t="shared" si="116"/>
        <v>14.9</v>
      </c>
      <c r="K263" s="130">
        <f t="shared" ref="K263:O263" si="117">K255*K$250/K$246</f>
        <v>14.357823685373399</v>
      </c>
      <c r="L263" s="130">
        <f t="shared" si="117"/>
        <v>14.958411115811742</v>
      </c>
      <c r="M263" s="130">
        <f t="shared" si="117"/>
        <v>15.675342134972693</v>
      </c>
      <c r="N263" s="130">
        <f t="shared" si="117"/>
        <v>16.468000337798699</v>
      </c>
      <c r="O263" s="130">
        <f t="shared" si="117"/>
        <v>17.224750735150682</v>
      </c>
    </row>
    <row r="264" spans="1:15">
      <c r="B264" s="284"/>
      <c r="C264" s="287" t="s">
        <v>166</v>
      </c>
      <c r="F264" s="101" t="s">
        <v>172</v>
      </c>
      <c r="I264" s="130">
        <f t="shared" ref="I264:J264" si="118">I160</f>
        <v>1.8</v>
      </c>
      <c r="J264" s="130">
        <f t="shared" si="118"/>
        <v>1.2</v>
      </c>
      <c r="K264" s="130">
        <f t="shared" ref="K264:O264" si="119">K256*K$250/K$246</f>
        <v>1.4357823685373399</v>
      </c>
      <c r="L264" s="130">
        <f t="shared" si="119"/>
        <v>1.4958411115811743</v>
      </c>
      <c r="M264" s="130">
        <f t="shared" si="119"/>
        <v>1.5675342134972692</v>
      </c>
      <c r="N264" s="130">
        <f t="shared" si="119"/>
        <v>1.6468000337798698</v>
      </c>
      <c r="O264" s="130">
        <f t="shared" si="119"/>
        <v>1.7224750735150682</v>
      </c>
    </row>
    <row r="265" spans="1:15">
      <c r="B265" s="284"/>
      <c r="C265" s="283" t="s">
        <v>20</v>
      </c>
      <c r="F265" s="101" t="s">
        <v>172</v>
      </c>
      <c r="I265" s="129">
        <f>I172</f>
        <v>18.700000000000003</v>
      </c>
      <c r="J265" s="129">
        <f>J172</f>
        <v>18.2</v>
      </c>
      <c r="K265" s="129">
        <f t="shared" ref="K265:O265" si="120">K257*K$250/K$246</f>
        <v>19.143764913831198</v>
      </c>
      <c r="L265" s="129">
        <f t="shared" si="120"/>
        <v>19.944548154415656</v>
      </c>
      <c r="M265" s="129">
        <f t="shared" si="120"/>
        <v>20.900456179963591</v>
      </c>
      <c r="N265" s="129">
        <f t="shared" si="120"/>
        <v>21.957333783731595</v>
      </c>
      <c r="O265" s="129">
        <f t="shared" si="120"/>
        <v>22.966334313534244</v>
      </c>
    </row>
    <row r="266" spans="1:15">
      <c r="B266" s="284"/>
      <c r="C266" s="283" t="s">
        <v>167</v>
      </c>
      <c r="F266" s="101" t="s">
        <v>172</v>
      </c>
      <c r="I266" s="514">
        <f>I173</f>
        <v>4.9000000000000004</v>
      </c>
      <c r="J266" s="514">
        <f>J173</f>
        <v>4.8</v>
      </c>
      <c r="K266" s="514">
        <f t="shared" ref="K266:O266" si="121">K258*K$250/K$246</f>
        <v>4.7859412284577996</v>
      </c>
      <c r="L266" s="514">
        <f t="shared" si="121"/>
        <v>4.9861370386039141</v>
      </c>
      <c r="M266" s="514">
        <f t="shared" si="121"/>
        <v>5.2251140449908977</v>
      </c>
      <c r="N266" s="514">
        <f t="shared" si="121"/>
        <v>5.4893334459328988</v>
      </c>
      <c r="O266" s="514">
        <f t="shared" si="121"/>
        <v>5.7415835783835609</v>
      </c>
    </row>
    <row r="267" spans="1:15" ht="13">
      <c r="B267" s="284"/>
      <c r="C267" s="290" t="s">
        <v>30</v>
      </c>
      <c r="D267" s="123"/>
      <c r="E267" s="123"/>
      <c r="F267" s="124" t="s">
        <v>172</v>
      </c>
      <c r="I267" s="515">
        <f>SUM(I261:I264)-SUM(I265:I266)</f>
        <v>56.500000000000007</v>
      </c>
      <c r="J267" s="515">
        <f t="shared" ref="J267:O267" si="122">SUM(J261:J264)-SUM(J265:J266)</f>
        <v>56.500000000000014</v>
      </c>
      <c r="K267" s="515">
        <f t="shared" si="122"/>
        <v>58.565983429076446</v>
      </c>
      <c r="L267" s="515">
        <f t="shared" si="122"/>
        <v>52.014247547329461</v>
      </c>
      <c r="M267" s="515">
        <f t="shared" si="122"/>
        <v>53.287837906489585</v>
      </c>
      <c r="N267" s="515">
        <f t="shared" si="122"/>
        <v>54.423811008335576</v>
      </c>
      <c r="O267" s="515">
        <f t="shared" si="122"/>
        <v>51.206825322789044</v>
      </c>
    </row>
    <row r="268" spans="1:15">
      <c r="B268" s="284"/>
      <c r="C268" s="283"/>
      <c r="F268" s="101"/>
      <c r="H268" s="268"/>
      <c r="I268" s="268"/>
      <c r="J268" s="268"/>
      <c r="K268" s="268"/>
      <c r="L268" s="268"/>
      <c r="M268" s="268"/>
      <c r="N268" s="268"/>
      <c r="O268" s="268"/>
    </row>
    <row r="269" spans="1:15" ht="13.5" thickBot="1">
      <c r="B269" s="290" t="s">
        <v>113</v>
      </c>
      <c r="C269" s="284"/>
      <c r="F269" s="124" t="s">
        <v>172</v>
      </c>
      <c r="H269" s="268"/>
      <c r="I269" s="268"/>
      <c r="J269" s="476">
        <f>I267-J267</f>
        <v>0</v>
      </c>
      <c r="K269" s="476">
        <f t="shared" ref="K269:O269" si="123">J267-K267</f>
        <v>-2.0659834290764323</v>
      </c>
      <c r="L269" s="476">
        <f t="shared" si="123"/>
        <v>6.5517358817469855</v>
      </c>
      <c r="M269" s="476">
        <f t="shared" si="123"/>
        <v>-1.2735903591601243</v>
      </c>
      <c r="N269" s="476">
        <f t="shared" si="123"/>
        <v>-1.1359731018459911</v>
      </c>
      <c r="O269" s="476">
        <f t="shared" si="123"/>
        <v>3.2169856855465326</v>
      </c>
    </row>
    <row r="270" spans="1:15" ht="13" thickTop="1">
      <c r="B270" s="11"/>
      <c r="C270" s="29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</row>
    <row r="272" spans="1:15" ht="12.75" customHeight="1">
      <c r="A272" s="91"/>
      <c r="B272" s="1"/>
      <c r="C272" s="3"/>
      <c r="D272" s="3"/>
      <c r="E272" s="3"/>
      <c r="F272" s="90"/>
      <c r="G272" s="3"/>
      <c r="H272" s="3"/>
      <c r="I272" s="3"/>
      <c r="J272" s="3"/>
      <c r="K272" s="3"/>
      <c r="L272" s="3"/>
      <c r="M272" s="3"/>
      <c r="N272" s="3"/>
      <c r="O272" s="134" t="str">
        <f>$O$1</f>
        <v>CURRENTLY RUNNING: BASE CASE SCENARIO</v>
      </c>
    </row>
    <row r="273" spans="1:15" ht="23">
      <c r="B273" s="1" t="str">
        <f>B$2</f>
        <v>Green Containers Company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8">
      <c r="B274" s="93" t="s">
        <v>63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3" customHeight="1" thickBot="1">
      <c r="A275" s="92"/>
      <c r="B275" s="371"/>
      <c r="C275" s="372"/>
      <c r="D275" s="372"/>
      <c r="E275" s="372"/>
      <c r="F275" s="373"/>
      <c r="G275" s="372"/>
      <c r="H275" s="372"/>
      <c r="I275" s="372"/>
      <c r="J275" s="372"/>
      <c r="K275" s="372"/>
      <c r="L275" s="372"/>
      <c r="M275" s="372"/>
      <c r="N275" s="372"/>
      <c r="O275" s="372"/>
    </row>
    <row r="276" spans="1:15" ht="13">
      <c r="B276" s="168" t="s">
        <v>173</v>
      </c>
      <c r="F276"/>
      <c r="O276" s="19"/>
    </row>
    <row r="277" spans="1:15" ht="13">
      <c r="F277"/>
      <c r="H277" s="3"/>
      <c r="I277" s="3"/>
      <c r="J277" s="3"/>
      <c r="K277" s="98" t="s">
        <v>2</v>
      </c>
      <c r="L277" s="20"/>
      <c r="M277" s="20"/>
      <c r="N277" s="20"/>
      <c r="O277" s="20"/>
    </row>
    <row r="278" spans="1:15" ht="13">
      <c r="F278"/>
      <c r="G278" s="206"/>
      <c r="H278" s="292"/>
      <c r="I278" s="292"/>
      <c r="J278" s="363">
        <f t="shared" ref="J278:O278" si="124">J$7</f>
        <v>2022</v>
      </c>
      <c r="K278" s="365">
        <f t="shared" si="124"/>
        <v>2023</v>
      </c>
      <c r="L278" s="365">
        <f t="shared" si="124"/>
        <v>2024</v>
      </c>
      <c r="M278" s="365">
        <f t="shared" si="124"/>
        <v>2025</v>
      </c>
      <c r="N278" s="365">
        <f t="shared" si="124"/>
        <v>2026</v>
      </c>
      <c r="O278" s="365">
        <f t="shared" si="124"/>
        <v>2027</v>
      </c>
    </row>
    <row r="279" spans="1:15" ht="6" customHeight="1"/>
    <row r="280" spans="1:15" ht="13">
      <c r="B280" s="123" t="s">
        <v>128</v>
      </c>
      <c r="K280" s="293"/>
      <c r="L280" s="293"/>
      <c r="M280" s="293"/>
      <c r="N280" s="293"/>
      <c r="O280" s="293"/>
    </row>
    <row r="281" spans="1:15" ht="6" customHeight="1"/>
    <row r="282" spans="1:15" ht="13">
      <c r="C282" s="123" t="s">
        <v>13</v>
      </c>
    </row>
    <row r="283" spans="1:15">
      <c r="D283" t="s">
        <v>65</v>
      </c>
      <c r="K283" s="187">
        <f>J285</f>
        <v>0.3</v>
      </c>
      <c r="L283" s="187">
        <f t="shared" ref="L283:O283" si="125">K285</f>
        <v>2.8310687127941492E-15</v>
      </c>
      <c r="M283" s="187">
        <f t="shared" si="125"/>
        <v>2.8310687127941492E-15</v>
      </c>
      <c r="N283" s="187">
        <f t="shared" si="125"/>
        <v>2.8310687127941492E-15</v>
      </c>
      <c r="O283" s="187">
        <f t="shared" si="125"/>
        <v>1.418219487408382</v>
      </c>
    </row>
    <row r="284" spans="1:15">
      <c r="D284" t="s">
        <v>71</v>
      </c>
      <c r="J284" s="11"/>
      <c r="K284" s="525">
        <f>K142</f>
        <v>-0.29999999999999716</v>
      </c>
      <c r="L284" s="525">
        <f t="shared" ref="L284:O284" si="126">L142</f>
        <v>0</v>
      </c>
      <c r="M284" s="525">
        <f t="shared" si="126"/>
        <v>0</v>
      </c>
      <c r="N284" s="525">
        <f t="shared" si="126"/>
        <v>1.4182194874083791</v>
      </c>
      <c r="O284" s="525">
        <f t="shared" si="126"/>
        <v>-1.4182194874083791</v>
      </c>
    </row>
    <row r="285" spans="1:15">
      <c r="D285" t="s">
        <v>67</v>
      </c>
      <c r="I285" s="294"/>
      <c r="J285" s="266">
        <f>J156</f>
        <v>0.3</v>
      </c>
      <c r="K285" s="266">
        <f>SUM(K283:K284)</f>
        <v>2.8310687127941492E-15</v>
      </c>
      <c r="L285" s="266">
        <f t="shared" ref="L285:O285" si="127">SUM(L283:L284)</f>
        <v>2.8310687127941492E-15</v>
      </c>
      <c r="M285" s="266">
        <f t="shared" si="127"/>
        <v>2.8310687127941492E-15</v>
      </c>
      <c r="N285" s="266">
        <f t="shared" si="127"/>
        <v>1.418219487408382</v>
      </c>
      <c r="O285" s="266">
        <f t="shared" si="127"/>
        <v>2.886579864025407E-15</v>
      </c>
    </row>
    <row r="286" spans="1:15" ht="6" customHeight="1"/>
    <row r="287" spans="1:15">
      <c r="D287" t="s">
        <v>68</v>
      </c>
      <c r="K287" s="526">
        <f>Assumptions!N27</f>
        <v>0.01</v>
      </c>
      <c r="L287" s="527">
        <f>K287</f>
        <v>0.01</v>
      </c>
      <c r="M287" s="527">
        <f t="shared" ref="M287:O287" si="128">L287</f>
        <v>0.01</v>
      </c>
      <c r="N287" s="527">
        <f t="shared" si="128"/>
        <v>0.01</v>
      </c>
      <c r="O287" s="527">
        <f t="shared" si="128"/>
        <v>0.01</v>
      </c>
    </row>
    <row r="288" spans="1:15" ht="13">
      <c r="D288" s="123" t="s">
        <v>70</v>
      </c>
      <c r="K288" s="528">
        <f>K287*K283</f>
        <v>3.0000000000000001E-3</v>
      </c>
      <c r="L288" s="528">
        <f t="shared" ref="L288:O288" si="129">L287*L283</f>
        <v>2.8310687127941492E-17</v>
      </c>
      <c r="M288" s="528">
        <f t="shared" si="129"/>
        <v>2.8310687127941492E-17</v>
      </c>
      <c r="N288" s="528">
        <f t="shared" si="129"/>
        <v>2.8310687127941492E-17</v>
      </c>
      <c r="O288" s="528">
        <f t="shared" si="129"/>
        <v>1.418219487408382E-2</v>
      </c>
    </row>
    <row r="289" spans="2:15" ht="6" customHeight="1"/>
    <row r="291" spans="2:15" ht="13">
      <c r="C291" s="123" t="s">
        <v>130</v>
      </c>
    </row>
    <row r="292" spans="2:15" ht="13">
      <c r="B292" s="123"/>
      <c r="D292" t="s">
        <v>11</v>
      </c>
      <c r="H292" s="295"/>
      <c r="I292" s="295"/>
      <c r="J292" s="295"/>
      <c r="K292" s="212">
        <f>K125</f>
        <v>45.566007162321398</v>
      </c>
      <c r="L292" s="212">
        <f t="shared" ref="L292:O292" si="130">L125</f>
        <v>37.910250864572149</v>
      </c>
      <c r="M292" s="212">
        <f t="shared" si="130"/>
        <v>56.575165071319049</v>
      </c>
      <c r="N292" s="212">
        <f t="shared" si="130"/>
        <v>51.809304013131765</v>
      </c>
      <c r="O292" s="212">
        <f t="shared" si="130"/>
        <v>42.862366449814729</v>
      </c>
    </row>
    <row r="293" spans="2:15" ht="13">
      <c r="B293" s="123"/>
      <c r="D293" t="s">
        <v>103</v>
      </c>
      <c r="H293" s="295"/>
      <c r="I293" s="295"/>
      <c r="J293" s="295"/>
      <c r="K293" s="212">
        <f>K131</f>
        <v>-16</v>
      </c>
      <c r="L293" s="212">
        <f t="shared" ref="L293:O293" si="131">L131</f>
        <v>-17</v>
      </c>
      <c r="M293" s="212">
        <f t="shared" si="131"/>
        <v>-17.3</v>
      </c>
      <c r="N293" s="212">
        <f t="shared" si="131"/>
        <v>-17.5</v>
      </c>
      <c r="O293" s="212">
        <f t="shared" si="131"/>
        <v>-18</v>
      </c>
    </row>
    <row r="294" spans="2:15" ht="13">
      <c r="B294" s="123"/>
      <c r="D294" t="s">
        <v>137</v>
      </c>
      <c r="H294" s="295"/>
      <c r="I294" s="295"/>
      <c r="J294" s="295"/>
      <c r="K294" s="212">
        <f>K309</f>
        <v>-25</v>
      </c>
      <c r="L294" s="212">
        <f t="shared" ref="L294:O294" si="132">L309</f>
        <v>-25</v>
      </c>
      <c r="M294" s="212">
        <f t="shared" si="132"/>
        <v>-25</v>
      </c>
      <c r="N294" s="212">
        <f t="shared" si="132"/>
        <v>-25</v>
      </c>
      <c r="O294" s="212">
        <f t="shared" si="132"/>
        <v>-25</v>
      </c>
    </row>
    <row r="295" spans="2:15" ht="13">
      <c r="B295" s="123"/>
      <c r="D295" t="s">
        <v>121</v>
      </c>
      <c r="H295" s="295"/>
      <c r="I295" s="295"/>
      <c r="J295" s="295"/>
      <c r="K295" s="212">
        <f>K329</f>
        <v>0</v>
      </c>
      <c r="L295" s="212">
        <f t="shared" ref="L295:O295" si="133">L329</f>
        <v>0</v>
      </c>
      <c r="M295" s="212">
        <f t="shared" si="133"/>
        <v>0</v>
      </c>
      <c r="N295" s="212">
        <f t="shared" si="133"/>
        <v>0</v>
      </c>
      <c r="O295" s="212">
        <f t="shared" si="133"/>
        <v>0</v>
      </c>
    </row>
    <row r="296" spans="2:15" ht="13">
      <c r="B296" s="123"/>
      <c r="D296" t="s">
        <v>127</v>
      </c>
      <c r="H296" s="295"/>
      <c r="I296" s="295"/>
      <c r="J296" s="295"/>
      <c r="K296" s="474">
        <f>K138</f>
        <v>-5.9414647849462332</v>
      </c>
      <c r="L296" s="474">
        <f t="shared" ref="L296:O296" si="134">L138</f>
        <v>-2.5767696632316985</v>
      </c>
      <c r="M296" s="474">
        <f t="shared" si="134"/>
        <v>-7.7604844194291687</v>
      </c>
      <c r="N296" s="474">
        <f t="shared" si="134"/>
        <v>-6.6637887563288842</v>
      </c>
      <c r="O296" s="474">
        <f t="shared" si="134"/>
        <v>-3.8854761528536401</v>
      </c>
    </row>
    <row r="297" spans="2:15" ht="13">
      <c r="D297" s="123" t="s">
        <v>136</v>
      </c>
      <c r="K297" s="191">
        <f>SUM(K292:K296)</f>
        <v>-1.3754576226248352</v>
      </c>
      <c r="L297" s="191">
        <f t="shared" ref="L297:O297" si="135">SUM(L292:L296)</f>
        <v>-6.66651879865955</v>
      </c>
      <c r="M297" s="191">
        <f t="shared" si="135"/>
        <v>6.5146806518898828</v>
      </c>
      <c r="N297" s="191">
        <f t="shared" si="135"/>
        <v>2.6455152568028808</v>
      </c>
      <c r="O297" s="191">
        <f t="shared" si="135"/>
        <v>-4.0231097030389105</v>
      </c>
    </row>
    <row r="298" spans="2:15" ht="13">
      <c r="C298" s="123"/>
    </row>
    <row r="299" spans="2:15">
      <c r="D299" t="s">
        <v>138</v>
      </c>
      <c r="K299" s="187">
        <f>J301</f>
        <v>0</v>
      </c>
      <c r="L299" s="187">
        <f t="shared" ref="L299:O299" si="136">K301</f>
        <v>1.0754576226248351</v>
      </c>
      <c r="M299" s="187">
        <f t="shared" si="136"/>
        <v>7.7419764212843827</v>
      </c>
      <c r="N299" s="187">
        <f t="shared" si="136"/>
        <v>1.2272957693944972</v>
      </c>
      <c r="O299" s="187">
        <f t="shared" si="136"/>
        <v>0</v>
      </c>
    </row>
    <row r="300" spans="2:15">
      <c r="D300" t="s">
        <v>66</v>
      </c>
      <c r="J300" s="11"/>
      <c r="K300" s="525">
        <f>-MIN(K297+K283,K299)</f>
        <v>1.0754576226248351</v>
      </c>
      <c r="L300" s="525">
        <f t="shared" ref="L300:O300" si="137">-MIN(L297+L283,L299)</f>
        <v>6.6665187986595473</v>
      </c>
      <c r="M300" s="525">
        <f t="shared" si="137"/>
        <v>-6.5146806518898854</v>
      </c>
      <c r="N300" s="525">
        <f t="shared" si="137"/>
        <v>-1.2272957693944972</v>
      </c>
      <c r="O300" s="525">
        <f t="shared" si="137"/>
        <v>2.6048902156305287</v>
      </c>
    </row>
    <row r="301" spans="2:15">
      <c r="D301" t="s">
        <v>139</v>
      </c>
      <c r="I301" s="294"/>
      <c r="J301" s="266">
        <f>J171</f>
        <v>0</v>
      </c>
      <c r="K301" s="266">
        <f>SUM(K299:K300)</f>
        <v>1.0754576226248351</v>
      </c>
      <c r="L301" s="266">
        <f t="shared" ref="L301:O301" si="138">SUM(L299:L300)</f>
        <v>7.7419764212843827</v>
      </c>
      <c r="M301" s="266">
        <f t="shared" si="138"/>
        <v>1.2272957693944972</v>
      </c>
      <c r="N301" s="266">
        <f t="shared" si="138"/>
        <v>0</v>
      </c>
      <c r="O301" s="266">
        <f t="shared" si="138"/>
        <v>2.6048902156305287</v>
      </c>
    </row>
    <row r="302" spans="2:15" ht="6" customHeight="1"/>
    <row r="303" spans="2:15">
      <c r="D303" t="s">
        <v>68</v>
      </c>
      <c r="K303" s="529">
        <f>Assumptions!N28</f>
        <v>0.06</v>
      </c>
      <c r="L303" s="126">
        <f>K303</f>
        <v>0.06</v>
      </c>
      <c r="M303" s="126">
        <f t="shared" ref="M303:O303" si="139">L303</f>
        <v>0.06</v>
      </c>
      <c r="N303" s="126">
        <f t="shared" si="139"/>
        <v>0.06</v>
      </c>
      <c r="O303" s="126">
        <f t="shared" si="139"/>
        <v>0.06</v>
      </c>
    </row>
    <row r="304" spans="2:15" ht="13">
      <c r="D304" s="123" t="s">
        <v>69</v>
      </c>
      <c r="K304" s="528">
        <f>K303*K299</f>
        <v>0</v>
      </c>
      <c r="L304" s="528">
        <f t="shared" ref="L304:O304" si="140">L303*L299</f>
        <v>6.4527457357490103E-2</v>
      </c>
      <c r="M304" s="528">
        <f t="shared" si="140"/>
        <v>0.46451858527706297</v>
      </c>
      <c r="N304" s="528">
        <f t="shared" si="140"/>
        <v>7.3637746163669832E-2</v>
      </c>
      <c r="O304" s="528">
        <f t="shared" si="140"/>
        <v>0</v>
      </c>
    </row>
    <row r="305" spans="1:15" ht="6" customHeight="1"/>
    <row r="307" spans="1:15" ht="13">
      <c r="C307" s="123" t="s">
        <v>131</v>
      </c>
    </row>
    <row r="308" spans="1:15">
      <c r="D308" t="s">
        <v>65</v>
      </c>
      <c r="K308" s="187">
        <f>J310</f>
        <v>200</v>
      </c>
      <c r="L308" s="187">
        <f t="shared" ref="L308:O308" si="141">K310</f>
        <v>175</v>
      </c>
      <c r="M308" s="187">
        <f t="shared" si="141"/>
        <v>150</v>
      </c>
      <c r="N308" s="187">
        <f t="shared" si="141"/>
        <v>125</v>
      </c>
      <c r="O308" s="187">
        <f t="shared" si="141"/>
        <v>100</v>
      </c>
    </row>
    <row r="309" spans="1:15">
      <c r="D309" t="s">
        <v>66</v>
      </c>
      <c r="J309" s="11"/>
      <c r="K309" s="530">
        <f>Assumptions!J72</f>
        <v>-25</v>
      </c>
      <c r="L309" s="530">
        <f>Assumptions!K72</f>
        <v>-25</v>
      </c>
      <c r="M309" s="530">
        <f>Assumptions!L72</f>
        <v>-25</v>
      </c>
      <c r="N309" s="530">
        <f>Assumptions!M72</f>
        <v>-25</v>
      </c>
      <c r="O309" s="530">
        <f>Assumptions!N72</f>
        <v>-25</v>
      </c>
    </row>
    <row r="310" spans="1:15">
      <c r="D310" t="s">
        <v>67</v>
      </c>
      <c r="I310" s="294"/>
      <c r="J310" s="266">
        <f>J177</f>
        <v>200</v>
      </c>
      <c r="K310" s="266">
        <f>SUM(K308:K309)</f>
        <v>175</v>
      </c>
      <c r="L310" s="266">
        <f t="shared" ref="L310:O310" si="142">SUM(L308:L309)</f>
        <v>150</v>
      </c>
      <c r="M310" s="266">
        <f t="shared" si="142"/>
        <v>125</v>
      </c>
      <c r="N310" s="266">
        <f t="shared" si="142"/>
        <v>100</v>
      </c>
      <c r="O310" s="266">
        <f t="shared" si="142"/>
        <v>75</v>
      </c>
    </row>
    <row r="311" spans="1:15" ht="6" customHeight="1"/>
    <row r="312" spans="1:15">
      <c r="D312" t="s">
        <v>68</v>
      </c>
      <c r="K312" s="529">
        <f>Assumptions!N29</f>
        <v>0.06</v>
      </c>
      <c r="L312" s="126">
        <f>K312</f>
        <v>0.06</v>
      </c>
      <c r="M312" s="126">
        <f t="shared" ref="M312:O312" si="143">L312</f>
        <v>0.06</v>
      </c>
      <c r="N312" s="126">
        <f t="shared" si="143"/>
        <v>0.06</v>
      </c>
      <c r="O312" s="126">
        <f t="shared" si="143"/>
        <v>0.06</v>
      </c>
    </row>
    <row r="313" spans="1:15" ht="13">
      <c r="D313" s="123" t="s">
        <v>69</v>
      </c>
      <c r="K313" s="528">
        <f>K312*K308</f>
        <v>12</v>
      </c>
      <c r="L313" s="528">
        <f t="shared" ref="L313:O313" si="144">L312*L308</f>
        <v>10.5</v>
      </c>
      <c r="M313" s="528">
        <f t="shared" si="144"/>
        <v>9</v>
      </c>
      <c r="N313" s="528">
        <f t="shared" si="144"/>
        <v>7.5</v>
      </c>
      <c r="O313" s="528">
        <f t="shared" si="144"/>
        <v>6</v>
      </c>
    </row>
    <row r="316" spans="1:15" ht="13.5" thickBot="1">
      <c r="C316" s="123" t="s">
        <v>74</v>
      </c>
      <c r="K316" s="189">
        <f>K304+K313-K288</f>
        <v>11.997</v>
      </c>
      <c r="L316" s="189">
        <f t="shared" ref="L316:O316" si="145">L304+L313-L288</f>
        <v>10.564527457357491</v>
      </c>
      <c r="M316" s="189">
        <f t="shared" si="145"/>
        <v>9.4645185852770624</v>
      </c>
      <c r="N316" s="189">
        <f t="shared" si="145"/>
        <v>7.5736377461636701</v>
      </c>
      <c r="O316" s="189">
        <f t="shared" si="145"/>
        <v>5.9858178051259161</v>
      </c>
    </row>
    <row r="317" spans="1:15" ht="13" thickTop="1">
      <c r="B317" s="11"/>
      <c r="C317" s="11"/>
      <c r="D317" s="11"/>
      <c r="E317" s="11"/>
      <c r="F317" s="133"/>
      <c r="G317" s="11"/>
      <c r="H317" s="11"/>
      <c r="I317" s="11"/>
      <c r="J317" s="11"/>
      <c r="K317" s="11"/>
      <c r="L317" s="11"/>
      <c r="M317" s="11"/>
      <c r="N317" s="11"/>
      <c r="O317" s="11"/>
    </row>
    <row r="319" spans="1:15" ht="12.75" customHeight="1">
      <c r="A319" s="91"/>
      <c r="B319" s="1"/>
      <c r="C319" s="3"/>
      <c r="D319" s="3"/>
      <c r="E319" s="3"/>
      <c r="F319" s="90"/>
      <c r="G319" s="3"/>
      <c r="H319" s="3"/>
      <c r="I319" s="3"/>
      <c r="J319" s="3"/>
      <c r="K319" s="3"/>
      <c r="L319" s="3"/>
      <c r="M319" s="3"/>
      <c r="N319" s="3"/>
      <c r="O319" s="134" t="str">
        <f>$O$1</f>
        <v>CURRENTLY RUNNING: BASE CASE SCENARIO</v>
      </c>
    </row>
    <row r="320" spans="1:15" ht="23">
      <c r="B320" s="1" t="str">
        <f>B$2</f>
        <v>Green Containers Company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8">
      <c r="B321" s="93" t="s">
        <v>114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3" customHeight="1" thickBot="1">
      <c r="A322" s="92"/>
      <c r="B322" s="371"/>
      <c r="C322" s="372"/>
      <c r="D322" s="372"/>
      <c r="E322" s="372"/>
      <c r="F322" s="373"/>
      <c r="G322" s="372"/>
      <c r="H322" s="372"/>
      <c r="I322" s="372"/>
      <c r="J322" s="372"/>
      <c r="K322" s="372"/>
      <c r="L322" s="372"/>
      <c r="M322" s="372"/>
      <c r="N322" s="372"/>
      <c r="O322" s="372"/>
    </row>
    <row r="323" spans="1:15" ht="13">
      <c r="B323" s="168" t="s">
        <v>173</v>
      </c>
      <c r="F323"/>
      <c r="O323" s="19"/>
    </row>
    <row r="324" spans="1:15" ht="13">
      <c r="F324"/>
      <c r="H324" s="3"/>
      <c r="I324" s="3"/>
      <c r="J324" s="3"/>
      <c r="K324" s="98" t="s">
        <v>2</v>
      </c>
      <c r="L324" s="20"/>
      <c r="M324" s="20"/>
      <c r="N324" s="20"/>
      <c r="O324" s="20"/>
    </row>
    <row r="325" spans="1:15" ht="13">
      <c r="F325"/>
      <c r="G325" s="206"/>
      <c r="H325" s="292"/>
      <c r="I325" s="292"/>
      <c r="J325" s="363">
        <f t="shared" ref="J325:O325" si="146">J$7</f>
        <v>2022</v>
      </c>
      <c r="K325" s="365">
        <f t="shared" si="146"/>
        <v>2023</v>
      </c>
      <c r="L325" s="365">
        <f t="shared" si="146"/>
        <v>2024</v>
      </c>
      <c r="M325" s="365">
        <f t="shared" si="146"/>
        <v>2025</v>
      </c>
      <c r="N325" s="365">
        <f t="shared" si="146"/>
        <v>2026</v>
      </c>
      <c r="O325" s="365">
        <f t="shared" si="146"/>
        <v>2027</v>
      </c>
    </row>
    <row r="327" spans="1:15" ht="13.4" customHeight="1">
      <c r="B327" s="123"/>
      <c r="C327" s="123" t="s">
        <v>115</v>
      </c>
    </row>
    <row r="328" spans="1:15" ht="13.4" customHeight="1">
      <c r="D328" t="s">
        <v>65</v>
      </c>
      <c r="G328" s="101"/>
      <c r="K328" s="187">
        <f>J330</f>
        <v>120</v>
      </c>
      <c r="L328" s="187">
        <f t="shared" ref="L328:O328" si="147">K330</f>
        <v>120</v>
      </c>
      <c r="M328" s="187">
        <f t="shared" si="147"/>
        <v>120</v>
      </c>
      <c r="N328" s="187">
        <f t="shared" si="147"/>
        <v>120</v>
      </c>
      <c r="O328" s="187">
        <f t="shared" si="147"/>
        <v>120</v>
      </c>
    </row>
    <row r="329" spans="1:15" ht="13.4" customHeight="1">
      <c r="D329" t="s">
        <v>124</v>
      </c>
      <c r="J329" s="11"/>
      <c r="K329" s="530">
        <f>Assumptions!J73</f>
        <v>0</v>
      </c>
      <c r="L329" s="530">
        <f>Assumptions!K73</f>
        <v>0</v>
      </c>
      <c r="M329" s="530">
        <f>Assumptions!L73</f>
        <v>0</v>
      </c>
      <c r="N329" s="530">
        <f>Assumptions!M73</f>
        <v>0</v>
      </c>
      <c r="O329" s="530">
        <f>Assumptions!N73</f>
        <v>0</v>
      </c>
    </row>
    <row r="330" spans="1:15" ht="13.4" customHeight="1">
      <c r="D330" t="s">
        <v>67</v>
      </c>
      <c r="J330" s="266">
        <f>J182</f>
        <v>120</v>
      </c>
      <c r="K330" s="266">
        <f>SUM(K328:K329)</f>
        <v>120</v>
      </c>
      <c r="L330" s="266">
        <f t="shared" ref="L330:O330" si="148">SUM(L328:L329)</f>
        <v>120</v>
      </c>
      <c r="M330" s="266">
        <f t="shared" si="148"/>
        <v>120</v>
      </c>
      <c r="N330" s="266">
        <f t="shared" si="148"/>
        <v>120</v>
      </c>
      <c r="O330" s="266">
        <f t="shared" si="148"/>
        <v>120</v>
      </c>
    </row>
    <row r="331" spans="1:15" ht="6" customHeight="1"/>
    <row r="332" spans="1:15" ht="13.4" customHeight="1">
      <c r="D332" t="s">
        <v>116</v>
      </c>
      <c r="K332" s="529">
        <f>Assumptions!N10</f>
        <v>0.2</v>
      </c>
      <c r="L332" s="126">
        <f>K332</f>
        <v>0.2</v>
      </c>
      <c r="M332" s="126">
        <f>L332</f>
        <v>0.2</v>
      </c>
      <c r="N332" s="126">
        <f>M332</f>
        <v>0.2</v>
      </c>
      <c r="O332" s="126">
        <f>N332</f>
        <v>0.2</v>
      </c>
    </row>
    <row r="333" spans="1:15" ht="13.4" customHeight="1">
      <c r="D333" t="s">
        <v>8</v>
      </c>
      <c r="K333" s="187">
        <f>K104</f>
        <v>29.707323924731163</v>
      </c>
      <c r="L333" s="187">
        <f t="shared" ref="L333:O333" si="149">L104</f>
        <v>12.883848316158492</v>
      </c>
      <c r="M333" s="187">
        <f t="shared" si="149"/>
        <v>38.802422097145843</v>
      </c>
      <c r="N333" s="187">
        <f t="shared" si="149"/>
        <v>33.318943781644421</v>
      </c>
      <c r="O333" s="187">
        <f t="shared" si="149"/>
        <v>19.4273807642682</v>
      </c>
    </row>
    <row r="334" spans="1:15" ht="13.4" customHeight="1">
      <c r="C334" s="123"/>
      <c r="D334" s="123" t="s">
        <v>117</v>
      </c>
      <c r="K334" s="528">
        <f>MAX(K332*K333,0)</f>
        <v>5.9414647849462332</v>
      </c>
      <c r="L334" s="528">
        <f t="shared" ref="L334:O334" si="150">MAX(L332*L333,0)</f>
        <v>2.5767696632316985</v>
      </c>
      <c r="M334" s="528">
        <f t="shared" si="150"/>
        <v>7.7604844194291687</v>
      </c>
      <c r="N334" s="528">
        <f t="shared" si="150"/>
        <v>6.6637887563288842</v>
      </c>
      <c r="O334" s="528">
        <f t="shared" si="150"/>
        <v>3.8854761528536401</v>
      </c>
    </row>
    <row r="337" spans="2:15" ht="13.4" customHeight="1">
      <c r="B337" s="123"/>
      <c r="C337" s="123" t="s">
        <v>118</v>
      </c>
    </row>
    <row r="338" spans="2:15" ht="13.4" customHeight="1">
      <c r="D338" t="s">
        <v>65</v>
      </c>
      <c r="K338" s="187">
        <f>J341</f>
        <v>138.50000000000003</v>
      </c>
      <c r="L338" s="187">
        <f t="shared" ref="L338:O338" si="151">K341</f>
        <v>162.26585913978496</v>
      </c>
      <c r="M338" s="187">
        <f t="shared" si="151"/>
        <v>172.57293779271177</v>
      </c>
      <c r="N338" s="187">
        <f t="shared" si="151"/>
        <v>203.61487547042844</v>
      </c>
      <c r="O338" s="187">
        <f t="shared" si="151"/>
        <v>230.27003049574398</v>
      </c>
    </row>
    <row r="339" spans="2:15" ht="13.4" customHeight="1">
      <c r="D339" t="s">
        <v>8</v>
      </c>
      <c r="K339" s="187">
        <f>K104</f>
        <v>29.707323924731163</v>
      </c>
      <c r="L339" s="187">
        <f t="shared" ref="L339:O339" si="152">L104</f>
        <v>12.883848316158492</v>
      </c>
      <c r="M339" s="187">
        <f t="shared" si="152"/>
        <v>38.802422097145843</v>
      </c>
      <c r="N339" s="187">
        <f t="shared" si="152"/>
        <v>33.318943781644421</v>
      </c>
      <c r="O339" s="187">
        <f t="shared" si="152"/>
        <v>19.4273807642682</v>
      </c>
    </row>
    <row r="340" spans="2:15" ht="13.4" customHeight="1">
      <c r="D340" t="s">
        <v>117</v>
      </c>
      <c r="J340" s="11"/>
      <c r="K340" s="525">
        <f>-K334</f>
        <v>-5.9414647849462332</v>
      </c>
      <c r="L340" s="525">
        <f t="shared" ref="L340:O340" si="153">-L334</f>
        <v>-2.5767696632316985</v>
      </c>
      <c r="M340" s="525">
        <f t="shared" si="153"/>
        <v>-7.7604844194291687</v>
      </c>
      <c r="N340" s="525">
        <f t="shared" si="153"/>
        <v>-6.6637887563288842</v>
      </c>
      <c r="O340" s="525">
        <f t="shared" si="153"/>
        <v>-3.8854761528536401</v>
      </c>
    </row>
    <row r="341" spans="2:15" ht="13.4" customHeight="1">
      <c r="D341" s="123" t="s">
        <v>67</v>
      </c>
      <c r="E341" s="123"/>
      <c r="F341" s="151"/>
      <c r="G341" s="123"/>
      <c r="H341" s="123"/>
      <c r="I341" s="123"/>
      <c r="J341" s="191">
        <f>J183</f>
        <v>138.50000000000003</v>
      </c>
      <c r="K341" s="191">
        <f>SUM(K338:K340)</f>
        <v>162.26585913978496</v>
      </c>
      <c r="L341" s="191">
        <f t="shared" ref="L341:O341" si="154">SUM(L338:L340)</f>
        <v>172.57293779271177</v>
      </c>
      <c r="M341" s="191">
        <f t="shared" si="154"/>
        <v>203.61487547042844</v>
      </c>
      <c r="N341" s="191">
        <f t="shared" si="154"/>
        <v>230.27003049574398</v>
      </c>
      <c r="O341" s="191">
        <f t="shared" si="154"/>
        <v>245.81193510715855</v>
      </c>
    </row>
    <row r="342" spans="2:15">
      <c r="B342" s="11"/>
      <c r="C342" s="11"/>
      <c r="D342" s="11"/>
      <c r="E342" s="11"/>
      <c r="F342" s="133"/>
      <c r="G342" s="11"/>
      <c r="H342" s="11"/>
      <c r="I342" s="11"/>
      <c r="J342" s="11"/>
      <c r="K342" s="11"/>
      <c r="L342" s="11"/>
      <c r="M342" s="11"/>
      <c r="N342" s="11"/>
      <c r="O342" s="11"/>
    </row>
  </sheetData>
  <sheetProtection formatCells="0" formatColumns="0" formatRows="0" insertColumns="0" insertRows="0"/>
  <phoneticPr fontId="0" type="noConversion"/>
  <printOptions horizontalCentered="1"/>
  <pageMargins left="0.25" right="0.25" top="0.25" bottom="0.5" header="0.25" footer="0.25"/>
  <pageSetup scale="95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44690-06d1-49fb-852d-53eb500a6f07">
      <Terms xmlns="http://schemas.microsoft.com/office/infopath/2007/PartnerControls"/>
    </lcf76f155ced4ddcb4097134ff3c332f>
    <TaxCatchAll xmlns="7c7e0179-495a-4ef3-8969-463b3802bc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98D8306A1034782492F3567A273F2" ma:contentTypeVersion="12" ma:contentTypeDescription="Create a new document." ma:contentTypeScope="" ma:versionID="4c5b699968f7936cc9e2b89b7e5f9cbe">
  <xsd:schema xmlns:xsd="http://www.w3.org/2001/XMLSchema" xmlns:xs="http://www.w3.org/2001/XMLSchema" xmlns:p="http://schemas.microsoft.com/office/2006/metadata/properties" xmlns:ns2="90f44690-06d1-49fb-852d-53eb500a6f07" xmlns:ns3="7c7e0179-495a-4ef3-8969-463b3802bcab" targetNamespace="http://schemas.microsoft.com/office/2006/metadata/properties" ma:root="true" ma:fieldsID="dadd706c7ce454de55746a2a3b085249" ns2:_="" ns3:_="">
    <xsd:import namespace="90f44690-06d1-49fb-852d-53eb500a6f07"/>
    <xsd:import namespace="7c7e0179-495a-4ef3-8969-463b3802bc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44690-06d1-49fb-852d-53eb500a6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571d408-0d8c-48a4-adcf-444c1a3db9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e0179-495a-4ef3-8969-463b3802bc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205484f-7026-451c-87e6-e05ed3f56675}" ma:internalName="TaxCatchAll" ma:showField="CatchAllData" ma:web="7c7e0179-495a-4ef3-8969-463b3802bc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85162E-4F6A-4F9A-AA32-41B2CBEE217C}">
  <ds:schemaRefs>
    <ds:schemaRef ds:uri="http://schemas.microsoft.com/office/2006/metadata/properties"/>
    <ds:schemaRef ds:uri="http://schemas.microsoft.com/office/infopath/2007/PartnerControls"/>
    <ds:schemaRef ds:uri="90f44690-06d1-49fb-852d-53eb500a6f07"/>
    <ds:schemaRef ds:uri="7c7e0179-495a-4ef3-8969-463b3802bcab"/>
  </ds:schemaRefs>
</ds:datastoreItem>
</file>

<file path=customXml/itemProps2.xml><?xml version="1.0" encoding="utf-8"?>
<ds:datastoreItem xmlns:ds="http://schemas.openxmlformats.org/officeDocument/2006/customXml" ds:itemID="{C39E450A-0AD5-4057-8FCE-28839633CB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7B2F2C-E8EE-4BB5-A717-F682100019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44690-06d1-49fb-852d-53eb500a6f07"/>
    <ds:schemaRef ds:uri="7c7e0179-495a-4ef3-8969-463b3802bc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Summary</vt:lpstr>
      <vt:lpstr>Assumptions</vt:lpstr>
      <vt:lpstr>Scenarios</vt:lpstr>
      <vt:lpstr>Model</vt:lpstr>
      <vt:lpstr>Assumptions!Print_Area</vt:lpstr>
      <vt:lpstr>Scenarios!Print_Area</vt:lpstr>
      <vt:lpstr>Summary!Print_Area</vt:lpstr>
    </vt:vector>
  </TitlesOfParts>
  <Company>Financial Modeling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Schnoor</dc:creator>
  <cp:lastModifiedBy>Rohit Jacob</cp:lastModifiedBy>
  <cp:lastPrinted>2022-12-03T17:37:29Z</cp:lastPrinted>
  <dcterms:created xsi:type="dcterms:W3CDTF">2018-03-28T17:44:41Z</dcterms:created>
  <dcterms:modified xsi:type="dcterms:W3CDTF">2024-10-02T12:53:23Z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0x01010023898D8306A1034782492F3567A273F2</vt:lpwstr>
  </property>
</Properties>
</file>