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 Jacob\Downloads\Projects\LBO\"/>
    </mc:Choice>
  </mc:AlternateContent>
  <xr:revisionPtr revIDLastSave="0" documentId="13_ncr:1_{855BA235-F635-47EE-9D3E-ACCC891F767D}" xr6:coauthVersionLast="47" xr6:coauthVersionMax="47" xr10:uidLastSave="{00000000-0000-0000-0000-000000000000}"/>
  <bookViews>
    <workbookView xWindow="-110" yWindow="-110" windowWidth="19420" windowHeight="10300" xr2:uid="{9D88036A-098D-4CCA-9F8E-59E01D5E3A23}"/>
  </bookViews>
  <sheets>
    <sheet name="Notes" sheetId="3" r:id="rId1"/>
    <sheet name="LBO Model" sheetId="2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3" i="3"/>
  <c r="M26" i="2"/>
  <c r="E13" i="2"/>
  <c r="N26" i="2" l="1"/>
  <c r="E7" i="2"/>
  <c r="E9" i="2" s="1"/>
  <c r="E11" i="2" s="1"/>
  <c r="M24" i="2" s="1"/>
  <c r="J63" i="2"/>
  <c r="J59" i="2"/>
  <c r="J56" i="2"/>
  <c r="J50" i="2"/>
  <c r="K50" i="2" s="1"/>
  <c r="L50" i="2" s="1"/>
  <c r="M50" i="2" s="1"/>
  <c r="N50" i="2" s="1"/>
  <c r="O50" i="2" s="1"/>
  <c r="J38" i="2"/>
  <c r="K36" i="2"/>
  <c r="L36" i="2" s="1"/>
  <c r="M36" i="2" s="1"/>
  <c r="N36" i="2" s="1"/>
  <c r="O36" i="2" s="1"/>
  <c r="J35" i="2"/>
  <c r="F24" i="2"/>
  <c r="E24" i="2"/>
  <c r="J87" i="2" s="1"/>
  <c r="K84" i="2" s="1"/>
  <c r="B24" i="2"/>
  <c r="M23" i="2"/>
  <c r="N23" i="2" s="1"/>
  <c r="F23" i="2"/>
  <c r="E23" i="2"/>
  <c r="E25" i="2" s="1"/>
  <c r="B23" i="2"/>
  <c r="E16" i="2"/>
  <c r="O98" i="2" s="1"/>
  <c r="J41" i="2" l="1"/>
  <c r="J46" i="2" s="1"/>
  <c r="J60" i="2"/>
  <c r="K60" i="2" s="1"/>
  <c r="L60" i="2" s="1"/>
  <c r="M60" i="2" s="1"/>
  <c r="N60" i="2" s="1"/>
  <c r="O60" i="2" s="1"/>
  <c r="J64" i="2"/>
  <c r="K64" i="2" s="1"/>
  <c r="L64" i="2" s="1"/>
  <c r="J39" i="2"/>
  <c r="K39" i="2" s="1"/>
  <c r="L39" i="2" s="1"/>
  <c r="M39" i="2" s="1"/>
  <c r="N39" i="2" s="1"/>
  <c r="O39" i="2" s="1"/>
  <c r="K85" i="2"/>
  <c r="N24" i="2"/>
  <c r="M29" i="2"/>
  <c r="J81" i="2"/>
  <c r="F25" i="2"/>
  <c r="J57" i="2"/>
  <c r="K57" i="2" s="1"/>
  <c r="K35" i="2"/>
  <c r="O24" i="2" l="1"/>
  <c r="O26" i="2"/>
  <c r="J42" i="2"/>
  <c r="K63" i="2"/>
  <c r="K69" i="2" s="1"/>
  <c r="J93" i="2"/>
  <c r="K90" i="2" s="1"/>
  <c r="K78" i="2"/>
  <c r="M64" i="2"/>
  <c r="L57" i="2"/>
  <c r="K56" i="2"/>
  <c r="K68" i="2" s="1"/>
  <c r="J47" i="2"/>
  <c r="J49" i="2"/>
  <c r="J52" i="2" s="1"/>
  <c r="J53" i="2" s="1"/>
  <c r="K59" i="2"/>
  <c r="K61" i="2" s="1"/>
  <c r="K70" i="2" s="1"/>
  <c r="K38" i="2"/>
  <c r="L35" i="2"/>
  <c r="O23" i="2"/>
  <c r="N29" i="2"/>
  <c r="E29" i="2"/>
  <c r="O29" i="2" l="1"/>
  <c r="E27" i="2"/>
  <c r="F29" i="2"/>
  <c r="G25" i="2"/>
  <c r="G23" i="2"/>
  <c r="G24" i="2"/>
  <c r="L56" i="2"/>
  <c r="L68" i="2" s="1"/>
  <c r="M57" i="2"/>
  <c r="M35" i="2"/>
  <c r="L59" i="2"/>
  <c r="L61" i="2" s="1"/>
  <c r="L70" i="2" s="1"/>
  <c r="L38" i="2"/>
  <c r="N64" i="2"/>
  <c r="K41" i="2"/>
  <c r="L63" i="2"/>
  <c r="L69" i="2" s="1"/>
  <c r="K79" i="2"/>
  <c r="K91" i="2" s="1"/>
  <c r="K44" i="2" s="1"/>
  <c r="M59" i="2" l="1"/>
  <c r="M61" i="2" s="1"/>
  <c r="M70" i="2" s="1"/>
  <c r="M38" i="2"/>
  <c r="N35" i="2"/>
  <c r="M56" i="2"/>
  <c r="M68" i="2" s="1"/>
  <c r="N57" i="2"/>
  <c r="K46" i="2"/>
  <c r="K42" i="2"/>
  <c r="O64" i="2"/>
  <c r="N63" i="2"/>
  <c r="N69" i="2" s="1"/>
  <c r="M63" i="2"/>
  <c r="M69" i="2" s="1"/>
  <c r="L41" i="2"/>
  <c r="G27" i="2"/>
  <c r="G29" i="2" s="1"/>
  <c r="F27" i="2"/>
  <c r="O103" i="2"/>
  <c r="M41" i="2" l="1"/>
  <c r="M42" i="2" s="1"/>
  <c r="K47" i="2"/>
  <c r="K49" i="2"/>
  <c r="K52" i="2" s="1"/>
  <c r="N56" i="2"/>
  <c r="N68" i="2" s="1"/>
  <c r="O57" i="2"/>
  <c r="L42" i="2"/>
  <c r="N38" i="2"/>
  <c r="N59" i="2"/>
  <c r="N61" i="2" s="1"/>
  <c r="N70" i="2" s="1"/>
  <c r="O35" i="2"/>
  <c r="O63" i="2" s="1"/>
  <c r="O69" i="2" s="1"/>
  <c r="N41" i="2" l="1"/>
  <c r="N42" i="2" s="1"/>
  <c r="O56" i="2"/>
  <c r="O68" i="2" s="1"/>
  <c r="K53" i="2"/>
  <c r="K67" i="2"/>
  <c r="K71" i="2" s="1"/>
  <c r="O38" i="2"/>
  <c r="O59" i="2"/>
  <c r="O61" i="2" s="1"/>
  <c r="O70" i="2" s="1"/>
  <c r="O41" i="2" l="1"/>
  <c r="O97" i="2"/>
  <c r="O99" i="2" s="1"/>
  <c r="K80" i="2"/>
  <c r="K86" i="2" s="1"/>
  <c r="K87" i="2" s="1"/>
  <c r="L84" i="2" s="1"/>
  <c r="O42" i="2" l="1"/>
  <c r="L85" i="2"/>
  <c r="K92" i="2"/>
  <c r="K93" i="2" s="1"/>
  <c r="L90" i="2" s="1"/>
  <c r="K81" i="2"/>
  <c r="L78" i="2" s="1"/>
  <c r="L79" i="2" l="1"/>
  <c r="L91" i="2" s="1"/>
  <c r="L44" i="2" s="1"/>
  <c r="L46" i="2" s="1"/>
  <c r="L47" i="2" l="1"/>
  <c r="L49" i="2"/>
  <c r="L52" i="2" s="1"/>
  <c r="L53" i="2" l="1"/>
  <c r="L67" i="2"/>
  <c r="L71" i="2" s="1"/>
  <c r="L80" i="2" l="1"/>
  <c r="L86" i="2" s="1"/>
  <c r="L87" i="2" s="1"/>
  <c r="M84" i="2" s="1"/>
  <c r="M85" i="2" l="1"/>
  <c r="L92" i="2"/>
  <c r="L93" i="2" s="1"/>
  <c r="M90" i="2" s="1"/>
  <c r="L81" i="2"/>
  <c r="M78" i="2" s="1"/>
  <c r="M79" i="2" l="1"/>
  <c r="M91" i="2" s="1"/>
  <c r="M44" i="2" s="1"/>
  <c r="M46" i="2" s="1"/>
  <c r="M47" i="2" l="1"/>
  <c r="M49" i="2"/>
  <c r="M52" i="2" s="1"/>
  <c r="M53" i="2" l="1"/>
  <c r="M67" i="2"/>
  <c r="M71" i="2" s="1"/>
  <c r="M80" i="2" l="1"/>
  <c r="M86" i="2" s="1"/>
  <c r="M87" i="2" s="1"/>
  <c r="N84" i="2" s="1"/>
  <c r="N85" i="2" l="1"/>
  <c r="M92" i="2"/>
  <c r="M93" i="2" s="1"/>
  <c r="N90" i="2" s="1"/>
  <c r="M81" i="2"/>
  <c r="N78" i="2" s="1"/>
  <c r="N79" i="2" l="1"/>
  <c r="N91" i="2" s="1"/>
  <c r="N44" i="2" s="1"/>
  <c r="N46" i="2" s="1"/>
  <c r="N49" i="2" l="1"/>
  <c r="N52" i="2" s="1"/>
  <c r="N47" i="2"/>
  <c r="N67" i="2" l="1"/>
  <c r="N71" i="2" s="1"/>
  <c r="N53" i="2"/>
  <c r="N80" i="2" l="1"/>
  <c r="N86" i="2" s="1"/>
  <c r="N87" i="2" s="1"/>
  <c r="O84" i="2" s="1"/>
  <c r="O85" i="2" l="1"/>
  <c r="N92" i="2"/>
  <c r="N93" i="2" s="1"/>
  <c r="O90" i="2" s="1"/>
  <c r="N81" i="2"/>
  <c r="O78" i="2" s="1"/>
  <c r="O79" i="2" l="1"/>
  <c r="O91" i="2" s="1"/>
  <c r="O44" i="2" s="1"/>
  <c r="O46" i="2" s="1"/>
  <c r="O49" i="2" l="1"/>
  <c r="O52" i="2" s="1"/>
  <c r="O47" i="2"/>
  <c r="O67" i="2" l="1"/>
  <c r="O71" i="2" s="1"/>
  <c r="O53" i="2"/>
  <c r="O80" i="2" l="1"/>
  <c r="O81" i="2" l="1"/>
  <c r="O86" i="2"/>
  <c r="O87" i="2" s="1"/>
  <c r="O92" i="2" l="1"/>
  <c r="O93" i="2" s="1"/>
  <c r="O100" i="2" s="1"/>
  <c r="O101" i="2" s="1"/>
  <c r="O105" i="2" s="1"/>
  <c r="O106" i="2" s="1"/>
  <c r="O11" i="2" s="1"/>
</calcChain>
</file>

<file path=xl/sharedStrings.xml><?xml version="1.0" encoding="utf-8"?>
<sst xmlns="http://schemas.openxmlformats.org/spreadsheetml/2006/main" count="139" uniqueCount="82">
  <si>
    <t>Assumptions</t>
  </si>
  <si>
    <t>Capital Structure</t>
  </si>
  <si>
    <t>Amount</t>
  </si>
  <si>
    <t>Cost</t>
  </si>
  <si>
    <t>Bank Debt</t>
  </si>
  <si>
    <t>Sr. Notes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</si>
  <si>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</si>
  <si>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</si>
  <si>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</si>
  <si>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</si>
  <si>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</si>
  <si>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</si>
  <si>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</si>
  <si>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</si>
  <si>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</si>
  <si>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</si>
  <si>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</si>
  <si>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Equity Value</t>
  </si>
  <si>
    <t>EBITDA Multiple</t>
  </si>
  <si>
    <t>Enterprise Value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</si>
  <si>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</si>
  <si>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</si>
  <si>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</si>
  <si>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</si>
  <si>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</si>
  <si>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</si>
  <si>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</si>
  <si>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</si>
  <si>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</si>
  <si>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</si>
  <si>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Total Uses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</si>
  <si>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</si>
  <si>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</si>
  <si>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</si>
  <si>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</si>
  <si>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</si>
  <si>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</si>
  <si>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</si>
  <si>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</si>
  <si>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</si>
  <si>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</si>
  <si>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</si>
  <si>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</si>
  <si>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</si>
  <si>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</si>
  <si>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</si>
  <si>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</si>
  <si>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</si>
  <si>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</si>
  <si>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</si>
  <si>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</si>
  <si>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</si>
  <si>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</si>
  <si>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</si>
  <si>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</si>
  <si>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</si>
  <si>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</si>
  <si>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</si>
  <si>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</si>
  <si>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</si>
  <si>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</si>
  <si>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</si>
  <si>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Exit Multiple</t>
  </si>
  <si>
    <t>Sponsor Equity Value</t>
  </si>
  <si>
    <t>Sponsor Equity at Entry</t>
  </si>
  <si>
    <t>Net Debt</t>
  </si>
  <si>
    <t>Note</t>
  </si>
  <si>
    <t>TTM EBITDA</t>
  </si>
  <si>
    <t>TTM Financials</t>
  </si>
  <si>
    <t>Entry (₹ crores)</t>
  </si>
  <si>
    <t>Exit (₹ crores)</t>
  </si>
  <si>
    <t>Cash on cash return</t>
  </si>
  <si>
    <t>TTM EBITDA at Exit</t>
  </si>
  <si>
    <t>LBO- Macrotech Developers Ltd. (Lodha Group)</t>
  </si>
  <si>
    <t>Notes:</t>
  </si>
  <si>
    <t>The EBITDA multiple is taken from various readings like Statista and Kroll</t>
  </si>
  <si>
    <t>The Trailing Twelve Months (TTM) estimates are taken from the Annual Reports of FY 2023</t>
  </si>
  <si>
    <t>whereas industry average P/E is 35 and a low sales growth of -0.43% over last 5 years</t>
  </si>
  <si>
    <t>So a EV/EBITDA model was considered</t>
  </si>
  <si>
    <t>Buying it at an Enterprise Value (EV) of $15B isn't justfied as it's trading at a P/E of 66</t>
  </si>
  <si>
    <t>A waterfall debt payment method was considered</t>
  </si>
  <si>
    <t>Fees and expenses of 2% of EV was taken into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</si>
</sst>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3" fillId="2" borderId="0" xfId="0" applyFont="1" applyFill="1" applyAlignment="1">
      <alignment horizontal="centerContinuous"/>
    </xf>
    <xf numFmtId="0" fontId="7" fillId="0" borderId="0" xfId="0" applyFont="1"/>
    <xf numFmtId="0" fontId="3" fillId="0" borderId="0" xfId="0" applyFont="1" applyAlignment="1">
      <alignment horizontal="centerContinuous"/>
    </xf>
    <xf numFmtId="0" fontId="1" fillId="3" borderId="0" xfId="0" applyFont="1" applyFill="1"/>
    <xf numFmtId="0" fontId="2" fillId="0" borderId="0" xfId="0" applyFont="1"/>
    <xf numFmtId="166" fontId="10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7" fontId="13" fillId="5" borderId="6" xfId="0" applyNumberFormat="1" applyFont="1" applyFill="1" applyBorder="1"/>
    <xf numFmtId="168" fontId="13" fillId="5" borderId="6" xfId="0" applyNumberFormat="1" applyFont="1" applyFill="1" applyBorder="1"/>
    <xf numFmtId="167" fontId="13" fillId="5" borderId="5" xfId="0" applyNumberFormat="1" applyFont="1" applyFill="1" applyBorder="1"/>
    <xf numFmtId="169" fontId="13" fillId="5" borderId="5" xfId="0" applyNumberFormat="1" applyFont="1" applyFill="1" applyBorder="1"/>
    <xf numFmtId="168" fontId="13" fillId="5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5" fontId="0" fillId="0" borderId="1" xfId="0" applyNumberFormat="1" applyBorder="1"/>
    <xf numFmtId="164" fontId="12" fillId="0" borderId="0" xfId="0" applyNumberFormat="1" applyFont="1"/>
    <xf numFmtId="166" fontId="8" fillId="0" borderId="0" xfId="0" applyNumberFormat="1" applyFont="1"/>
    <xf numFmtId="37" fontId="1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12" fillId="0" borderId="1" xfId="0" applyNumberFormat="1" applyFont="1" applyBorder="1"/>
    <xf numFmtId="0" fontId="2" fillId="4" borderId="2" xfId="0" applyFont="1" applyFill="1" applyBorder="1"/>
    <xf numFmtId="0" fontId="2" fillId="4" borderId="3" xfId="0" applyFont="1" applyFill="1" applyBorder="1"/>
    <xf numFmtId="166" fontId="10" fillId="4" borderId="3" xfId="0" applyNumberFormat="1" applyFont="1" applyFill="1" applyBorder="1"/>
    <xf numFmtId="168" fontId="2" fillId="4" borderId="3" xfId="0" applyNumberFormat="1" applyFont="1" applyFill="1" applyBorder="1"/>
    <xf numFmtId="165" fontId="2" fillId="4" borderId="4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7" xfId="0" applyNumberFormat="1" applyFont="1" applyBorder="1"/>
    <xf numFmtId="0" fontId="0" fillId="0" borderId="7" xfId="0" applyBorder="1"/>
    <xf numFmtId="169" fontId="17" fillId="0" borderId="7" xfId="0" applyNumberFormat="1" applyFont="1" applyBorder="1"/>
    <xf numFmtId="166" fontId="9" fillId="0" borderId="7" xfId="0" applyNumberFormat="1" applyFont="1" applyBorder="1"/>
    <xf numFmtId="166" fontId="0" fillId="0" borderId="7" xfId="0" applyNumberFormat="1" applyBorder="1"/>
    <xf numFmtId="169" fontId="16" fillId="0" borderId="7" xfId="0" applyNumberFormat="1" applyFont="1" applyBorder="1"/>
    <xf numFmtId="166" fontId="6" fillId="0" borderId="7" xfId="0" applyNumberFormat="1" applyFont="1" applyBorder="1"/>
    <xf numFmtId="165" fontId="7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2" fillId="0" borderId="0" xfId="0" applyNumberFormat="1" applyFont="1"/>
    <xf numFmtId="166" fontId="12" fillId="0" borderId="1" xfId="0" applyNumberFormat="1" applyFont="1" applyBorder="1"/>
    <xf numFmtId="0" fontId="2" fillId="4" borderId="4" xfId="0" applyFont="1" applyFill="1" applyBorder="1"/>
    <xf numFmtId="166" fontId="2" fillId="4" borderId="3" xfId="0" applyNumberFormat="1" applyFont="1" applyFill="1" applyBorder="1"/>
    <xf numFmtId="166" fontId="2" fillId="4" borderId="4" xfId="0" applyNumberFormat="1" applyFont="1" applyFill="1" applyBorder="1"/>
    <xf numFmtId="166" fontId="18" fillId="0" borderId="7" xfId="0" applyNumberFormat="1" applyFont="1" applyBorder="1"/>
    <xf numFmtId="37" fontId="2" fillId="0" borderId="0" xfId="0" applyNumberFormat="1" applyFont="1"/>
    <xf numFmtId="37" fontId="0" fillId="0" borderId="1" xfId="0" applyNumberFormat="1" applyBorder="1"/>
    <xf numFmtId="166" fontId="8" fillId="0" borderId="1" xfId="0" applyNumberFormat="1" applyFont="1" applyBorder="1"/>
    <xf numFmtId="168" fontId="8" fillId="0" borderId="1" xfId="0" applyNumberFormat="1" applyFont="1" applyBorder="1"/>
    <xf numFmtId="0" fontId="5" fillId="4" borderId="10" xfId="0" applyFont="1" applyFill="1" applyBorder="1"/>
    <xf numFmtId="0" fontId="5" fillId="4" borderId="11" xfId="0" applyFont="1" applyFill="1" applyBorder="1"/>
    <xf numFmtId="164" fontId="5" fillId="4" borderId="12" xfId="0" applyNumberFormat="1" applyFont="1" applyFill="1" applyBorder="1"/>
    <xf numFmtId="0" fontId="5" fillId="4" borderId="9" xfId="0" applyFont="1" applyFill="1" applyBorder="1"/>
    <xf numFmtId="0" fontId="5" fillId="4" borderId="1" xfId="0" applyFont="1" applyFill="1" applyBorder="1"/>
    <xf numFmtId="165" fontId="5" fillId="4" borderId="8" xfId="0" applyNumberFormat="1" applyFont="1" applyFill="1" applyBorder="1"/>
    <xf numFmtId="165" fontId="12" fillId="0" borderId="0" xfId="0" applyNumberFormat="1" applyFont="1"/>
    <xf numFmtId="166" fontId="12" fillId="5" borderId="0" xfId="0" applyNumberFormat="1" applyFont="1" applyFill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5116-9CE1-4024-9F75-B3A2FD0BD861}">
  <dimension ref="A2:C12"/>
  <sheetViews>
    <sheetView showGridLines="0" tabSelected="1" workbookViewId="0">
      <selection activeCell="D16" sqref="D16"/>
    </sheetView>
  </sheetViews>
  <sheetFormatPr defaultRowHeight="14.5" x14ac:dyDescent="0.35"/>
  <sheetData>
    <row r="2" spans="1:3" x14ac:dyDescent="0.35">
      <c r="A2" s="78" t="s">
        <v>74</v>
      </c>
      <c r="B2" s="78"/>
    </row>
    <row r="3" spans="1:3" x14ac:dyDescent="0.35">
      <c r="A3" s="77"/>
      <c r="B3" s="77" t="str">
        <f>TEXT(A3,"1.")</f>
        <v>1.</v>
      </c>
      <c r="C3" t="s">
        <v>79</v>
      </c>
    </row>
    <row r="4" spans="1:3" x14ac:dyDescent="0.35">
      <c r="A4" s="77"/>
      <c r="B4" s="77"/>
      <c r="C4" t="s">
        <v>77</v>
      </c>
    </row>
    <row r="5" spans="1:3" x14ac:dyDescent="0.35">
      <c r="A5" s="77"/>
      <c r="B5" s="77" t="str">
        <f>TEXT(A5,"2.")</f>
        <v>2.</v>
      </c>
      <c r="C5" t="s">
        <v>78</v>
      </c>
    </row>
    <row r="6" spans="1:3" x14ac:dyDescent="0.35">
      <c r="A6" s="77"/>
      <c r="B6" s="77" t="str">
        <f>TEXT(A6,"3.")</f>
        <v>3.</v>
      </c>
      <c r="C6" t="s">
        <v>75</v>
      </c>
    </row>
    <row r="7" spans="1:3" x14ac:dyDescent="0.35">
      <c r="A7" s="77"/>
      <c r="B7" s="77" t="str">
        <f>TEXT(A7,"4.")</f>
        <v>4.</v>
      </c>
      <c r="C7" t="s">
        <v>76</v>
      </c>
    </row>
    <row r="8" spans="1:3" x14ac:dyDescent="0.35">
      <c r="A8" s="18"/>
      <c r="B8" s="77" t="str">
        <f>TEXT(A8,"5.")</f>
        <v>5.</v>
      </c>
      <c r="C8" t="s">
        <v>80</v>
      </c>
    </row>
    <row r="9" spans="1:3" x14ac:dyDescent="0.35">
      <c r="A9" s="18"/>
      <c r="B9" s="18" t="str">
        <f>TEXT(A9,"6.")</f>
        <v>6.</v>
      </c>
      <c r="C9" t="s">
        <v>81</v>
      </c>
    </row>
    <row r="10" spans="1:3" x14ac:dyDescent="0.35">
      <c r="A10" s="18"/>
      <c r="B10" s="18"/>
    </row>
    <row r="11" spans="1:3" x14ac:dyDescent="0.35">
      <c r="A11" s="18"/>
      <c r="B11" s="18"/>
    </row>
    <row r="12" spans="1:3" x14ac:dyDescent="0.35">
      <c r="A12" s="18"/>
      <c r="B12" s="18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F0EE-A6DF-4C0D-83BB-66277341DEEA}">
  <dimension ref="A2:P106"/>
  <sheetViews>
    <sheetView showGridLines="0" zoomScaleNormal="100" workbookViewId="0">
      <selection activeCell="O106" sqref="O106"/>
    </sheetView>
  </sheetViews>
  <sheetFormatPr defaultColWidth="8.6328125" defaultRowHeight="14.5" x14ac:dyDescent="0.35"/>
  <cols>
    <col min="1" max="1" width="3.6328125" style="10" customWidth="1"/>
  </cols>
  <sheetData>
    <row r="2" spans="1:15" s="1" customFormat="1" ht="21" x14ac:dyDescent="0.5">
      <c r="A2" s="44"/>
      <c r="B2" s="2" t="s">
        <v>73</v>
      </c>
    </row>
    <row r="4" spans="1:15" x14ac:dyDescent="0.35">
      <c r="A4" s="10" t="s">
        <v>50</v>
      </c>
      <c r="B4" s="1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5" customHeight="1" x14ac:dyDescent="0.35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5">
      <c r="B6" s="7" t="s">
        <v>69</v>
      </c>
      <c r="C6" s="7"/>
      <c r="D6" s="7"/>
      <c r="E6" s="7"/>
      <c r="G6" s="7" t="s">
        <v>20</v>
      </c>
      <c r="H6" s="7"/>
      <c r="I6" s="7"/>
      <c r="J6" s="13"/>
      <c r="L6" s="7" t="s">
        <v>1</v>
      </c>
      <c r="M6" s="7"/>
      <c r="N6" s="13" t="s">
        <v>2</v>
      </c>
      <c r="O6" s="13" t="s">
        <v>3</v>
      </c>
    </row>
    <row r="7" spans="1:15" x14ac:dyDescent="0.35">
      <c r="B7" t="s">
        <v>67</v>
      </c>
      <c r="E7" s="32">
        <f>J9</f>
        <v>2500</v>
      </c>
      <c r="G7" s="11" t="s">
        <v>68</v>
      </c>
      <c r="L7" t="s">
        <v>4</v>
      </c>
      <c r="N7" s="24">
        <v>4</v>
      </c>
      <c r="O7" s="23">
        <v>0.06</v>
      </c>
    </row>
    <row r="8" spans="1:15" x14ac:dyDescent="0.35">
      <c r="B8" s="1" t="s">
        <v>18</v>
      </c>
      <c r="C8" s="1"/>
      <c r="D8" s="1"/>
      <c r="E8" s="21">
        <v>10</v>
      </c>
      <c r="G8" t="s">
        <v>7</v>
      </c>
      <c r="J8" s="22">
        <v>9500</v>
      </c>
      <c r="L8" t="s">
        <v>31</v>
      </c>
      <c r="N8" s="24">
        <v>2</v>
      </c>
      <c r="O8" s="23">
        <v>0.12</v>
      </c>
    </row>
    <row r="9" spans="1:15" x14ac:dyDescent="0.35">
      <c r="B9" s="8" t="s">
        <v>19</v>
      </c>
      <c r="C9" s="8"/>
      <c r="D9" s="8"/>
      <c r="E9" s="17">
        <f>E7*E8</f>
        <v>25000</v>
      </c>
      <c r="G9" t="s">
        <v>9</v>
      </c>
      <c r="J9" s="22">
        <v>2500</v>
      </c>
      <c r="K9" s="16"/>
    </row>
    <row r="10" spans="1:15" x14ac:dyDescent="0.35">
      <c r="B10" s="1" t="s">
        <v>6</v>
      </c>
      <c r="C10" s="1"/>
      <c r="D10" s="1"/>
      <c r="E10" s="20">
        <v>9000</v>
      </c>
      <c r="G10" t="s">
        <v>11</v>
      </c>
      <c r="J10" s="22">
        <v>100</v>
      </c>
      <c r="L10" s="7" t="s">
        <v>66</v>
      </c>
      <c r="M10" s="7"/>
      <c r="N10" s="13"/>
      <c r="O10" s="13"/>
    </row>
    <row r="11" spans="1:15" x14ac:dyDescent="0.35">
      <c r="B11" s="8" t="s">
        <v>17</v>
      </c>
      <c r="C11" s="8"/>
      <c r="D11" s="8"/>
      <c r="E11" s="17">
        <f>E9-E10</f>
        <v>16000</v>
      </c>
      <c r="G11" t="s">
        <v>14</v>
      </c>
      <c r="J11" s="22">
        <v>90</v>
      </c>
      <c r="L11" t="s">
        <v>61</v>
      </c>
      <c r="O11" s="75">
        <f>O106</f>
        <v>0.27492503503674226</v>
      </c>
    </row>
    <row r="12" spans="1:15" x14ac:dyDescent="0.35">
      <c r="G12" t="s">
        <v>16</v>
      </c>
      <c r="J12" s="22">
        <v>12000</v>
      </c>
    </row>
    <row r="13" spans="1:15" x14ac:dyDescent="0.35">
      <c r="B13" t="s">
        <v>12</v>
      </c>
      <c r="E13" s="22">
        <f>2%*E9</f>
        <v>500</v>
      </c>
    </row>
    <row r="14" spans="1:15" x14ac:dyDescent="0.35">
      <c r="E14" s="19"/>
      <c r="G14" s="11" t="s">
        <v>8</v>
      </c>
    </row>
    <row r="15" spans="1:15" x14ac:dyDescent="0.35">
      <c r="B15" s="7" t="s">
        <v>70</v>
      </c>
      <c r="C15" s="7"/>
      <c r="D15" s="7"/>
      <c r="E15" s="7"/>
      <c r="G15" t="s">
        <v>10</v>
      </c>
      <c r="J15" s="23">
        <v>0.1</v>
      </c>
    </row>
    <row r="16" spans="1:15" x14ac:dyDescent="0.35">
      <c r="B16" t="s">
        <v>18</v>
      </c>
      <c r="E16" s="45">
        <f>E8</f>
        <v>10</v>
      </c>
      <c r="G16" t="s">
        <v>13</v>
      </c>
      <c r="J16" s="23">
        <v>0.01</v>
      </c>
    </row>
    <row r="17" spans="1:15" x14ac:dyDescent="0.35">
      <c r="G17" t="s">
        <v>15</v>
      </c>
      <c r="J17" s="23">
        <v>0.21</v>
      </c>
    </row>
    <row r="18" spans="1:15" x14ac:dyDescent="0.35">
      <c r="J18" s="18"/>
    </row>
    <row r="19" spans="1:15" x14ac:dyDescent="0.35">
      <c r="A19" s="10" t="s">
        <v>50</v>
      </c>
      <c r="B19" s="14" t="s">
        <v>21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5" customHeight="1" x14ac:dyDescent="0.35">
      <c r="J20" s="18"/>
    </row>
    <row r="21" spans="1:15" x14ac:dyDescent="0.35">
      <c r="B21" s="7" t="s">
        <v>22</v>
      </c>
      <c r="C21" s="7"/>
      <c r="D21" s="7"/>
      <c r="E21" s="7"/>
      <c r="F21" s="7"/>
      <c r="G21" s="7"/>
      <c r="J21" s="7" t="s">
        <v>23</v>
      </c>
      <c r="K21" s="7"/>
      <c r="L21" s="7"/>
      <c r="M21" s="7"/>
      <c r="N21" s="7"/>
      <c r="O21" s="7"/>
    </row>
    <row r="22" spans="1:15" x14ac:dyDescent="0.35">
      <c r="E22" s="12" t="s">
        <v>2</v>
      </c>
      <c r="F22" s="12" t="s">
        <v>24</v>
      </c>
      <c r="G22" s="12" t="s">
        <v>25</v>
      </c>
      <c r="M22" s="12" t="s">
        <v>2</v>
      </c>
      <c r="N22" s="12" t="s">
        <v>24</v>
      </c>
      <c r="O22" s="12" t="s">
        <v>25</v>
      </c>
    </row>
    <row r="23" spans="1:15" x14ac:dyDescent="0.35">
      <c r="B23" t="str">
        <f>L7</f>
        <v>Bank Debt</v>
      </c>
      <c r="E23" s="3">
        <f>F23*$J$9</f>
        <v>10000</v>
      </c>
      <c r="F23" s="30">
        <f>N7</f>
        <v>4</v>
      </c>
      <c r="G23" s="25">
        <f>E23/$E$29</f>
        <v>0.39215686274509803</v>
      </c>
      <c r="J23" t="s">
        <v>32</v>
      </c>
      <c r="M23" s="31">
        <f>E10</f>
        <v>9000</v>
      </c>
      <c r="N23" s="26">
        <f>M23/$J$9</f>
        <v>3.6</v>
      </c>
      <c r="O23" s="25">
        <f>M23/$M$29</f>
        <v>0.35294117647058826</v>
      </c>
    </row>
    <row r="24" spans="1:15" x14ac:dyDescent="0.35">
      <c r="B24" s="1" t="str">
        <f>L8</f>
        <v>Senior Notes</v>
      </c>
      <c r="C24" s="28"/>
      <c r="D24" s="28"/>
      <c r="E24" s="28">
        <f>F24*$J$9</f>
        <v>5000</v>
      </c>
      <c r="F24" s="35">
        <f>N8</f>
        <v>2</v>
      </c>
      <c r="G24" s="29">
        <f t="shared" ref="G24:G25" si="0">E24/$E$29</f>
        <v>0.19607843137254902</v>
      </c>
      <c r="J24" t="s">
        <v>33</v>
      </c>
      <c r="M24" s="31">
        <f>E11</f>
        <v>16000</v>
      </c>
      <c r="N24" s="26">
        <f>M24/$J$9</f>
        <v>6.4</v>
      </c>
      <c r="O24" s="25">
        <f>M24/$M$29</f>
        <v>0.62745098039215685</v>
      </c>
    </row>
    <row r="25" spans="1:15" x14ac:dyDescent="0.35">
      <c r="B25" s="8" t="s">
        <v>26</v>
      </c>
      <c r="C25" s="8"/>
      <c r="D25" s="8"/>
      <c r="E25" s="9">
        <f>E23+E24</f>
        <v>15000</v>
      </c>
      <c r="F25" s="33">
        <f>E25/$J$9</f>
        <v>6</v>
      </c>
      <c r="G25" s="34">
        <f t="shared" si="0"/>
        <v>0.58823529411764708</v>
      </c>
      <c r="M25" s="3"/>
      <c r="N25" s="26"/>
      <c r="O25" s="25"/>
    </row>
    <row r="26" spans="1:15" x14ac:dyDescent="0.35">
      <c r="J26" t="s">
        <v>28</v>
      </c>
      <c r="M26" s="31">
        <f>E13</f>
        <v>500</v>
      </c>
      <c r="N26" s="26">
        <f>M26/$J$9</f>
        <v>0.2</v>
      </c>
      <c r="O26" s="25">
        <f>M26/$M$29</f>
        <v>1.9607843137254902E-2</v>
      </c>
    </row>
    <row r="27" spans="1:15" x14ac:dyDescent="0.35">
      <c r="B27" t="s">
        <v>27</v>
      </c>
      <c r="E27" s="3">
        <f>E29-E25</f>
        <v>10500</v>
      </c>
      <c r="F27" s="26">
        <f>E27/$J$9</f>
        <v>4.2</v>
      </c>
      <c r="G27" s="25">
        <f>E27/$E$29</f>
        <v>0.41176470588235292</v>
      </c>
      <c r="M27" s="27"/>
    </row>
    <row r="28" spans="1:15" x14ac:dyDescent="0.35">
      <c r="E28" s="3"/>
      <c r="F28" s="26"/>
      <c r="G28" s="25"/>
      <c r="M28" s="3"/>
      <c r="N28" s="26"/>
      <c r="O28" s="25"/>
    </row>
    <row r="29" spans="1:15" x14ac:dyDescent="0.35">
      <c r="B29" s="36" t="s">
        <v>29</v>
      </c>
      <c r="C29" s="37"/>
      <c r="D29" s="37"/>
      <c r="E29" s="38">
        <f>M29</f>
        <v>25500</v>
      </c>
      <c r="F29" s="39">
        <f>E29/$J$9</f>
        <v>10.199999999999999</v>
      </c>
      <c r="G29" s="40">
        <f>G25+G27</f>
        <v>1</v>
      </c>
      <c r="J29" s="36" t="s">
        <v>30</v>
      </c>
      <c r="K29" s="37"/>
      <c r="L29" s="37"/>
      <c r="M29" s="38">
        <f>M23+M24+M26</f>
        <v>25500</v>
      </c>
      <c r="N29" s="39">
        <f>M29/$J$9</f>
        <v>10.199999999999999</v>
      </c>
      <c r="O29" s="40">
        <f>O23+O24+O26</f>
        <v>1</v>
      </c>
    </row>
    <row r="30" spans="1:15" x14ac:dyDescent="0.35">
      <c r="E30" s="3"/>
      <c r="F30" s="26"/>
      <c r="G30" s="25"/>
      <c r="L30" s="3"/>
      <c r="M30" s="26"/>
      <c r="N30" s="25"/>
    </row>
    <row r="32" spans="1:15" x14ac:dyDescent="0.35">
      <c r="A32" s="10" t="s">
        <v>50</v>
      </c>
      <c r="B32" s="14" t="s">
        <v>20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3" customHeight="1" x14ac:dyDescent="0.35"/>
    <row r="34" spans="2:15" x14ac:dyDescent="0.35">
      <c r="B34" s="7" t="s">
        <v>34</v>
      </c>
      <c r="C34" s="7"/>
      <c r="D34" s="7"/>
      <c r="E34" s="7"/>
      <c r="F34" s="7"/>
      <c r="G34" s="7"/>
      <c r="H34" s="7"/>
      <c r="I34" s="7"/>
      <c r="J34" s="13" t="s">
        <v>35</v>
      </c>
      <c r="K34" s="13" t="s">
        <v>36</v>
      </c>
      <c r="L34" s="13" t="s">
        <v>37</v>
      </c>
      <c r="M34" s="13" t="s">
        <v>38</v>
      </c>
      <c r="N34" s="13" t="s">
        <v>39</v>
      </c>
      <c r="O34" s="13" t="s">
        <v>40</v>
      </c>
    </row>
    <row r="35" spans="2:15" x14ac:dyDescent="0.35">
      <c r="B35" t="s">
        <v>7</v>
      </c>
      <c r="J35" s="49">
        <f>J8</f>
        <v>9500</v>
      </c>
      <c r="K35" s="3">
        <f>J35*(1+K36)</f>
        <v>10450</v>
      </c>
      <c r="L35" s="3">
        <f t="shared" ref="L35:O35" si="1">K35*(1+L36)</f>
        <v>11495.000000000002</v>
      </c>
      <c r="M35" s="3">
        <f t="shared" si="1"/>
        <v>12644.500000000004</v>
      </c>
      <c r="N35" s="3">
        <f t="shared" si="1"/>
        <v>13908.950000000004</v>
      </c>
      <c r="O35" s="3">
        <f t="shared" si="1"/>
        <v>15299.845000000007</v>
      </c>
    </row>
    <row r="36" spans="2:15" ht="14.5" customHeight="1" x14ac:dyDescent="0.35">
      <c r="B36" s="5" t="s">
        <v>51</v>
      </c>
      <c r="J36" s="50"/>
      <c r="K36" s="46">
        <f>$J$15</f>
        <v>0.1</v>
      </c>
      <c r="L36" s="46">
        <f>K36</f>
        <v>0.1</v>
      </c>
      <c r="M36" s="46">
        <f t="shared" ref="M36:O36" si="2">L36</f>
        <v>0.1</v>
      </c>
      <c r="N36" s="46">
        <f t="shared" si="2"/>
        <v>0.1</v>
      </c>
      <c r="O36" s="46">
        <f t="shared" si="2"/>
        <v>0.1</v>
      </c>
    </row>
    <row r="37" spans="2:15" x14ac:dyDescent="0.35">
      <c r="J37" s="50"/>
    </row>
    <row r="38" spans="2:15" ht="14.5" customHeight="1" x14ac:dyDescent="0.35">
      <c r="B38" s="41" t="s">
        <v>9</v>
      </c>
      <c r="J38" s="49">
        <f>J9</f>
        <v>2500</v>
      </c>
      <c r="K38" s="41">
        <f>K35*K39</f>
        <v>2854.5</v>
      </c>
      <c r="L38" s="41">
        <f>L35*L39</f>
        <v>3254.9000000000005</v>
      </c>
      <c r="M38" s="41">
        <f>M35*M39</f>
        <v>3706.8350000000014</v>
      </c>
      <c r="N38" s="41">
        <f>N35*N39</f>
        <v>4216.608000000002</v>
      </c>
      <c r="O38" s="41">
        <f>O35*O39</f>
        <v>4791.2672500000026</v>
      </c>
    </row>
    <row r="39" spans="2:15" x14ac:dyDescent="0.35">
      <c r="B39" s="5" t="s">
        <v>41</v>
      </c>
      <c r="J39" s="51">
        <f>J38/J35</f>
        <v>0.26315789473684209</v>
      </c>
      <c r="K39" s="42">
        <f>J39+$J$16</f>
        <v>0.2731578947368421</v>
      </c>
      <c r="L39" s="42">
        <f t="shared" ref="L39:O39" si="3">K39+$J$16</f>
        <v>0.28315789473684211</v>
      </c>
      <c r="M39" s="42">
        <f t="shared" si="3"/>
        <v>0.29315789473684212</v>
      </c>
      <c r="N39" s="42">
        <f t="shared" si="3"/>
        <v>0.30315789473684213</v>
      </c>
      <c r="O39" s="42">
        <f t="shared" si="3"/>
        <v>0.31315789473684214</v>
      </c>
    </row>
    <row r="40" spans="2:15" x14ac:dyDescent="0.35">
      <c r="J40" s="50"/>
    </row>
    <row r="41" spans="2:15" x14ac:dyDescent="0.35">
      <c r="B41" t="s">
        <v>42</v>
      </c>
      <c r="J41" s="52">
        <f t="shared" ref="J41:O41" si="4">J38-J56</f>
        <v>2400</v>
      </c>
      <c r="K41" s="48">
        <f t="shared" si="4"/>
        <v>2744.5</v>
      </c>
      <c r="L41" s="48">
        <f t="shared" si="4"/>
        <v>3133.9000000000005</v>
      </c>
      <c r="M41" s="48">
        <f t="shared" si="4"/>
        <v>3573.7350000000015</v>
      </c>
      <c r="N41" s="48">
        <f t="shared" si="4"/>
        <v>4070.1980000000021</v>
      </c>
      <c r="O41" s="48">
        <f t="shared" si="4"/>
        <v>4630.2162500000022</v>
      </c>
    </row>
    <row r="42" spans="2:15" x14ac:dyDescent="0.35">
      <c r="B42" s="5" t="s">
        <v>41</v>
      </c>
      <c r="J42" s="51">
        <f>J41/J35</f>
        <v>0.25263157894736843</v>
      </c>
      <c r="K42" s="47">
        <f t="shared" ref="K42:O42" si="5">K41/K35</f>
        <v>0.26263157894736844</v>
      </c>
      <c r="L42" s="47">
        <f t="shared" si="5"/>
        <v>0.27263157894736845</v>
      </c>
      <c r="M42" s="47">
        <f t="shared" si="5"/>
        <v>0.28263157894736846</v>
      </c>
      <c r="N42" s="47">
        <f t="shared" si="5"/>
        <v>0.29263157894736846</v>
      </c>
      <c r="O42" s="47">
        <f t="shared" si="5"/>
        <v>0.30263157894736842</v>
      </c>
    </row>
    <row r="43" spans="2:15" x14ac:dyDescent="0.35">
      <c r="B43" s="5"/>
      <c r="J43" s="51"/>
      <c r="K43" s="47"/>
      <c r="L43" s="47"/>
      <c r="M43" s="47"/>
      <c r="N43" s="47"/>
      <c r="O43" s="47"/>
    </row>
    <row r="44" spans="2:15" x14ac:dyDescent="0.35">
      <c r="B44" t="s">
        <v>43</v>
      </c>
      <c r="J44" s="50"/>
      <c r="K44" s="76">
        <f>K91</f>
        <v>1200</v>
      </c>
      <c r="L44" s="76">
        <f t="shared" ref="L44:O44" si="6">L91</f>
        <v>1198.1306999999999</v>
      </c>
      <c r="M44" s="76">
        <f t="shared" si="6"/>
        <v>1184.8492351800001</v>
      </c>
      <c r="N44" s="76">
        <f t="shared" si="6"/>
        <v>1157.9374499275323</v>
      </c>
      <c r="O44" s="76">
        <f t="shared" si="6"/>
        <v>1114.8498398540971</v>
      </c>
    </row>
    <row r="45" spans="2:15" x14ac:dyDescent="0.35">
      <c r="J45" s="49"/>
      <c r="K45" s="41"/>
      <c r="L45" s="41"/>
      <c r="M45" s="41"/>
      <c r="N45" s="41"/>
      <c r="O45" s="41"/>
    </row>
    <row r="46" spans="2:15" x14ac:dyDescent="0.35">
      <c r="B46" t="s">
        <v>44</v>
      </c>
      <c r="J46" s="53">
        <f>J41-J44</f>
        <v>2400</v>
      </c>
      <c r="K46" s="41">
        <f t="shared" ref="K46:O46" si="7">K41-K44</f>
        <v>1544.5</v>
      </c>
      <c r="L46" s="41">
        <f t="shared" si="7"/>
        <v>1935.7693000000006</v>
      </c>
      <c r="M46" s="41">
        <f t="shared" si="7"/>
        <v>2388.8857648200014</v>
      </c>
      <c r="N46" s="41">
        <f t="shared" si="7"/>
        <v>2912.2605500724699</v>
      </c>
      <c r="O46" s="41">
        <f t="shared" si="7"/>
        <v>3515.3664101459053</v>
      </c>
    </row>
    <row r="47" spans="2:15" x14ac:dyDescent="0.35">
      <c r="B47" s="5" t="s">
        <v>41</v>
      </c>
      <c r="J47" s="54">
        <f>J46/J35</f>
        <v>0.25263157894736843</v>
      </c>
      <c r="K47" s="46">
        <f t="shared" ref="K47:O47" si="8">K46/K35</f>
        <v>0.14779904306220096</v>
      </c>
      <c r="L47" s="46">
        <f t="shared" si="8"/>
        <v>0.16840098303610268</v>
      </c>
      <c r="M47" s="46">
        <f t="shared" si="8"/>
        <v>0.18892686660761601</v>
      </c>
      <c r="N47" s="46">
        <f t="shared" si="8"/>
        <v>0.20938033065561878</v>
      </c>
      <c r="O47" s="46">
        <f t="shared" si="8"/>
        <v>0.22976483815005341</v>
      </c>
    </row>
    <row r="48" spans="2:15" x14ac:dyDescent="0.35">
      <c r="J48" s="53"/>
      <c r="K48" s="41"/>
      <c r="L48" s="41"/>
      <c r="M48" s="41"/>
      <c r="N48" s="41"/>
      <c r="O48" s="41"/>
    </row>
    <row r="49" spans="1:15" x14ac:dyDescent="0.35">
      <c r="B49" t="s">
        <v>45</v>
      </c>
      <c r="J49" s="49">
        <f>J46*J50</f>
        <v>504</v>
      </c>
      <c r="K49" s="31">
        <f t="shared" ref="K49:O49" si="9">K46*K50</f>
        <v>324.34499999999997</v>
      </c>
      <c r="L49" s="31">
        <f t="shared" si="9"/>
        <v>406.51155300000011</v>
      </c>
      <c r="M49" s="31">
        <f t="shared" si="9"/>
        <v>501.6660106122003</v>
      </c>
      <c r="N49" s="31">
        <f t="shared" si="9"/>
        <v>611.5747155152186</v>
      </c>
      <c r="O49" s="31">
        <f t="shared" si="9"/>
        <v>738.22694613064004</v>
      </c>
    </row>
    <row r="50" spans="1:15" x14ac:dyDescent="0.35">
      <c r="B50" s="5" t="s">
        <v>46</v>
      </c>
      <c r="J50" s="54">
        <f>$J$17</f>
        <v>0.21</v>
      </c>
      <c r="K50" s="46">
        <f>J50</f>
        <v>0.21</v>
      </c>
      <c r="L50" s="46">
        <f t="shared" ref="L50:O50" si="10">K50</f>
        <v>0.21</v>
      </c>
      <c r="M50" s="46">
        <f t="shared" si="10"/>
        <v>0.21</v>
      </c>
      <c r="N50" s="46">
        <f t="shared" si="10"/>
        <v>0.21</v>
      </c>
      <c r="O50" s="46">
        <f t="shared" si="10"/>
        <v>0.21</v>
      </c>
    </row>
    <row r="51" spans="1:15" x14ac:dyDescent="0.35">
      <c r="B51" s="5"/>
      <c r="J51" s="54"/>
      <c r="K51" s="46"/>
      <c r="L51" s="46"/>
      <c r="M51" s="46"/>
      <c r="N51" s="46"/>
      <c r="O51" s="46"/>
    </row>
    <row r="52" spans="1:15" x14ac:dyDescent="0.35">
      <c r="B52" t="s">
        <v>47</v>
      </c>
      <c r="J52" s="53">
        <f>J46-J49</f>
        <v>1896</v>
      </c>
      <c r="K52" s="41">
        <f t="shared" ref="K52:O52" si="11">K46-K49</f>
        <v>1220.155</v>
      </c>
      <c r="L52" s="41">
        <f t="shared" si="11"/>
        <v>1529.2577470000006</v>
      </c>
      <c r="M52" s="41">
        <f t="shared" si="11"/>
        <v>1887.2197542078011</v>
      </c>
      <c r="N52" s="41">
        <f t="shared" si="11"/>
        <v>2300.6858345572514</v>
      </c>
      <c r="O52" s="41">
        <f t="shared" si="11"/>
        <v>2777.1394640152653</v>
      </c>
    </row>
    <row r="53" spans="1:15" x14ac:dyDescent="0.35">
      <c r="B53" s="5" t="s">
        <v>41</v>
      </c>
      <c r="J53" s="54">
        <f>J52/J35</f>
        <v>0.19957894736842105</v>
      </c>
      <c r="K53" s="46">
        <f t="shared" ref="K53:O53" si="12">K52/K35</f>
        <v>0.11676124401913876</v>
      </c>
      <c r="L53" s="46">
        <f t="shared" si="12"/>
        <v>0.13303677659852112</v>
      </c>
      <c r="M53" s="46">
        <f t="shared" si="12"/>
        <v>0.14925222462001664</v>
      </c>
      <c r="N53" s="46">
        <f t="shared" si="12"/>
        <v>0.16541046121793887</v>
      </c>
      <c r="O53" s="46">
        <f t="shared" si="12"/>
        <v>0.18151422213854218</v>
      </c>
    </row>
    <row r="54" spans="1:15" x14ac:dyDescent="0.35">
      <c r="B54" s="5"/>
      <c r="J54" s="50"/>
    </row>
    <row r="55" spans="1:15" x14ac:dyDescent="0.35">
      <c r="A55" s="10" t="s">
        <v>50</v>
      </c>
      <c r="B55" s="7" t="s">
        <v>52</v>
      </c>
      <c r="C55" s="7"/>
      <c r="D55" s="7"/>
      <c r="E55" s="7"/>
      <c r="F55" s="7"/>
      <c r="G55" s="7"/>
      <c r="H55" s="7"/>
      <c r="I55" s="7"/>
      <c r="J55" s="13" t="s">
        <v>35</v>
      </c>
      <c r="K55" s="13" t="s">
        <v>36</v>
      </c>
      <c r="L55" s="13" t="s">
        <v>37</v>
      </c>
      <c r="M55" s="13" t="s">
        <v>38</v>
      </c>
      <c r="N55" s="13" t="s">
        <v>39</v>
      </c>
      <c r="O55" s="13" t="s">
        <v>40</v>
      </c>
    </row>
    <row r="56" spans="1:15" x14ac:dyDescent="0.35">
      <c r="B56" t="s">
        <v>11</v>
      </c>
      <c r="J56" s="49">
        <f>J10</f>
        <v>100</v>
      </c>
      <c r="K56" s="41">
        <f>K57*K35</f>
        <v>110</v>
      </c>
      <c r="L56" s="41">
        <f>L57*L35</f>
        <v>121.00000000000001</v>
      </c>
      <c r="M56" s="41">
        <f>M57*M35</f>
        <v>133.10000000000002</v>
      </c>
      <c r="N56" s="41">
        <f>N57*N35</f>
        <v>146.41000000000005</v>
      </c>
      <c r="O56" s="41">
        <f>O57*O35</f>
        <v>161.05100000000007</v>
      </c>
    </row>
    <row r="57" spans="1:15" x14ac:dyDescent="0.35">
      <c r="B57" s="5" t="s">
        <v>41</v>
      </c>
      <c r="J57" s="51">
        <f>J56/J35</f>
        <v>1.0526315789473684E-2</v>
      </c>
      <c r="K57" s="46">
        <f>J57</f>
        <v>1.0526315789473684E-2</v>
      </c>
      <c r="L57" s="46">
        <f t="shared" ref="L57:O57" si="13">K57</f>
        <v>1.0526315789473684E-2</v>
      </c>
      <c r="M57" s="46">
        <f t="shared" si="13"/>
        <v>1.0526315789473684E-2</v>
      </c>
      <c r="N57" s="46">
        <f t="shared" si="13"/>
        <v>1.0526315789473684E-2</v>
      </c>
      <c r="O57" s="46">
        <f t="shared" si="13"/>
        <v>1.0526315789473684E-2</v>
      </c>
    </row>
    <row r="58" spans="1:15" x14ac:dyDescent="0.35">
      <c r="B58" s="5"/>
      <c r="J58" s="50"/>
    </row>
    <row r="59" spans="1:15" x14ac:dyDescent="0.35">
      <c r="B59" t="s">
        <v>48</v>
      </c>
      <c r="J59" s="49">
        <f>J12</f>
        <v>12000</v>
      </c>
      <c r="K59" s="41">
        <f>K35*K60</f>
        <v>13200</v>
      </c>
      <c r="L59" s="41">
        <f t="shared" ref="L59:O59" si="14">L35*L60</f>
        <v>14520.000000000002</v>
      </c>
      <c r="M59" s="41">
        <f t="shared" si="14"/>
        <v>15972.000000000004</v>
      </c>
      <c r="N59" s="41">
        <f t="shared" si="14"/>
        <v>17569.200000000004</v>
      </c>
      <c r="O59" s="41">
        <f t="shared" si="14"/>
        <v>19326.120000000006</v>
      </c>
    </row>
    <row r="60" spans="1:15" x14ac:dyDescent="0.35">
      <c r="B60" s="5" t="s">
        <v>41</v>
      </c>
      <c r="J60" s="56">
        <f>J59/J35</f>
        <v>1.263157894736842</v>
      </c>
      <c r="K60" s="46">
        <f>J60</f>
        <v>1.263157894736842</v>
      </c>
      <c r="L60" s="46">
        <f t="shared" ref="L60:O60" si="15">K60</f>
        <v>1.263157894736842</v>
      </c>
      <c r="M60" s="46">
        <f t="shared" si="15"/>
        <v>1.263157894736842</v>
      </c>
      <c r="N60" s="46">
        <f t="shared" si="15"/>
        <v>1.263157894736842</v>
      </c>
      <c r="O60" s="46">
        <f t="shared" si="15"/>
        <v>1.263157894736842</v>
      </c>
    </row>
    <row r="61" spans="1:15" x14ac:dyDescent="0.35">
      <c r="B61" t="s">
        <v>55</v>
      </c>
      <c r="J61" s="56"/>
      <c r="K61" s="41">
        <f>K59-J59</f>
        <v>1200</v>
      </c>
      <c r="L61" s="41">
        <f t="shared" ref="L61:O61" si="16">L59-K59</f>
        <v>1320.0000000000018</v>
      </c>
      <c r="M61" s="41">
        <f t="shared" si="16"/>
        <v>1452.0000000000018</v>
      </c>
      <c r="N61" s="41">
        <f t="shared" si="16"/>
        <v>1597.2000000000007</v>
      </c>
      <c r="O61" s="41">
        <f t="shared" si="16"/>
        <v>1756.9200000000019</v>
      </c>
    </row>
    <row r="62" spans="1:15" x14ac:dyDescent="0.35">
      <c r="B62" s="5"/>
      <c r="J62" s="50"/>
      <c r="K62" s="41"/>
      <c r="L62" s="41"/>
      <c r="M62" s="41"/>
      <c r="N62" s="41"/>
      <c r="O62" s="41"/>
    </row>
    <row r="63" spans="1:15" x14ac:dyDescent="0.35">
      <c r="B63" t="s">
        <v>53</v>
      </c>
      <c r="J63" s="55">
        <f>J11</f>
        <v>90</v>
      </c>
      <c r="K63" s="41">
        <f>K64*K35</f>
        <v>99</v>
      </c>
      <c r="L63" s="41">
        <f t="shared" ref="L63:O63" si="17">L64*L35</f>
        <v>108.90000000000002</v>
      </c>
      <c r="M63" s="41">
        <f t="shared" si="17"/>
        <v>119.79000000000005</v>
      </c>
      <c r="N63" s="41">
        <f t="shared" si="17"/>
        <v>131.76900000000006</v>
      </c>
      <c r="O63" s="41">
        <f t="shared" si="17"/>
        <v>144.94590000000008</v>
      </c>
    </row>
    <row r="64" spans="1:15" x14ac:dyDescent="0.35">
      <c r="B64" s="5" t="s">
        <v>41</v>
      </c>
      <c r="J64" s="56">
        <f>J63/J35</f>
        <v>9.4736842105263164E-3</v>
      </c>
      <c r="K64" s="46">
        <f>J64</f>
        <v>9.4736842105263164E-3</v>
      </c>
      <c r="L64" s="46">
        <f t="shared" ref="L64:O64" si="18">K64</f>
        <v>9.4736842105263164E-3</v>
      </c>
      <c r="M64" s="46">
        <f t="shared" si="18"/>
        <v>9.4736842105263164E-3</v>
      </c>
      <c r="N64" s="46">
        <f t="shared" si="18"/>
        <v>9.4736842105263164E-3</v>
      </c>
      <c r="O64" s="46">
        <f t="shared" si="18"/>
        <v>9.4736842105263164E-3</v>
      </c>
    </row>
    <row r="65" spans="1:15" x14ac:dyDescent="0.35">
      <c r="C65" s="5"/>
      <c r="J65" s="50"/>
    </row>
    <row r="66" spans="1:15" x14ac:dyDescent="0.35">
      <c r="A66" s="10" t="s">
        <v>50</v>
      </c>
      <c r="B66" s="7" t="s">
        <v>49</v>
      </c>
      <c r="C66" s="7"/>
      <c r="D66" s="7"/>
      <c r="E66" s="7"/>
      <c r="F66" s="7"/>
      <c r="G66" s="7"/>
      <c r="H66" s="7"/>
      <c r="I66" s="7"/>
      <c r="J66" s="13" t="s">
        <v>35</v>
      </c>
      <c r="K66" s="13" t="s">
        <v>36</v>
      </c>
      <c r="L66" s="13" t="s">
        <v>37</v>
      </c>
      <c r="M66" s="13" t="s">
        <v>38</v>
      </c>
      <c r="N66" s="13" t="s">
        <v>39</v>
      </c>
      <c r="O66" s="13" t="s">
        <v>40</v>
      </c>
    </row>
    <row r="67" spans="1:15" x14ac:dyDescent="0.35">
      <c r="B67" t="s">
        <v>47</v>
      </c>
      <c r="J67" s="50"/>
      <c r="K67" s="59">
        <f>K52</f>
        <v>1220.155</v>
      </c>
      <c r="L67" s="59">
        <f t="shared" ref="L67:O67" si="19">L52</f>
        <v>1529.2577470000006</v>
      </c>
      <c r="M67" s="59">
        <f t="shared" si="19"/>
        <v>1887.2197542078011</v>
      </c>
      <c r="N67" s="59">
        <f t="shared" si="19"/>
        <v>2300.6858345572514</v>
      </c>
      <c r="O67" s="59">
        <f t="shared" si="19"/>
        <v>2777.1394640152653</v>
      </c>
    </row>
    <row r="68" spans="1:15" x14ac:dyDescent="0.35">
      <c r="B68" t="s">
        <v>11</v>
      </c>
      <c r="J68" s="50"/>
      <c r="K68" s="59">
        <f>K56</f>
        <v>110</v>
      </c>
      <c r="L68" s="59">
        <f t="shared" ref="L68:O68" si="20">L56</f>
        <v>121.00000000000001</v>
      </c>
      <c r="M68" s="59">
        <f t="shared" si="20"/>
        <v>133.10000000000002</v>
      </c>
      <c r="N68" s="59">
        <f t="shared" si="20"/>
        <v>146.41000000000005</v>
      </c>
      <c r="O68" s="59">
        <f t="shared" si="20"/>
        <v>161.05100000000007</v>
      </c>
    </row>
    <row r="69" spans="1:15" x14ac:dyDescent="0.35">
      <c r="B69" t="s">
        <v>53</v>
      </c>
      <c r="J69" s="50"/>
      <c r="K69" s="59">
        <f>K63</f>
        <v>99</v>
      </c>
      <c r="L69" s="59">
        <f>L63</f>
        <v>108.90000000000002</v>
      </c>
      <c r="M69" s="59">
        <f>M63</f>
        <v>119.79000000000005</v>
      </c>
      <c r="N69" s="59">
        <f>N63</f>
        <v>131.76900000000006</v>
      </c>
      <c r="O69" s="59">
        <f>O63</f>
        <v>144.94590000000008</v>
      </c>
    </row>
    <row r="70" spans="1:15" x14ac:dyDescent="0.35">
      <c r="B70" s="1" t="s">
        <v>54</v>
      </c>
      <c r="C70" s="1"/>
      <c r="D70" s="1"/>
      <c r="E70" s="1"/>
      <c r="F70" s="1"/>
      <c r="G70" s="1"/>
      <c r="H70" s="1"/>
      <c r="I70" s="1"/>
      <c r="J70" s="57"/>
      <c r="K70" s="60">
        <f>K61</f>
        <v>1200</v>
      </c>
      <c r="L70" s="60">
        <f t="shared" ref="L70:O70" si="21">L61</f>
        <v>1320.0000000000018</v>
      </c>
      <c r="M70" s="60">
        <f t="shared" si="21"/>
        <v>1452.0000000000018</v>
      </c>
      <c r="N70" s="60">
        <f t="shared" si="21"/>
        <v>1597.2000000000007</v>
      </c>
      <c r="O70" s="60">
        <f t="shared" si="21"/>
        <v>1756.9200000000019</v>
      </c>
    </row>
    <row r="71" spans="1:15" x14ac:dyDescent="0.35">
      <c r="B71" s="36" t="s">
        <v>49</v>
      </c>
      <c r="C71" s="37"/>
      <c r="D71" s="37"/>
      <c r="E71" s="37"/>
      <c r="F71" s="37"/>
      <c r="G71" s="37"/>
      <c r="H71" s="37"/>
      <c r="I71" s="37"/>
      <c r="J71" s="61"/>
      <c r="K71" s="62">
        <f>K67+K68-K69-K70</f>
        <v>31.154999999999973</v>
      </c>
      <c r="L71" s="62">
        <f t="shared" ref="L71:O71" si="22">L67+L68-L69-L70</f>
        <v>221.35774699999865</v>
      </c>
      <c r="M71" s="62">
        <f t="shared" si="22"/>
        <v>448.52975420779921</v>
      </c>
      <c r="N71" s="62">
        <f t="shared" si="22"/>
        <v>718.12683455725028</v>
      </c>
      <c r="O71" s="63">
        <f t="shared" si="22"/>
        <v>1036.3245640152631</v>
      </c>
    </row>
    <row r="74" spans="1:15" x14ac:dyDescent="0.35">
      <c r="A74" s="10" t="s">
        <v>50</v>
      </c>
      <c r="B74" s="14" t="s">
        <v>56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3" customHeight="1" x14ac:dyDescent="0.35"/>
    <row r="76" spans="1:15" x14ac:dyDescent="0.35">
      <c r="B76" s="7"/>
      <c r="C76" s="7"/>
      <c r="D76" s="7"/>
      <c r="E76" s="7"/>
      <c r="F76" s="7"/>
      <c r="G76" s="7"/>
      <c r="H76" s="7"/>
      <c r="I76" s="7"/>
      <c r="J76" s="13" t="s">
        <v>35</v>
      </c>
      <c r="K76" s="13" t="s">
        <v>36</v>
      </c>
      <c r="L76" s="13" t="s">
        <v>37</v>
      </c>
      <c r="M76" s="13" t="s">
        <v>38</v>
      </c>
      <c r="N76" s="13" t="s">
        <v>39</v>
      </c>
      <c r="O76" s="13" t="s">
        <v>40</v>
      </c>
    </row>
    <row r="77" spans="1:15" x14ac:dyDescent="0.35">
      <c r="B77" s="8" t="s">
        <v>4</v>
      </c>
      <c r="J77" s="50"/>
    </row>
    <row r="78" spans="1:15" x14ac:dyDescent="0.35">
      <c r="B78" t="s">
        <v>59</v>
      </c>
      <c r="D78" s="41"/>
      <c r="E78" s="41"/>
      <c r="F78" s="41"/>
      <c r="G78" s="41"/>
      <c r="H78" s="41"/>
      <c r="J78" s="50"/>
      <c r="K78" s="31">
        <f>J81</f>
        <v>10000</v>
      </c>
      <c r="L78" s="31">
        <f t="shared" ref="L78:O78" si="23">K81</f>
        <v>9968.8449999999993</v>
      </c>
      <c r="M78" s="31">
        <f t="shared" si="23"/>
        <v>9747.4872530000011</v>
      </c>
      <c r="N78" s="31">
        <f t="shared" si="23"/>
        <v>9298.9574987922024</v>
      </c>
      <c r="O78" s="31">
        <f t="shared" si="23"/>
        <v>8580.8306642349526</v>
      </c>
    </row>
    <row r="79" spans="1:15" x14ac:dyDescent="0.35">
      <c r="B79" t="s">
        <v>57</v>
      </c>
      <c r="D79" s="41"/>
      <c r="E79" s="41"/>
      <c r="F79" s="41"/>
      <c r="G79" s="41"/>
      <c r="H79" s="41"/>
      <c r="J79" s="50"/>
      <c r="K79" s="48">
        <f>K78*$O$7</f>
        <v>600</v>
      </c>
      <c r="L79" s="48">
        <f t="shared" ref="L79:O79" si="24">L78*$O$7</f>
        <v>598.13069999999993</v>
      </c>
      <c r="M79" s="48">
        <f t="shared" si="24"/>
        <v>584.84923518000005</v>
      </c>
      <c r="N79" s="48">
        <f t="shared" si="24"/>
        <v>557.93744992753216</v>
      </c>
      <c r="O79" s="48">
        <f t="shared" si="24"/>
        <v>514.84983985409713</v>
      </c>
    </row>
    <row r="80" spans="1:15" x14ac:dyDescent="0.35">
      <c r="B80" s="1" t="s">
        <v>58</v>
      </c>
      <c r="C80" s="1"/>
      <c r="D80" s="43"/>
      <c r="E80" s="43"/>
      <c r="F80" s="43"/>
      <c r="G80" s="43"/>
      <c r="H80" s="43"/>
      <c r="I80" s="1"/>
      <c r="J80" s="57"/>
      <c r="K80" s="43">
        <f>MIN(K71,K78)</f>
        <v>31.154999999999973</v>
      </c>
      <c r="L80" s="43">
        <f t="shared" ref="L80:O80" si="25">MIN(L71,L78)</f>
        <v>221.35774699999865</v>
      </c>
      <c r="M80" s="43">
        <f t="shared" si="25"/>
        <v>448.52975420779921</v>
      </c>
      <c r="N80" s="43">
        <f t="shared" si="25"/>
        <v>718.12683455725028</v>
      </c>
      <c r="O80" s="43">
        <f t="shared" si="25"/>
        <v>1036.3245640152631</v>
      </c>
    </row>
    <row r="81" spans="1:16" x14ac:dyDescent="0.35">
      <c r="B81" s="8" t="s">
        <v>60</v>
      </c>
      <c r="C81" s="8"/>
      <c r="D81" s="58"/>
      <c r="E81" s="58"/>
      <c r="F81" s="58"/>
      <c r="G81" s="58"/>
      <c r="H81" s="58"/>
      <c r="I81" s="8"/>
      <c r="J81" s="64">
        <f>E23</f>
        <v>10000</v>
      </c>
      <c r="K81" s="58">
        <f>K78-K80</f>
        <v>9968.8449999999993</v>
      </c>
      <c r="L81" s="58">
        <f t="shared" ref="L81:O81" si="26">L78-L80</f>
        <v>9747.4872530000011</v>
      </c>
      <c r="M81" s="58">
        <f t="shared" si="26"/>
        <v>9298.9574987922024</v>
      </c>
      <c r="N81" s="58">
        <f t="shared" si="26"/>
        <v>8580.8306642349526</v>
      </c>
      <c r="O81" s="65">
        <f t="shared" si="26"/>
        <v>7544.506100219689</v>
      </c>
    </row>
    <row r="82" spans="1:16" x14ac:dyDescent="0.35">
      <c r="J82" s="50"/>
    </row>
    <row r="83" spans="1:16" x14ac:dyDescent="0.35">
      <c r="B83" s="8" t="s">
        <v>5</v>
      </c>
      <c r="J83" s="50"/>
    </row>
    <row r="84" spans="1:16" x14ac:dyDescent="0.35">
      <c r="B84" t="s">
        <v>59</v>
      </c>
      <c r="D84" s="41"/>
      <c r="E84" s="41"/>
      <c r="F84" s="41"/>
      <c r="G84" s="41"/>
      <c r="H84" s="41"/>
      <c r="J84" s="50"/>
      <c r="K84" s="31">
        <f>J87</f>
        <v>5000</v>
      </c>
      <c r="L84" s="31">
        <f t="shared" ref="L84:O84" si="27">K87</f>
        <v>5000</v>
      </c>
      <c r="M84" s="31">
        <f t="shared" si="27"/>
        <v>5000</v>
      </c>
      <c r="N84" s="31">
        <f t="shared" si="27"/>
        <v>5000</v>
      </c>
      <c r="O84" s="31">
        <f t="shared" si="27"/>
        <v>5000</v>
      </c>
    </row>
    <row r="85" spans="1:16" x14ac:dyDescent="0.35">
      <c r="B85" t="s">
        <v>57</v>
      </c>
      <c r="D85" s="41"/>
      <c r="E85" s="41"/>
      <c r="F85" s="41"/>
      <c r="G85" s="41"/>
      <c r="H85" s="41"/>
      <c r="J85" s="50"/>
      <c r="K85" s="48">
        <f>K84*$O$8</f>
        <v>600</v>
      </c>
      <c r="L85" s="48">
        <f t="shared" ref="L85:O85" si="28">L84*$O$8</f>
        <v>600</v>
      </c>
      <c r="M85" s="48">
        <f t="shared" si="28"/>
        <v>600</v>
      </c>
      <c r="N85" s="48">
        <f t="shared" si="28"/>
        <v>600</v>
      </c>
      <c r="O85" s="48">
        <f t="shared" si="28"/>
        <v>600</v>
      </c>
    </row>
    <row r="86" spans="1:16" x14ac:dyDescent="0.35">
      <c r="B86" t="s">
        <v>58</v>
      </c>
      <c r="D86" s="3"/>
      <c r="E86" s="3"/>
      <c r="F86" s="3"/>
      <c r="G86" s="3"/>
      <c r="H86" s="3"/>
      <c r="J86" s="57"/>
      <c r="K86" s="66">
        <f>MIN(K71-K80,K71)</f>
        <v>0</v>
      </c>
      <c r="L86" s="66">
        <f t="shared" ref="L86:O86" si="29">MIN(L71-L80,L71)</f>
        <v>0</v>
      </c>
      <c r="M86" s="66">
        <f t="shared" si="29"/>
        <v>0</v>
      </c>
      <c r="N86" s="66">
        <f t="shared" si="29"/>
        <v>0</v>
      </c>
      <c r="O86" s="66">
        <f t="shared" si="29"/>
        <v>0</v>
      </c>
      <c r="P86" s="41"/>
    </row>
    <row r="87" spans="1:16" x14ac:dyDescent="0.35">
      <c r="B87" t="s">
        <v>60</v>
      </c>
      <c r="D87" s="41"/>
      <c r="E87" s="41"/>
      <c r="F87" s="41"/>
      <c r="G87" s="41"/>
      <c r="H87" s="41"/>
      <c r="J87" s="64">
        <f>E24</f>
        <v>5000</v>
      </c>
      <c r="K87" s="58">
        <f>K84-K86</f>
        <v>5000</v>
      </c>
      <c r="L87" s="58">
        <f t="shared" ref="L87:O87" si="30">L84-L86</f>
        <v>5000</v>
      </c>
      <c r="M87" s="58">
        <f t="shared" si="30"/>
        <v>5000</v>
      </c>
      <c r="N87" s="58">
        <f t="shared" si="30"/>
        <v>5000</v>
      </c>
      <c r="O87" s="58">
        <f t="shared" si="30"/>
        <v>5000</v>
      </c>
    </row>
    <row r="88" spans="1:16" x14ac:dyDescent="0.35">
      <c r="J88" s="50"/>
    </row>
    <row r="89" spans="1:16" x14ac:dyDescent="0.35">
      <c r="B89" s="8" t="s">
        <v>26</v>
      </c>
      <c r="J89" s="50"/>
    </row>
    <row r="90" spans="1:16" x14ac:dyDescent="0.35">
      <c r="B90" t="s">
        <v>59</v>
      </c>
      <c r="D90" s="41"/>
      <c r="E90" s="41"/>
      <c r="F90" s="41"/>
      <c r="G90" s="41"/>
      <c r="H90" s="41"/>
      <c r="J90" s="50"/>
      <c r="K90" s="31">
        <f>J93</f>
        <v>15000</v>
      </c>
      <c r="L90" s="31">
        <f t="shared" ref="L90:O90" si="31">K93</f>
        <v>14968.844999999999</v>
      </c>
      <c r="M90" s="31">
        <f t="shared" si="31"/>
        <v>14747.487253000001</v>
      </c>
      <c r="N90" s="31">
        <f t="shared" si="31"/>
        <v>14298.957498792202</v>
      </c>
      <c r="O90" s="31">
        <f t="shared" si="31"/>
        <v>13580.830664234953</v>
      </c>
    </row>
    <row r="91" spans="1:16" x14ac:dyDescent="0.35">
      <c r="B91" t="s">
        <v>57</v>
      </c>
      <c r="D91" s="41"/>
      <c r="E91" s="41"/>
      <c r="F91" s="41"/>
      <c r="G91" s="41"/>
      <c r="H91" s="41"/>
      <c r="J91" s="50"/>
      <c r="K91" s="48">
        <f>K79+K85</f>
        <v>1200</v>
      </c>
      <c r="L91" s="48">
        <f t="shared" ref="L91:O92" si="32">L79+L85</f>
        <v>1198.1306999999999</v>
      </c>
      <c r="M91" s="48">
        <f t="shared" si="32"/>
        <v>1184.8492351800001</v>
      </c>
      <c r="N91" s="48">
        <f t="shared" si="32"/>
        <v>1157.9374499275323</v>
      </c>
      <c r="O91" s="48">
        <f t="shared" si="32"/>
        <v>1114.8498398540971</v>
      </c>
    </row>
    <row r="92" spans="1:16" x14ac:dyDescent="0.35">
      <c r="B92" t="s">
        <v>58</v>
      </c>
      <c r="D92" s="41"/>
      <c r="E92" s="41"/>
      <c r="F92" s="41"/>
      <c r="G92" s="41"/>
      <c r="H92" s="41"/>
      <c r="J92" s="57"/>
      <c r="K92" s="66">
        <f>K80+K86</f>
        <v>31.154999999999973</v>
      </c>
      <c r="L92" s="66">
        <f t="shared" si="32"/>
        <v>221.35774699999865</v>
      </c>
      <c r="M92" s="66">
        <f t="shared" si="32"/>
        <v>448.52975420779921</v>
      </c>
      <c r="N92" s="66">
        <f t="shared" si="32"/>
        <v>718.12683455725028</v>
      </c>
      <c r="O92" s="66">
        <f t="shared" si="32"/>
        <v>1036.3245640152631</v>
      </c>
    </row>
    <row r="93" spans="1:16" x14ac:dyDescent="0.35">
      <c r="B93" t="s">
        <v>60</v>
      </c>
      <c r="D93" s="41"/>
      <c r="E93" s="41"/>
      <c r="F93" s="41"/>
      <c r="G93" s="41"/>
      <c r="H93" s="41"/>
      <c r="J93" s="64">
        <f>J81+J87</f>
        <v>15000</v>
      </c>
      <c r="K93" s="58">
        <f>K90-K92</f>
        <v>14968.844999999999</v>
      </c>
      <c r="L93" s="58">
        <f t="shared" ref="L93:O93" si="33">L90-L92</f>
        <v>14747.487253000001</v>
      </c>
      <c r="M93" s="58">
        <f t="shared" si="33"/>
        <v>14298.957498792202</v>
      </c>
      <c r="N93" s="58">
        <f t="shared" si="33"/>
        <v>13580.830664234953</v>
      </c>
      <c r="O93" s="58">
        <f t="shared" si="33"/>
        <v>12544.506100219689</v>
      </c>
    </row>
    <row r="95" spans="1:16" x14ac:dyDescent="0.35">
      <c r="A95" s="10" t="s">
        <v>50</v>
      </c>
      <c r="B95" s="14" t="s">
        <v>61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ht="3" customHeight="1" x14ac:dyDescent="0.35">
      <c r="D96" s="41"/>
      <c r="E96" s="41"/>
      <c r="F96" s="41"/>
      <c r="G96" s="41"/>
      <c r="H96" s="41"/>
    </row>
    <row r="97" spans="1:15" x14ac:dyDescent="0.35">
      <c r="B97" t="s">
        <v>72</v>
      </c>
      <c r="O97" s="31">
        <f>O38</f>
        <v>4791.2672500000026</v>
      </c>
    </row>
    <row r="98" spans="1:15" x14ac:dyDescent="0.35">
      <c r="B98" s="1" t="s">
        <v>62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8">
        <f>E16</f>
        <v>10</v>
      </c>
    </row>
    <row r="99" spans="1:15" x14ac:dyDescent="0.35">
      <c r="B99" t="s">
        <v>19</v>
      </c>
      <c r="O99" s="41">
        <f>O97*O98</f>
        <v>47912.67250000003</v>
      </c>
    </row>
    <row r="100" spans="1:15" x14ac:dyDescent="0.35">
      <c r="B100" s="1" t="s">
        <v>65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7">
        <f>O93</f>
        <v>12544.506100219689</v>
      </c>
    </row>
    <row r="101" spans="1:15" x14ac:dyDescent="0.35">
      <c r="B101" s="36" t="s">
        <v>63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63">
        <f>O99-O100</f>
        <v>35368.166399780341</v>
      </c>
    </row>
    <row r="103" spans="1:15" x14ac:dyDescent="0.35">
      <c r="B103" t="s">
        <v>64</v>
      </c>
      <c r="O103" s="41">
        <f>E27</f>
        <v>10500</v>
      </c>
    </row>
    <row r="105" spans="1:15" x14ac:dyDescent="0.35">
      <c r="B105" s="69" t="s">
        <v>71</v>
      </c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1">
        <f>O101/O103</f>
        <v>3.36839679997908</v>
      </c>
    </row>
    <row r="106" spans="1:15" x14ac:dyDescent="0.35">
      <c r="A106" s="10" t="s">
        <v>50</v>
      </c>
      <c r="B106" s="72" t="s">
        <v>61</v>
      </c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4">
        <f>O105^(1/5)-1</f>
        <v>0.27492503503674226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LBO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Rohit Jacob</cp:lastModifiedBy>
  <dcterms:created xsi:type="dcterms:W3CDTF">2023-03-14T11:01:16Z</dcterms:created>
  <dcterms:modified xsi:type="dcterms:W3CDTF">2024-04-04T16:42:18Z</dcterms:modified>
</cp:coreProperties>
</file>