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f63f71839af2729/Desktop/Files/Finance/Excel Projects/"/>
    </mc:Choice>
  </mc:AlternateContent>
  <xr:revisionPtr revIDLastSave="13" documentId="8_{9C39CBB8-6AAB-4B43-AD89-8F050BC6B573}" xr6:coauthVersionLast="47" xr6:coauthVersionMax="47" xr10:uidLastSave="{2B2DFAFF-EC41-4BD2-9DED-F496942DD143}"/>
  <bookViews>
    <workbookView xWindow="-108" yWindow="-108" windowWidth="23256" windowHeight="12456" xr2:uid="{00000000-000D-0000-FFFF-FFFF00000000}"/>
  </bookViews>
  <sheets>
    <sheet name="Model" sheetId="1" r:id="rId1"/>
    <sheet name="Data" sheetId="2" r:id="rId2"/>
    <sheet name="Info" sheetId="3" r:id="rId3"/>
  </sheets>
  <definedNames>
    <definedName name="tgr">Model!$D$19</definedName>
    <definedName name="wacc">Model!$D$18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F94" i="1" s="1"/>
  <c r="G94" i="1" s="1"/>
  <c r="H94" i="1" s="1"/>
  <c r="D18" i="1"/>
  <c r="C97" i="1" s="1"/>
  <c r="V75" i="1"/>
  <c r="V73" i="1"/>
  <c r="V74" i="1"/>
  <c r="R37" i="1"/>
  <c r="Q37" i="1"/>
  <c r="P37" i="1"/>
  <c r="O37" i="1"/>
  <c r="O74" i="1" s="1"/>
  <c r="O73" i="1" s="1"/>
  <c r="N37" i="1"/>
  <c r="N74" i="1" s="1"/>
  <c r="N73" i="1" s="1"/>
  <c r="M37" i="1"/>
  <c r="M74" i="1" s="1"/>
  <c r="M73" i="1" s="1"/>
  <c r="M72" i="1" s="1"/>
  <c r="R33" i="1"/>
  <c r="Q33" i="1"/>
  <c r="P33" i="1"/>
  <c r="O33" i="1"/>
  <c r="N33" i="1"/>
  <c r="M33" i="1"/>
  <c r="O61" i="1"/>
  <c r="P61" i="1" s="1"/>
  <c r="Q61" i="1" s="1"/>
  <c r="R61" i="1" s="1"/>
  <c r="S61" i="1" s="1"/>
  <c r="T61" i="1" s="1"/>
  <c r="U61" i="1" s="1"/>
  <c r="V61" i="1" s="1"/>
  <c r="O59" i="1"/>
  <c r="V49" i="1"/>
  <c r="V47" i="1"/>
  <c r="V48" i="1"/>
  <c r="V46" i="1" s="1"/>
  <c r="N43" i="1"/>
  <c r="O43" i="1" s="1"/>
  <c r="P43" i="1" s="1"/>
  <c r="Q43" i="1" s="1"/>
  <c r="R43" i="1" s="1"/>
  <c r="S43" i="1" s="1"/>
  <c r="T43" i="1" s="1"/>
  <c r="U43" i="1" s="1"/>
  <c r="V43" i="1" s="1"/>
  <c r="G44" i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L40" i="1"/>
  <c r="L77" i="1" s="1"/>
  <c r="K40" i="1"/>
  <c r="K77" i="1" s="1"/>
  <c r="J40" i="1"/>
  <c r="J77" i="1" s="1"/>
  <c r="I40" i="1"/>
  <c r="I77" i="1" s="1"/>
  <c r="H40" i="1"/>
  <c r="H77" i="1" s="1"/>
  <c r="G40" i="1"/>
  <c r="G77" i="1" s="1"/>
  <c r="F40" i="1"/>
  <c r="F77" i="1" s="1"/>
  <c r="L36" i="1"/>
  <c r="L71" i="1" s="1"/>
  <c r="K36" i="1"/>
  <c r="K71" i="1" s="1"/>
  <c r="J36" i="1"/>
  <c r="J71" i="1" s="1"/>
  <c r="I36" i="1"/>
  <c r="I71" i="1" s="1"/>
  <c r="H36" i="1"/>
  <c r="H71" i="1" s="1"/>
  <c r="G36" i="1"/>
  <c r="G71" i="1" s="1"/>
  <c r="F36" i="1"/>
  <c r="F71" i="1" s="1"/>
  <c r="L32" i="1"/>
  <c r="L65" i="1" s="1"/>
  <c r="K32" i="1"/>
  <c r="K65" i="1" s="1"/>
  <c r="J32" i="1"/>
  <c r="J65" i="1" s="1"/>
  <c r="I32" i="1"/>
  <c r="I65" i="1" s="1"/>
  <c r="H32" i="1"/>
  <c r="H65" i="1" s="1"/>
  <c r="G32" i="1"/>
  <c r="G65" i="1" s="1"/>
  <c r="F32" i="1"/>
  <c r="F65" i="1" s="1"/>
  <c r="G31" i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R26" i="1"/>
  <c r="Q26" i="1"/>
  <c r="P26" i="1"/>
  <c r="O26" i="1"/>
  <c r="O54" i="1" s="1"/>
  <c r="N26" i="1"/>
  <c r="N54" i="1" s="1"/>
  <c r="M26" i="1"/>
  <c r="M54" i="1" s="1"/>
  <c r="R23" i="1"/>
  <c r="Q23" i="1"/>
  <c r="P23" i="1"/>
  <c r="O23" i="1"/>
  <c r="O48" i="1" s="1"/>
  <c r="O46" i="1" s="1"/>
  <c r="N23" i="1"/>
  <c r="N48" i="1" s="1"/>
  <c r="N46" i="1" s="1"/>
  <c r="L28" i="1"/>
  <c r="L57" i="1" s="1"/>
  <c r="K28" i="1"/>
  <c r="K57" i="1" s="1"/>
  <c r="J28" i="1"/>
  <c r="J57" i="1" s="1"/>
  <c r="I28" i="1"/>
  <c r="I57" i="1" s="1"/>
  <c r="H28" i="1"/>
  <c r="H57" i="1" s="1"/>
  <c r="G28" i="1"/>
  <c r="G57" i="1" s="1"/>
  <c r="F28" i="1"/>
  <c r="F57" i="1" s="1"/>
  <c r="L25" i="1"/>
  <c r="L51" i="1" s="1"/>
  <c r="K25" i="1"/>
  <c r="K51" i="1" s="1"/>
  <c r="J25" i="1"/>
  <c r="J51" i="1" s="1"/>
  <c r="I25" i="1"/>
  <c r="I51" i="1" s="1"/>
  <c r="H25" i="1"/>
  <c r="H51" i="1" s="1"/>
  <c r="G25" i="1"/>
  <c r="G51" i="1" s="1"/>
  <c r="F25" i="1"/>
  <c r="F51" i="1" s="1"/>
  <c r="F22" i="1"/>
  <c r="L22" i="1"/>
  <c r="M23" i="1" s="1"/>
  <c r="M48" i="1" s="1"/>
  <c r="M46" i="1" s="1"/>
  <c r="K22" i="1"/>
  <c r="J22" i="1"/>
  <c r="J45" i="1" s="1"/>
  <c r="I22" i="1"/>
  <c r="H22" i="1"/>
  <c r="G22" i="1"/>
  <c r="G21" i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I41" i="1" l="1"/>
  <c r="P73" i="1"/>
  <c r="Q73" i="1" s="1"/>
  <c r="R73" i="1" s="1"/>
  <c r="S73" i="1" s="1"/>
  <c r="T73" i="1" s="1"/>
  <c r="U73" i="1" s="1"/>
  <c r="J78" i="1"/>
  <c r="E94" i="1"/>
  <c r="D94" i="1" s="1"/>
  <c r="C98" i="1"/>
  <c r="C99" i="1" s="1"/>
  <c r="C96" i="1"/>
  <c r="C95" i="1" s="1"/>
  <c r="N75" i="1"/>
  <c r="O75" i="1"/>
  <c r="P75" i="1" s="1"/>
  <c r="Q75" i="1" s="1"/>
  <c r="R75" i="1" s="1"/>
  <c r="S75" i="1" s="1"/>
  <c r="T75" i="1" s="1"/>
  <c r="U75" i="1" s="1"/>
  <c r="M75" i="1"/>
  <c r="P74" i="1"/>
  <c r="Q74" i="1" s="1"/>
  <c r="R74" i="1" s="1"/>
  <c r="S74" i="1" s="1"/>
  <c r="T74" i="1" s="1"/>
  <c r="U74" i="1" s="1"/>
  <c r="J72" i="1"/>
  <c r="J66" i="1"/>
  <c r="J26" i="1"/>
  <c r="P59" i="1"/>
  <c r="Q59" i="1" s="1"/>
  <c r="R59" i="1" s="1"/>
  <c r="S59" i="1" s="1"/>
  <c r="T59" i="1" s="1"/>
  <c r="U59" i="1" s="1"/>
  <c r="V59" i="1" s="1"/>
  <c r="F37" i="1"/>
  <c r="K26" i="1"/>
  <c r="H58" i="1"/>
  <c r="G58" i="1"/>
  <c r="I58" i="1"/>
  <c r="J58" i="1"/>
  <c r="K58" i="1"/>
  <c r="L58" i="1"/>
  <c r="F58" i="1"/>
  <c r="H11" i="1"/>
  <c r="M53" i="1" s="1"/>
  <c r="P11" i="1"/>
  <c r="M55" i="1" s="1"/>
  <c r="N55" i="1" s="1"/>
  <c r="O55" i="1" s="1"/>
  <c r="J52" i="1"/>
  <c r="P54" i="1"/>
  <c r="P9" i="1"/>
  <c r="M49" i="1" s="1"/>
  <c r="N49" i="1" s="1"/>
  <c r="O49" i="1" s="1"/>
  <c r="P49" i="1" s="1"/>
  <c r="Q49" i="1" s="1"/>
  <c r="R49" i="1" s="1"/>
  <c r="S49" i="1" s="1"/>
  <c r="T49" i="1" s="1"/>
  <c r="U49" i="1" s="1"/>
  <c r="H9" i="1"/>
  <c r="M47" i="1" s="1"/>
  <c r="N47" i="1" s="1"/>
  <c r="O47" i="1" s="1"/>
  <c r="P47" i="1" s="1"/>
  <c r="Q47" i="1" s="1"/>
  <c r="R47" i="1" s="1"/>
  <c r="S47" i="1" s="1"/>
  <c r="L37" i="1"/>
  <c r="G37" i="1"/>
  <c r="I34" i="1"/>
  <c r="G34" i="1"/>
  <c r="H34" i="1"/>
  <c r="L26" i="1"/>
  <c r="H37" i="1"/>
  <c r="F41" i="1"/>
  <c r="L41" i="1"/>
  <c r="F29" i="1"/>
  <c r="F26" i="1"/>
  <c r="K42" i="1"/>
  <c r="J34" i="1"/>
  <c r="I26" i="1"/>
  <c r="F34" i="1"/>
  <c r="K34" i="1"/>
  <c r="J41" i="1"/>
  <c r="G41" i="1"/>
  <c r="K41" i="1"/>
  <c r="L33" i="1"/>
  <c r="G42" i="1"/>
  <c r="L42" i="1"/>
  <c r="K29" i="1"/>
  <c r="H41" i="1"/>
  <c r="L29" i="1"/>
  <c r="I42" i="1"/>
  <c r="I23" i="1"/>
  <c r="F33" i="1"/>
  <c r="G26" i="1"/>
  <c r="H26" i="1"/>
  <c r="F45" i="1"/>
  <c r="F72" i="1" s="1"/>
  <c r="G45" i="1"/>
  <c r="G72" i="1" s="1"/>
  <c r="H45" i="1"/>
  <c r="H72" i="1" s="1"/>
  <c r="L23" i="1"/>
  <c r="J37" i="1"/>
  <c r="G29" i="1"/>
  <c r="K37" i="1"/>
  <c r="H42" i="1"/>
  <c r="H23" i="1"/>
  <c r="I45" i="1"/>
  <c r="I72" i="1" s="1"/>
  <c r="G33" i="1"/>
  <c r="H29" i="1"/>
  <c r="H33" i="1"/>
  <c r="I29" i="1"/>
  <c r="I33" i="1"/>
  <c r="L34" i="1"/>
  <c r="J23" i="1"/>
  <c r="J33" i="1"/>
  <c r="K23" i="1"/>
  <c r="K33" i="1"/>
  <c r="I37" i="1"/>
  <c r="J42" i="1"/>
  <c r="J29" i="1"/>
  <c r="K45" i="1"/>
  <c r="K46" i="1" s="1"/>
  <c r="L45" i="1"/>
  <c r="M45" i="1" s="1"/>
  <c r="M71" i="1" s="1"/>
  <c r="G23" i="1"/>
  <c r="K78" i="1" l="1"/>
  <c r="I78" i="1"/>
  <c r="H78" i="1"/>
  <c r="G78" i="1"/>
  <c r="L78" i="1"/>
  <c r="F78" i="1"/>
  <c r="N45" i="1"/>
  <c r="O45" i="1" s="1"/>
  <c r="L72" i="1"/>
  <c r="K72" i="1"/>
  <c r="N72" i="1"/>
  <c r="M60" i="1"/>
  <c r="M61" i="1" s="1"/>
  <c r="N61" i="1" s="1"/>
  <c r="G52" i="1"/>
  <c r="G66" i="1"/>
  <c r="L66" i="1"/>
  <c r="F52" i="1"/>
  <c r="F66" i="1"/>
  <c r="I52" i="1"/>
  <c r="I66" i="1"/>
  <c r="L52" i="1"/>
  <c r="H52" i="1"/>
  <c r="H66" i="1"/>
  <c r="K66" i="1"/>
  <c r="P55" i="1"/>
  <c r="N53" i="1"/>
  <c r="M52" i="1"/>
  <c r="M51" i="1" s="1"/>
  <c r="Q54" i="1"/>
  <c r="K52" i="1"/>
  <c r="T47" i="1"/>
  <c r="H46" i="1"/>
  <c r="I46" i="1"/>
  <c r="G46" i="1"/>
  <c r="L46" i="1"/>
  <c r="J46" i="1"/>
  <c r="P48" i="1"/>
  <c r="U78" i="1" l="1"/>
  <c r="O78" i="1"/>
  <c r="P78" i="1"/>
  <c r="R78" i="1"/>
  <c r="M78" i="1"/>
  <c r="M77" i="1" s="1"/>
  <c r="Q78" i="1"/>
  <c r="V78" i="1"/>
  <c r="S78" i="1"/>
  <c r="T78" i="1"/>
  <c r="N78" i="1"/>
  <c r="N71" i="1"/>
  <c r="N77" i="1"/>
  <c r="O72" i="1"/>
  <c r="O71" i="1" s="1"/>
  <c r="N60" i="1"/>
  <c r="O60" i="1" s="1"/>
  <c r="M59" i="1"/>
  <c r="M68" i="1"/>
  <c r="N68" i="1" s="1"/>
  <c r="O68" i="1" s="1"/>
  <c r="P68" i="1" s="1"/>
  <c r="Q68" i="1" s="1"/>
  <c r="R68" i="1" s="1"/>
  <c r="S68" i="1" s="1"/>
  <c r="T68" i="1" s="1"/>
  <c r="U68" i="1" s="1"/>
  <c r="V68" i="1" s="1"/>
  <c r="Q55" i="1"/>
  <c r="O53" i="1"/>
  <c r="N52" i="1"/>
  <c r="N51" i="1" s="1"/>
  <c r="R54" i="1"/>
  <c r="Q48" i="1"/>
  <c r="P46" i="1"/>
  <c r="P45" i="1" s="1"/>
  <c r="U47" i="1"/>
  <c r="P60" i="1" l="1"/>
  <c r="O58" i="1"/>
  <c r="P72" i="1"/>
  <c r="P71" i="1" s="1"/>
  <c r="R55" i="1"/>
  <c r="H13" i="1"/>
  <c r="M67" i="1" s="1"/>
  <c r="P13" i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N59" i="1"/>
  <c r="N58" i="1" s="1"/>
  <c r="N57" i="1" s="1"/>
  <c r="M58" i="1"/>
  <c r="M57" i="1" s="1"/>
  <c r="P53" i="1"/>
  <c r="O52" i="1"/>
  <c r="O51" i="1" s="1"/>
  <c r="S54" i="1"/>
  <c r="R48" i="1"/>
  <c r="Q46" i="1"/>
  <c r="Q45" i="1" s="1"/>
  <c r="Q60" i="1" l="1"/>
  <c r="P58" i="1"/>
  <c r="O77" i="1"/>
  <c r="S55" i="1"/>
  <c r="M63" i="1"/>
  <c r="N63" i="1"/>
  <c r="Q72" i="1"/>
  <c r="Q71" i="1" s="1"/>
  <c r="N67" i="1"/>
  <c r="M66" i="1"/>
  <c r="M65" i="1" s="1"/>
  <c r="O57" i="1"/>
  <c r="Q53" i="1"/>
  <c r="P52" i="1"/>
  <c r="P51" i="1" s="1"/>
  <c r="T54" i="1"/>
  <c r="S48" i="1"/>
  <c r="R46" i="1"/>
  <c r="R45" i="1" s="1"/>
  <c r="R60" i="1" l="1"/>
  <c r="Q58" i="1"/>
  <c r="M80" i="1"/>
  <c r="M81" i="1" s="1"/>
  <c r="Q77" i="1"/>
  <c r="P77" i="1"/>
  <c r="T55" i="1"/>
  <c r="O63" i="1"/>
  <c r="R72" i="1"/>
  <c r="R71" i="1" s="1"/>
  <c r="O67" i="1"/>
  <c r="N66" i="1"/>
  <c r="N65" i="1" s="1"/>
  <c r="N80" i="1" s="1"/>
  <c r="N81" i="1" s="1"/>
  <c r="P57" i="1"/>
  <c r="R53" i="1"/>
  <c r="Q52" i="1"/>
  <c r="Q51" i="1" s="1"/>
  <c r="U54" i="1"/>
  <c r="T48" i="1"/>
  <c r="S46" i="1"/>
  <c r="S45" i="1" s="1"/>
  <c r="S60" i="1" l="1"/>
  <c r="R58" i="1"/>
  <c r="U55" i="1"/>
  <c r="R77" i="1"/>
  <c r="P63" i="1"/>
  <c r="S72" i="1"/>
  <c r="S71" i="1" s="1"/>
  <c r="P67" i="1"/>
  <c r="O66" i="1"/>
  <c r="O65" i="1" s="1"/>
  <c r="O80" i="1" s="1"/>
  <c r="O81" i="1" s="1"/>
  <c r="Q57" i="1"/>
  <c r="S53" i="1"/>
  <c r="R52" i="1"/>
  <c r="R51" i="1" s="1"/>
  <c r="V54" i="1"/>
  <c r="U48" i="1"/>
  <c r="U46" i="1" s="1"/>
  <c r="T46" i="1"/>
  <c r="T45" i="1" s="1"/>
  <c r="T60" i="1" l="1"/>
  <c r="S58" i="1"/>
  <c r="T77" i="1"/>
  <c r="S77" i="1"/>
  <c r="Q63" i="1"/>
  <c r="T72" i="1"/>
  <c r="T71" i="1" s="1"/>
  <c r="Q67" i="1"/>
  <c r="P66" i="1"/>
  <c r="P65" i="1" s="1"/>
  <c r="P80" i="1" s="1"/>
  <c r="P81" i="1" s="1"/>
  <c r="R57" i="1"/>
  <c r="T53" i="1"/>
  <c r="S52" i="1"/>
  <c r="S51" i="1" s="1"/>
  <c r="V55" i="1"/>
  <c r="U45" i="1"/>
  <c r="U60" i="1" l="1"/>
  <c r="T58" i="1"/>
  <c r="V45" i="1"/>
  <c r="V77" i="1" s="1"/>
  <c r="U77" i="1"/>
  <c r="R63" i="1"/>
  <c r="U72" i="1"/>
  <c r="U71" i="1" s="1"/>
  <c r="V72" i="1"/>
  <c r="R67" i="1"/>
  <c r="Q66" i="1"/>
  <c r="Q65" i="1" s="1"/>
  <c r="Q80" i="1" s="1"/>
  <c r="Q81" i="1" s="1"/>
  <c r="S57" i="1"/>
  <c r="U53" i="1"/>
  <c r="T52" i="1"/>
  <c r="T51" i="1" s="1"/>
  <c r="V60" i="1" l="1"/>
  <c r="V58" i="1" s="1"/>
  <c r="U58" i="1"/>
  <c r="V71" i="1"/>
  <c r="S63" i="1"/>
  <c r="S67" i="1"/>
  <c r="R66" i="1"/>
  <c r="R65" i="1" s="1"/>
  <c r="R80" i="1" s="1"/>
  <c r="R81" i="1" s="1"/>
  <c r="T57" i="1"/>
  <c r="V53" i="1"/>
  <c r="V52" i="1" s="1"/>
  <c r="V51" i="1" s="1"/>
  <c r="U52" i="1"/>
  <c r="U51" i="1" s="1"/>
  <c r="T63" i="1" l="1"/>
  <c r="T67" i="1"/>
  <c r="S66" i="1"/>
  <c r="S65" i="1" s="1"/>
  <c r="S80" i="1" s="1"/>
  <c r="S81" i="1" s="1"/>
  <c r="U57" i="1"/>
  <c r="V57" i="1"/>
  <c r="V63" i="1" l="1"/>
  <c r="U63" i="1"/>
  <c r="U67" i="1"/>
  <c r="T66" i="1"/>
  <c r="T65" i="1" s="1"/>
  <c r="T80" i="1" s="1"/>
  <c r="T81" i="1" s="1"/>
  <c r="V67" i="1" l="1"/>
  <c r="V66" i="1" s="1"/>
  <c r="V65" i="1" s="1"/>
  <c r="V80" i="1" s="1"/>
  <c r="V81" i="1" s="1"/>
  <c r="U66" i="1"/>
  <c r="U65" i="1" s="1"/>
  <c r="U80" i="1" s="1"/>
  <c r="U81" i="1" s="1"/>
  <c r="V82" i="1" l="1"/>
  <c r="V83" i="1" s="1"/>
  <c r="V84" i="1" l="1"/>
  <c r="V87" i="1" s="1"/>
  <c r="V89" i="1" s="1"/>
  <c r="G4" i="1" l="1"/>
  <c r="J5" i="1" s="1"/>
  <c r="C94" i="1"/>
</calcChain>
</file>

<file path=xl/sharedStrings.xml><?xml version="1.0" encoding="utf-8"?>
<sst xmlns="http://schemas.openxmlformats.org/spreadsheetml/2006/main" count="125" uniqueCount="68">
  <si>
    <t>Google DCF</t>
  </si>
  <si>
    <t xml:space="preserve">x </t>
  </si>
  <si>
    <t>Ticker</t>
  </si>
  <si>
    <t>Date</t>
  </si>
  <si>
    <t>x</t>
  </si>
  <si>
    <t>GOOGL</t>
  </si>
  <si>
    <t>4/27/2022</t>
  </si>
  <si>
    <t>Assumptions</t>
  </si>
  <si>
    <t>Income Statement</t>
  </si>
  <si>
    <t>Revenue</t>
  </si>
  <si>
    <t>% growth</t>
  </si>
  <si>
    <t>EBIT</t>
  </si>
  <si>
    <t>% revenue</t>
  </si>
  <si>
    <t>% of EBIT</t>
  </si>
  <si>
    <t>Taxes</t>
  </si>
  <si>
    <t>Cash Flow Items</t>
  </si>
  <si>
    <t>D&amp;A</t>
  </si>
  <si>
    <t>% of revenue</t>
  </si>
  <si>
    <t>% of CapEx</t>
  </si>
  <si>
    <t>Capital Expenditures</t>
  </si>
  <si>
    <t>% of change in revenue</t>
  </si>
  <si>
    <t>Change in NWC</t>
  </si>
  <si>
    <t>DCF</t>
  </si>
  <si>
    <t>Conservative Case</t>
  </si>
  <si>
    <t>Base Case - Street Estimates</t>
  </si>
  <si>
    <t>Optimistic  Case</t>
  </si>
  <si>
    <t>Switches</t>
  </si>
  <si>
    <t>Revenue Growth</t>
  </si>
  <si>
    <t>EBIT Margin</t>
  </si>
  <si>
    <t>WAAC</t>
  </si>
  <si>
    <t>TGR</t>
  </si>
  <si>
    <t>Valuation Assumptions</t>
  </si>
  <si>
    <t>Base Case</t>
  </si>
  <si>
    <t>Optimistic Case</t>
  </si>
  <si>
    <t>Revenue 2031</t>
  </si>
  <si>
    <t>Revenue 2022</t>
  </si>
  <si>
    <t>EBIT 2022</t>
  </si>
  <si>
    <t>WACC</t>
  </si>
  <si>
    <t>EBIAT</t>
  </si>
  <si>
    <t>CapEx</t>
  </si>
  <si>
    <t>CapEx 2031</t>
  </si>
  <si>
    <t>Unlevered Free Cash Flow</t>
  </si>
  <si>
    <t>Present Value of Free Cash Flow</t>
  </si>
  <si>
    <t>Terminal Value</t>
  </si>
  <si>
    <t>Present Value of Terminal Value</t>
  </si>
  <si>
    <t>Enterprise Value</t>
  </si>
  <si>
    <t>(+) Cash</t>
  </si>
  <si>
    <t>(-) Debt</t>
  </si>
  <si>
    <t>Equity Value</t>
  </si>
  <si>
    <t>Share Price</t>
  </si>
  <si>
    <t>Basic Shares</t>
  </si>
  <si>
    <t>Sensitivity Analysis</t>
  </si>
  <si>
    <t>Terminal Growth Rate</t>
  </si>
  <si>
    <t>Implied Share Price</t>
  </si>
  <si>
    <t>Current Share Price</t>
  </si>
  <si>
    <t>Upside</t>
  </si>
  <si>
    <t>Font Color Coding</t>
  </si>
  <si>
    <t>Black</t>
  </si>
  <si>
    <t>Calculated Value</t>
  </si>
  <si>
    <t>Purple</t>
  </si>
  <si>
    <t>Linked within same sheet</t>
  </si>
  <si>
    <t>Green</t>
  </si>
  <si>
    <t>Linked to another sheet</t>
  </si>
  <si>
    <t>Red</t>
  </si>
  <si>
    <t>Grey Highlight</t>
  </si>
  <si>
    <t>Unreliable Data</t>
  </si>
  <si>
    <t>Data (Sourced from factset via id/rareliquid) (in millions)</t>
  </si>
  <si>
    <t>Data sourced externally/ Hard 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</si>
</sst>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??_ ;_ @_ "/>
    <numFmt numFmtId="165" formatCode="0.0%"/>
    <numFmt numFmtId="166" formatCode="#,##0.00;[Red]#,##0.00"/>
    <numFmt numFmtId="167" formatCode="#,##0;[Red]#,##0"/>
    <numFmt numFmtId="168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/>
      <right/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/>
      <bottom/>
      <diagonal/>
    </border>
    <border>
      <left/>
      <right style="medium">
        <color theme="0" tint="-4.9989318521683403E-2"/>
      </right>
      <top/>
      <bottom/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2" borderId="2" xfId="0" applyFill="1" applyBorder="1"/>
    <xf numFmtId="0" fontId="2" fillId="3" borderId="0" xfId="0" applyFont="1" applyFill="1"/>
    <xf numFmtId="0" fontId="5" fillId="0" borderId="0" xfId="0" applyFont="1"/>
    <xf numFmtId="3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9" fontId="5" fillId="0" borderId="0" xfId="0" applyNumberFormat="1" applyFont="1"/>
    <xf numFmtId="3" fontId="6" fillId="0" borderId="0" xfId="1" applyNumberFormat="1" applyFont="1"/>
    <xf numFmtId="3" fontId="7" fillId="0" borderId="0" xfId="1" applyNumberFormat="1" applyFont="1"/>
    <xf numFmtId="3" fontId="7" fillId="4" borderId="0" xfId="1" applyNumberFormat="1" applyFont="1" applyFill="1"/>
    <xf numFmtId="166" fontId="0" fillId="0" borderId="0" xfId="0" applyNumberFormat="1"/>
    <xf numFmtId="167" fontId="8" fillId="0" borderId="0" xfId="0" applyNumberFormat="1" applyFont="1"/>
    <xf numFmtId="164" fontId="9" fillId="0" borderId="0" xfId="0" applyNumberFormat="1" applyFont="1"/>
    <xf numFmtId="0" fontId="3" fillId="0" borderId="0" xfId="0" applyFont="1"/>
    <xf numFmtId="0" fontId="0" fillId="2" borderId="2" xfId="0" applyFill="1" applyBorder="1" applyAlignment="1">
      <alignment horizontal="center"/>
    </xf>
    <xf numFmtId="9" fontId="0" fillId="0" borderId="0" xfId="0" applyNumberFormat="1"/>
    <xf numFmtId="165" fontId="10" fillId="2" borderId="2" xfId="0" applyNumberFormat="1" applyFont="1" applyFill="1" applyBorder="1"/>
    <xf numFmtId="165" fontId="5" fillId="2" borderId="2" xfId="0" applyNumberFormat="1" applyFont="1" applyFill="1" applyBorder="1"/>
    <xf numFmtId="165" fontId="11" fillId="2" borderId="2" xfId="0" applyNumberFormat="1" applyFont="1" applyFill="1" applyBorder="1"/>
    <xf numFmtId="165" fontId="5" fillId="0" borderId="0" xfId="0" applyNumberFormat="1" applyFont="1"/>
    <xf numFmtId="0" fontId="12" fillId="5" borderId="0" xfId="0" applyFont="1" applyFill="1"/>
    <xf numFmtId="164" fontId="12" fillId="5" borderId="0" xfId="0" applyNumberFormat="1" applyFont="1" applyFill="1"/>
    <xf numFmtId="165" fontId="0" fillId="2" borderId="2" xfId="0" applyNumberFormat="1" applyFill="1" applyBorder="1" applyAlignment="1">
      <alignment horizontal="center"/>
    </xf>
    <xf numFmtId="165" fontId="0" fillId="0" borderId="0" xfId="0" applyNumberFormat="1"/>
    <xf numFmtId="168" fontId="0" fillId="0" borderId="0" xfId="0" applyNumberFormat="1"/>
    <xf numFmtId="44" fontId="0" fillId="0" borderId="0" xfId="2" applyFont="1"/>
    <xf numFmtId="2" fontId="0" fillId="6" borderId="0" xfId="0" applyNumberFormat="1" applyFill="1"/>
    <xf numFmtId="165" fontId="0" fillId="6" borderId="0" xfId="0" applyNumberFormat="1" applyFill="1"/>
    <xf numFmtId="0" fontId="0" fillId="6" borderId="3" xfId="0" applyFill="1" applyBorder="1"/>
    <xf numFmtId="0" fontId="0" fillId="6" borderId="4" xfId="0" applyFill="1" applyBorder="1"/>
    <xf numFmtId="164" fontId="0" fillId="6" borderId="4" xfId="0" applyNumberFormat="1" applyFill="1" applyBorder="1"/>
    <xf numFmtId="164" fontId="0" fillId="6" borderId="5" xfId="0" applyNumberFormat="1" applyFill="1" applyBorder="1"/>
    <xf numFmtId="0" fontId="0" fillId="6" borderId="6" xfId="0" applyFill="1" applyBorder="1"/>
    <xf numFmtId="165" fontId="0" fillId="6" borderId="7" xfId="0" applyNumberFormat="1" applyFill="1" applyBorder="1"/>
    <xf numFmtId="0" fontId="0" fillId="6" borderId="8" xfId="0" applyFill="1" applyBorder="1"/>
    <xf numFmtId="165" fontId="0" fillId="6" borderId="9" xfId="0" applyNumberFormat="1" applyFill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0" fillId="3" borderId="0" xfId="0" applyFill="1"/>
    <xf numFmtId="0" fontId="13" fillId="0" borderId="0" xfId="0" applyFont="1"/>
    <xf numFmtId="0" fontId="14" fillId="0" borderId="0" xfId="0" applyFont="1"/>
    <xf numFmtId="40" fontId="0" fillId="0" borderId="0" xfId="0" applyNumberFormat="1"/>
    <xf numFmtId="38" fontId="8" fillId="0" borderId="0" xfId="0" applyNumberFormat="1" applyFont="1"/>
    <xf numFmtId="0" fontId="15" fillId="0" borderId="0" xfId="0" applyFont="1"/>
    <xf numFmtId="0" fontId="16" fillId="4" borderId="0" xfId="0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99"/>
  <sheetViews>
    <sheetView showGridLines="0" tabSelected="1" topLeftCell="A48" zoomScale="66" zoomScaleNormal="66" workbookViewId="0">
      <selection activeCell="V80" sqref="V80"/>
    </sheetView>
  </sheetViews>
  <sheetFormatPr defaultRowHeight="14.4" outlineLevelRow="1" x14ac:dyDescent="0.3"/>
  <cols>
    <col min="1" max="1" width="3.77734375" customWidth="1"/>
    <col min="3" max="3" width="9.77734375" customWidth="1"/>
    <col min="4" max="5" width="11.77734375" customWidth="1"/>
    <col min="6" max="12" width="11.77734375" style="8" customWidth="1"/>
    <col min="13" max="21" width="11.77734375" customWidth="1"/>
    <col min="22" max="22" width="12.77734375" customWidth="1"/>
  </cols>
  <sheetData>
    <row r="2" spans="1:18" s="1" customFormat="1" ht="21" x14ac:dyDescent="0.4">
      <c r="B2" s="2" t="s">
        <v>0</v>
      </c>
      <c r="F2" s="7"/>
      <c r="G2" s="7"/>
      <c r="H2" s="7"/>
      <c r="I2" s="7"/>
      <c r="J2" s="7"/>
      <c r="K2" s="7"/>
      <c r="L2" s="7"/>
    </row>
    <row r="4" spans="1:18" x14ac:dyDescent="0.3">
      <c r="A4" t="s">
        <v>4</v>
      </c>
      <c r="B4" t="s">
        <v>2</v>
      </c>
      <c r="C4" s="18" t="s">
        <v>5</v>
      </c>
      <c r="E4" t="s">
        <v>53</v>
      </c>
      <c r="G4" s="29">
        <f ca="1">V89</f>
        <v>3016.3268636976682</v>
      </c>
    </row>
    <row r="5" spans="1:18" x14ac:dyDescent="0.3">
      <c r="B5" t="s">
        <v>3</v>
      </c>
      <c r="C5" s="3" t="s">
        <v>6</v>
      </c>
      <c r="E5" t="s">
        <v>54</v>
      </c>
      <c r="G5" s="29">
        <v>2285.59</v>
      </c>
      <c r="I5" s="8" t="s">
        <v>55</v>
      </c>
      <c r="J5" s="19">
        <f ca="1">G4/G5-1</f>
        <v>0.31971476235793306</v>
      </c>
    </row>
    <row r="7" spans="1:18" x14ac:dyDescent="0.3">
      <c r="A7" t="s">
        <v>1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B8" s="17" t="s">
        <v>26</v>
      </c>
      <c r="F8" s="17" t="s">
        <v>23</v>
      </c>
      <c r="G8"/>
      <c r="H8"/>
      <c r="I8"/>
      <c r="J8" s="17" t="s">
        <v>32</v>
      </c>
      <c r="K8"/>
      <c r="L8"/>
      <c r="N8" s="17" t="s">
        <v>33</v>
      </c>
    </row>
    <row r="9" spans="1:18" x14ac:dyDescent="0.3">
      <c r="B9" t="s">
        <v>27</v>
      </c>
      <c r="D9" s="18">
        <v>2</v>
      </c>
      <c r="F9" t="s">
        <v>35</v>
      </c>
      <c r="G9"/>
      <c r="H9" s="26">
        <f>M48-1%</f>
        <v>0.1506329836164837</v>
      </c>
      <c r="I9"/>
      <c r="N9" t="s">
        <v>35</v>
      </c>
      <c r="P9" s="26">
        <f>M48+1%</f>
        <v>0.17063298361648371</v>
      </c>
    </row>
    <row r="10" spans="1:18" x14ac:dyDescent="0.3">
      <c r="B10" t="s">
        <v>28</v>
      </c>
      <c r="D10" s="18">
        <v>1</v>
      </c>
      <c r="F10" t="s">
        <v>34</v>
      </c>
      <c r="G10"/>
      <c r="H10" s="26">
        <v>0.03</v>
      </c>
      <c r="I10"/>
      <c r="J10" t="s">
        <v>34</v>
      </c>
      <c r="K10"/>
      <c r="L10" s="26">
        <v>0.05</v>
      </c>
      <c r="N10" t="s">
        <v>34</v>
      </c>
      <c r="P10" s="26">
        <v>7.0000000000000007E-2</v>
      </c>
    </row>
    <row r="11" spans="1:18" x14ac:dyDescent="0.3">
      <c r="B11" t="s">
        <v>14</v>
      </c>
      <c r="D11" s="18">
        <v>2</v>
      </c>
      <c r="F11" t="s">
        <v>36</v>
      </c>
      <c r="G11"/>
      <c r="H11" s="26">
        <f>M54-1%</f>
        <v>0.27997197530616474</v>
      </c>
      <c r="I11"/>
      <c r="J11"/>
      <c r="K11"/>
      <c r="L11" s="27"/>
      <c r="N11" t="s">
        <v>36</v>
      </c>
      <c r="P11" s="26">
        <f>M54+1%</f>
        <v>0.29997197530616476</v>
      </c>
    </row>
    <row r="12" spans="1:18" x14ac:dyDescent="0.3">
      <c r="B12" s="8" t="s">
        <v>16</v>
      </c>
      <c r="C12" s="8"/>
      <c r="D12" s="18">
        <v>2</v>
      </c>
      <c r="F12" t="s">
        <v>14</v>
      </c>
      <c r="H12" s="26">
        <v>0.25</v>
      </c>
      <c r="I12"/>
      <c r="J12"/>
      <c r="K12"/>
      <c r="L12" s="27"/>
      <c r="N12" t="s">
        <v>14</v>
      </c>
      <c r="O12" s="8"/>
      <c r="P12" s="26">
        <v>0.17</v>
      </c>
    </row>
    <row r="13" spans="1:18" x14ac:dyDescent="0.3">
      <c r="B13" s="8" t="s">
        <v>39</v>
      </c>
      <c r="C13" s="8"/>
      <c r="D13" s="18">
        <v>2</v>
      </c>
      <c r="F13" s="8" t="s">
        <v>16</v>
      </c>
      <c r="H13" s="26">
        <f>M68-0.5%</f>
        <v>5.0898736019312225E-2</v>
      </c>
      <c r="I13"/>
      <c r="L13" s="27"/>
      <c r="N13" s="8" t="s">
        <v>16</v>
      </c>
      <c r="O13" s="8"/>
      <c r="P13" s="26">
        <f>M68+0.5%</f>
        <v>6.089873601931222E-2</v>
      </c>
    </row>
    <row r="14" spans="1:18" x14ac:dyDescent="0.3">
      <c r="B14" t="s">
        <v>29</v>
      </c>
      <c r="D14" s="18">
        <v>2</v>
      </c>
      <c r="F14" s="8" t="s">
        <v>40</v>
      </c>
      <c r="H14" s="26">
        <v>0.09</v>
      </c>
      <c r="J14" s="8" t="s">
        <v>40</v>
      </c>
      <c r="L14" s="26">
        <v>7.0000000000000007E-2</v>
      </c>
      <c r="N14" s="8" t="s">
        <v>39</v>
      </c>
      <c r="O14" s="8"/>
      <c r="P14" s="26">
        <v>0.05</v>
      </c>
    </row>
    <row r="15" spans="1:18" x14ac:dyDescent="0.3">
      <c r="B15" t="s">
        <v>30</v>
      </c>
      <c r="D15" s="18">
        <v>1</v>
      </c>
      <c r="F15" s="8" t="s">
        <v>37</v>
      </c>
      <c r="H15" s="26">
        <v>0.09</v>
      </c>
      <c r="J15" s="8" t="s">
        <v>37</v>
      </c>
      <c r="L15" s="26">
        <v>0.08</v>
      </c>
      <c r="N15" s="8" t="s">
        <v>37</v>
      </c>
      <c r="O15" s="8"/>
      <c r="P15" s="26">
        <v>7.0000000000000007E-2</v>
      </c>
    </row>
    <row r="16" spans="1:18" x14ac:dyDescent="0.3">
      <c r="F16" s="8" t="s">
        <v>30</v>
      </c>
      <c r="H16" s="26">
        <v>2.5000000000000001E-2</v>
      </c>
      <c r="J16" s="8" t="s">
        <v>30</v>
      </c>
      <c r="L16" s="26">
        <v>0.03</v>
      </c>
      <c r="N16" s="8" t="s">
        <v>30</v>
      </c>
      <c r="O16" s="8"/>
      <c r="P16" s="26">
        <v>3.5000000000000003E-2</v>
      </c>
    </row>
    <row r="17" spans="1:18" x14ac:dyDescent="0.3">
      <c r="B17" s="17" t="s">
        <v>31</v>
      </c>
    </row>
    <row r="18" spans="1:18" x14ac:dyDescent="0.3">
      <c r="B18" t="s">
        <v>29</v>
      </c>
      <c r="D18" s="26">
        <f>CHOOSE(D14,H15,L15,P15)</f>
        <v>0.08</v>
      </c>
      <c r="G18"/>
      <c r="H18"/>
      <c r="I18"/>
      <c r="J18"/>
      <c r="K18"/>
      <c r="L18"/>
    </row>
    <row r="19" spans="1:18" x14ac:dyDescent="0.3">
      <c r="B19" t="s">
        <v>30</v>
      </c>
      <c r="D19" s="26">
        <f>CHOOSE(D15,H16,L16,P16)</f>
        <v>2.5000000000000001E-2</v>
      </c>
      <c r="G19"/>
      <c r="H19"/>
      <c r="I19"/>
      <c r="J19"/>
      <c r="K19"/>
      <c r="L19"/>
    </row>
    <row r="20" spans="1:18" x14ac:dyDescent="0.3">
      <c r="G20"/>
      <c r="H20"/>
      <c r="I20"/>
      <c r="J20"/>
      <c r="K20"/>
      <c r="L20"/>
    </row>
    <row r="21" spans="1:18" outlineLevel="1" x14ac:dyDescent="0.3">
      <c r="A21" t="s">
        <v>1</v>
      </c>
      <c r="B21" s="4" t="s">
        <v>8</v>
      </c>
      <c r="C21" s="4"/>
      <c r="D21" s="4"/>
      <c r="E21" s="4"/>
      <c r="F21" s="4">
        <v>2015</v>
      </c>
      <c r="G21" s="4">
        <f>F21+1</f>
        <v>2016</v>
      </c>
      <c r="H21" s="4">
        <f t="shared" ref="H21:R21" si="0">G21+1</f>
        <v>2017</v>
      </c>
      <c r="I21" s="4">
        <f t="shared" si="0"/>
        <v>2018</v>
      </c>
      <c r="J21" s="4">
        <f t="shared" si="0"/>
        <v>2019</v>
      </c>
      <c r="K21" s="4">
        <f t="shared" si="0"/>
        <v>2020</v>
      </c>
      <c r="L21" s="4">
        <f t="shared" si="0"/>
        <v>2021</v>
      </c>
      <c r="M21" s="4">
        <f t="shared" si="0"/>
        <v>2022</v>
      </c>
      <c r="N21" s="4">
        <f t="shared" si="0"/>
        <v>2023</v>
      </c>
      <c r="O21" s="4">
        <f t="shared" si="0"/>
        <v>2024</v>
      </c>
      <c r="P21" s="4">
        <f t="shared" si="0"/>
        <v>2025</v>
      </c>
      <c r="Q21" s="4">
        <f t="shared" si="0"/>
        <v>2026</v>
      </c>
      <c r="R21" s="4">
        <f t="shared" si="0"/>
        <v>2027</v>
      </c>
    </row>
    <row r="22" spans="1:18" outlineLevel="1" x14ac:dyDescent="0.3">
      <c r="B22" t="s">
        <v>9</v>
      </c>
      <c r="F22" s="11">
        <f>Data!D4</f>
        <v>74989</v>
      </c>
      <c r="G22" s="11">
        <f>Data!E4</f>
        <v>90272</v>
      </c>
      <c r="H22" s="11">
        <f>Data!F4</f>
        <v>110855</v>
      </c>
      <c r="I22" s="11">
        <f>Data!G4</f>
        <v>136819</v>
      </c>
      <c r="J22" s="11">
        <f>Data!H4</f>
        <v>161857</v>
      </c>
      <c r="K22" s="11">
        <f>Data!I4</f>
        <v>182527</v>
      </c>
      <c r="L22" s="11">
        <f>Data!J4</f>
        <v>257637</v>
      </c>
      <c r="M22" s="12">
        <v>299022</v>
      </c>
      <c r="N22" s="12">
        <v>344842</v>
      </c>
      <c r="O22" s="12">
        <v>394368</v>
      </c>
      <c r="P22" s="13">
        <v>438634</v>
      </c>
      <c r="Q22" s="13">
        <v>506357</v>
      </c>
      <c r="R22" s="13">
        <v>560626</v>
      </c>
    </row>
    <row r="23" spans="1:18" outlineLevel="1" x14ac:dyDescent="0.3">
      <c r="B23" s="5" t="s">
        <v>10</v>
      </c>
      <c r="F23" s="9"/>
      <c r="G23" s="10">
        <f>G22/F22-1</f>
        <v>0.20380322447292265</v>
      </c>
      <c r="H23" s="10">
        <f t="shared" ref="H23:L23" si="1">H22/G22-1</f>
        <v>0.22801090038993266</v>
      </c>
      <c r="I23" s="10">
        <f t="shared" si="1"/>
        <v>0.23421586757475987</v>
      </c>
      <c r="J23" s="10">
        <f t="shared" si="1"/>
        <v>0.18300089899794614</v>
      </c>
      <c r="K23" s="10">
        <f t="shared" si="1"/>
        <v>0.12770532012826141</v>
      </c>
      <c r="L23" s="10">
        <f t="shared" si="1"/>
        <v>0.41150076427049154</v>
      </c>
      <c r="M23" s="10">
        <f t="shared" ref="M23" si="2">M22/L22-1</f>
        <v>0.1606329836164837</v>
      </c>
      <c r="N23" s="10">
        <f t="shared" ref="N23" si="3">N22/M22-1</f>
        <v>0.1532328724976757</v>
      </c>
      <c r="O23" s="10">
        <f t="shared" ref="O23" si="4">O22/N22-1</f>
        <v>0.14361939670921764</v>
      </c>
      <c r="P23" s="10">
        <f t="shared" ref="P23" si="5">P22/O22-1</f>
        <v>0.11224541544952937</v>
      </c>
      <c r="Q23" s="10">
        <f t="shared" ref="Q23" si="6">Q22/P22-1</f>
        <v>0.15439523611940698</v>
      </c>
      <c r="R23" s="10">
        <f t="shared" ref="R23" si="7">R22/Q22-1</f>
        <v>0.10717537231636975</v>
      </c>
    </row>
    <row r="24" spans="1:18" outlineLevel="1" x14ac:dyDescent="0.3">
      <c r="F24" s="9"/>
      <c r="G24" s="9"/>
      <c r="H24" s="9"/>
      <c r="I24" s="9"/>
      <c r="J24" s="9"/>
      <c r="K24" s="9"/>
      <c r="L24" s="9"/>
    </row>
    <row r="25" spans="1:18" outlineLevel="1" x14ac:dyDescent="0.3">
      <c r="B25" t="s">
        <v>11</v>
      </c>
      <c r="F25" s="11">
        <f>Data!D5</f>
        <v>19360</v>
      </c>
      <c r="G25" s="11">
        <f>Data!E5</f>
        <v>23716</v>
      </c>
      <c r="H25" s="11">
        <f>Data!F5</f>
        <v>26146</v>
      </c>
      <c r="I25" s="11">
        <f>Data!G5</f>
        <v>26953</v>
      </c>
      <c r="J25" s="11">
        <f>Data!H5</f>
        <v>34231</v>
      </c>
      <c r="K25" s="11">
        <f>Data!I5</f>
        <v>41224</v>
      </c>
      <c r="L25" s="11">
        <f>Data!J5</f>
        <v>78714</v>
      </c>
      <c r="M25" s="12">
        <v>86708</v>
      </c>
      <c r="N25" s="12">
        <v>100865</v>
      </c>
      <c r="O25" s="12">
        <v>118461</v>
      </c>
      <c r="P25" s="13">
        <v>136283</v>
      </c>
      <c r="Q25" s="13">
        <v>153461</v>
      </c>
      <c r="R25" s="13">
        <v>173210</v>
      </c>
    </row>
    <row r="26" spans="1:18" outlineLevel="1" x14ac:dyDescent="0.3">
      <c r="B26" s="5" t="s">
        <v>12</v>
      </c>
      <c r="F26" s="10">
        <f>F25/F22</f>
        <v>0.25817119844243824</v>
      </c>
      <c r="G26" s="10">
        <f t="shared" ref="G26:L26" si="8">G25/G22</f>
        <v>0.26271712158808935</v>
      </c>
      <c r="H26" s="10">
        <f t="shared" si="8"/>
        <v>0.23585765188760091</v>
      </c>
      <c r="I26" s="10">
        <f t="shared" si="8"/>
        <v>0.19699749303824762</v>
      </c>
      <c r="J26" s="10">
        <f t="shared" si="8"/>
        <v>0.21148915400631421</v>
      </c>
      <c r="K26" s="10">
        <f t="shared" si="8"/>
        <v>0.22585151785763202</v>
      </c>
      <c r="L26" s="10">
        <f t="shared" si="8"/>
        <v>0.3055228868524319</v>
      </c>
      <c r="M26" s="10">
        <f t="shared" ref="M26" si="9">M25/M22</f>
        <v>0.28997197530616475</v>
      </c>
      <c r="N26" s="10">
        <f t="shared" ref="N26" si="10">N25/N22</f>
        <v>0.2924962736557612</v>
      </c>
      <c r="O26" s="10">
        <f t="shared" ref="O26" si="11">O25/O22</f>
        <v>0.30038187682570594</v>
      </c>
      <c r="P26" s="10">
        <f t="shared" ref="P26" si="12">P25/P22</f>
        <v>0.31069866904982285</v>
      </c>
      <c r="Q26" s="10">
        <f t="shared" ref="Q26" si="13">Q25/Q22</f>
        <v>0.30306878348674948</v>
      </c>
      <c r="R26" s="10">
        <f t="shared" ref="R26" si="14">R25/R22</f>
        <v>0.30895820029752458</v>
      </c>
    </row>
    <row r="27" spans="1:18" outlineLevel="1" x14ac:dyDescent="0.3">
      <c r="F27" s="9"/>
      <c r="G27" s="9"/>
      <c r="H27" s="9"/>
      <c r="I27" s="9"/>
      <c r="J27" s="9"/>
      <c r="K27" s="9"/>
      <c r="L27" s="9"/>
    </row>
    <row r="28" spans="1:18" outlineLevel="1" x14ac:dyDescent="0.3">
      <c r="B28" t="s">
        <v>14</v>
      </c>
      <c r="F28" s="11">
        <f>Data!D6</f>
        <v>3232</v>
      </c>
      <c r="G28" s="11">
        <f>Data!E6</f>
        <v>4672</v>
      </c>
      <c r="H28" s="11">
        <f>Data!F6</f>
        <v>14531</v>
      </c>
      <c r="I28" s="11">
        <f>Data!G6</f>
        <v>4177</v>
      </c>
      <c r="J28" s="11">
        <f>Data!H6</f>
        <v>5282</v>
      </c>
      <c r="K28" s="11">
        <f>Data!I6</f>
        <v>7813</v>
      </c>
      <c r="L28" s="11">
        <f>Data!J6</f>
        <v>14701</v>
      </c>
    </row>
    <row r="29" spans="1:18" outlineLevel="1" x14ac:dyDescent="0.3">
      <c r="B29" s="5" t="s">
        <v>13</v>
      </c>
      <c r="F29" s="10">
        <f>F28/F25</f>
        <v>0.16694214876033059</v>
      </c>
      <c r="G29" s="10">
        <f t="shared" ref="G29:L29" si="15">G28/G25</f>
        <v>0.19699780738741779</v>
      </c>
      <c r="H29" s="10">
        <f t="shared" si="15"/>
        <v>0.55576378795991743</v>
      </c>
      <c r="I29" s="10">
        <f t="shared" si="15"/>
        <v>0.1549734723407413</v>
      </c>
      <c r="J29" s="10">
        <f t="shared" si="15"/>
        <v>0.15430457772194794</v>
      </c>
      <c r="K29" s="10">
        <f t="shared" si="15"/>
        <v>0.18952551911507859</v>
      </c>
      <c r="L29" s="10">
        <f t="shared" si="15"/>
        <v>0.18676474324770689</v>
      </c>
    </row>
    <row r="30" spans="1:18" outlineLevel="1" x14ac:dyDescent="0.3">
      <c r="F30" s="9"/>
      <c r="G30" s="9"/>
      <c r="H30" s="9"/>
      <c r="I30" s="9"/>
      <c r="J30" s="9"/>
      <c r="K30" s="9"/>
      <c r="L30" s="9"/>
    </row>
    <row r="31" spans="1:18" outlineLevel="1" x14ac:dyDescent="0.3">
      <c r="A31" t="s">
        <v>4</v>
      </c>
      <c r="B31" s="4" t="s">
        <v>15</v>
      </c>
      <c r="C31" s="4"/>
      <c r="D31" s="4"/>
      <c r="E31" s="4"/>
      <c r="F31" s="4">
        <v>2015</v>
      </c>
      <c r="G31" s="4">
        <f>F31+1</f>
        <v>2016</v>
      </c>
      <c r="H31" s="4">
        <f t="shared" ref="H31:R31" si="16">G31+1</f>
        <v>2017</v>
      </c>
      <c r="I31" s="4">
        <f t="shared" si="16"/>
        <v>2018</v>
      </c>
      <c r="J31" s="4">
        <f t="shared" si="16"/>
        <v>2019</v>
      </c>
      <c r="K31" s="4">
        <f t="shared" si="16"/>
        <v>2020</v>
      </c>
      <c r="L31" s="4">
        <f t="shared" si="16"/>
        <v>2021</v>
      </c>
      <c r="M31" s="4">
        <f t="shared" si="16"/>
        <v>2022</v>
      </c>
      <c r="N31" s="4">
        <f t="shared" si="16"/>
        <v>2023</v>
      </c>
      <c r="O31" s="4">
        <f t="shared" si="16"/>
        <v>2024</v>
      </c>
      <c r="P31" s="4">
        <f t="shared" si="16"/>
        <v>2025</v>
      </c>
      <c r="Q31" s="4">
        <f t="shared" si="16"/>
        <v>2026</v>
      </c>
      <c r="R31" s="4">
        <f t="shared" si="16"/>
        <v>2027</v>
      </c>
    </row>
    <row r="32" spans="1:18" outlineLevel="1" x14ac:dyDescent="0.3">
      <c r="B32" t="s">
        <v>16</v>
      </c>
      <c r="F32" s="11">
        <f>Data!D7</f>
        <v>4979</v>
      </c>
      <c r="G32" s="11">
        <f>Data!E7</f>
        <v>5063</v>
      </c>
      <c r="H32" s="11">
        <f>Data!F7</f>
        <v>6144</v>
      </c>
      <c r="I32" s="11">
        <f>Data!G7</f>
        <v>6915</v>
      </c>
      <c r="J32" s="11">
        <f>Data!H7</f>
        <v>9035</v>
      </c>
      <c r="K32" s="11">
        <f>Data!I7</f>
        <v>11781</v>
      </c>
      <c r="L32" s="11">
        <f>Data!J7</f>
        <v>13697</v>
      </c>
      <c r="M32" s="12">
        <v>16509</v>
      </c>
      <c r="N32" s="12">
        <v>18793</v>
      </c>
      <c r="O32" s="12">
        <v>22724</v>
      </c>
      <c r="P32" s="13">
        <v>27032</v>
      </c>
      <c r="Q32" s="13">
        <v>31356</v>
      </c>
      <c r="R32" s="13">
        <v>36065</v>
      </c>
    </row>
    <row r="33" spans="1:22" outlineLevel="1" x14ac:dyDescent="0.3">
      <c r="B33" s="5" t="s">
        <v>17</v>
      </c>
      <c r="F33" s="10">
        <f>F32/F22</f>
        <v>6.6396404806038214E-2</v>
      </c>
      <c r="G33" s="10">
        <f t="shared" ref="G33:R33" si="17">G32/G22</f>
        <v>5.6086051045728468E-2</v>
      </c>
      <c r="H33" s="10">
        <f t="shared" si="17"/>
        <v>5.5423751747778631E-2</v>
      </c>
      <c r="I33" s="10">
        <f t="shared" si="17"/>
        <v>5.0541225999312961E-2</v>
      </c>
      <c r="J33" s="10">
        <f t="shared" si="17"/>
        <v>5.582087892398846E-2</v>
      </c>
      <c r="K33" s="10">
        <f t="shared" si="17"/>
        <v>6.4543875700581288E-2</v>
      </c>
      <c r="L33" s="10">
        <f t="shared" si="17"/>
        <v>5.3163947724899761E-2</v>
      </c>
      <c r="M33" s="10">
        <f t="shared" si="17"/>
        <v>5.5209984549631802E-2</v>
      </c>
      <c r="N33" s="10">
        <f t="shared" si="17"/>
        <v>5.4497422007760074E-2</v>
      </c>
      <c r="O33" s="10">
        <f t="shared" si="17"/>
        <v>5.7621308016877634E-2</v>
      </c>
      <c r="P33" s="10">
        <f t="shared" si="17"/>
        <v>6.1627689599985408E-2</v>
      </c>
      <c r="Q33" s="10">
        <f t="shared" si="17"/>
        <v>6.1924689497725914E-2</v>
      </c>
      <c r="R33" s="10">
        <f t="shared" si="17"/>
        <v>6.4329874105018323E-2</v>
      </c>
    </row>
    <row r="34" spans="1:22" outlineLevel="1" x14ac:dyDescent="0.3">
      <c r="B34" s="5" t="s">
        <v>18</v>
      </c>
      <c r="F34" s="10">
        <f>F32/F36</f>
        <v>0.50216843166918812</v>
      </c>
      <c r="G34" s="10">
        <f t="shared" ref="G34:L34" si="18">G32/G36</f>
        <v>0.49578926752839797</v>
      </c>
      <c r="H34" s="10">
        <f t="shared" si="18"/>
        <v>0.46601941747572817</v>
      </c>
      <c r="I34" s="10">
        <f t="shared" si="18"/>
        <v>0.2750706074227296</v>
      </c>
      <c r="J34" s="10">
        <f t="shared" si="18"/>
        <v>0.38368438933242738</v>
      </c>
      <c r="K34" s="10">
        <f t="shared" si="18"/>
        <v>0.52874646559849203</v>
      </c>
      <c r="L34" s="10">
        <f t="shared" si="18"/>
        <v>0.55588474025974022</v>
      </c>
    </row>
    <row r="35" spans="1:22" outlineLevel="1" x14ac:dyDescent="0.3"/>
    <row r="36" spans="1:22" outlineLevel="1" x14ac:dyDescent="0.3">
      <c r="B36" t="s">
        <v>19</v>
      </c>
      <c r="F36" s="11">
        <f>Data!D8</f>
        <v>9915</v>
      </c>
      <c r="G36" s="11">
        <f>Data!E8</f>
        <v>10212</v>
      </c>
      <c r="H36" s="11">
        <f>Data!F8</f>
        <v>13184</v>
      </c>
      <c r="I36" s="11">
        <f>Data!G8</f>
        <v>25139</v>
      </c>
      <c r="J36" s="11">
        <f>Data!H8</f>
        <v>23548</v>
      </c>
      <c r="K36" s="11">
        <f>Data!I8</f>
        <v>22281</v>
      </c>
      <c r="L36" s="11">
        <f>Data!J8</f>
        <v>24640</v>
      </c>
      <c r="M36" s="12">
        <v>32577</v>
      </c>
      <c r="N36" s="12">
        <v>34624</v>
      </c>
      <c r="O36" s="12">
        <v>36570</v>
      </c>
      <c r="P36" s="13">
        <v>40836</v>
      </c>
      <c r="Q36" s="13">
        <v>36658</v>
      </c>
      <c r="R36" s="13">
        <v>35786</v>
      </c>
    </row>
    <row r="37" spans="1:22" outlineLevel="1" x14ac:dyDescent="0.3">
      <c r="B37" s="5" t="s">
        <v>17</v>
      </c>
      <c r="F37" s="10">
        <f>F36/F22</f>
        <v>0.13221939217751938</v>
      </c>
      <c r="G37" s="10">
        <f t="shared" ref="G37:R37" si="19">G36/G22</f>
        <v>0.11312477844735909</v>
      </c>
      <c r="H37" s="10">
        <f t="shared" si="19"/>
        <v>0.11893013395877497</v>
      </c>
      <c r="I37" s="10">
        <f t="shared" si="19"/>
        <v>0.18373910056351822</v>
      </c>
      <c r="J37" s="10">
        <f t="shared" si="19"/>
        <v>0.14548644791389931</v>
      </c>
      <c r="K37" s="10">
        <f t="shared" si="19"/>
        <v>0.12206961161910293</v>
      </c>
      <c r="L37" s="10">
        <f t="shared" si="19"/>
        <v>9.5638437025737766E-2</v>
      </c>
      <c r="M37" s="10">
        <f t="shared" si="19"/>
        <v>0.10894516122559544</v>
      </c>
      <c r="N37" s="10">
        <f t="shared" si="19"/>
        <v>0.10040540305415234</v>
      </c>
      <c r="O37" s="10">
        <f t="shared" si="19"/>
        <v>9.2730647517039924E-2</v>
      </c>
      <c r="P37" s="10">
        <f t="shared" si="19"/>
        <v>9.3098118248927358E-2</v>
      </c>
      <c r="Q37" s="10">
        <f t="shared" si="19"/>
        <v>7.2395562814377992E-2</v>
      </c>
      <c r="R37" s="10">
        <f t="shared" si="19"/>
        <v>6.38322161298263E-2</v>
      </c>
    </row>
    <row r="38" spans="1:22" outlineLevel="1" x14ac:dyDescent="0.3"/>
    <row r="39" spans="1:22" outlineLevel="1" x14ac:dyDescent="0.3"/>
    <row r="40" spans="1:22" outlineLevel="1" x14ac:dyDescent="0.3">
      <c r="B40" t="s">
        <v>21</v>
      </c>
      <c r="F40" s="47">
        <f>Data!D9</f>
        <v>-409</v>
      </c>
      <c r="G40" s="15">
        <f>Data!E9</f>
        <v>3300</v>
      </c>
      <c r="H40" s="15">
        <f>Data!F9</f>
        <v>9246</v>
      </c>
      <c r="I40" s="15">
        <f>Data!G9</f>
        <v>4908</v>
      </c>
      <c r="J40" s="15">
        <f>Data!H9</f>
        <v>819</v>
      </c>
      <c r="K40" s="15">
        <f>Data!I9</f>
        <v>1827</v>
      </c>
      <c r="L40" s="47">
        <f>Data!J9</f>
        <v>-1523</v>
      </c>
    </row>
    <row r="41" spans="1:22" outlineLevel="1" x14ac:dyDescent="0.3">
      <c r="B41" s="5" t="s">
        <v>17</v>
      </c>
      <c r="F41" s="10">
        <f>F40/F22</f>
        <v>-5.4541332728800223E-3</v>
      </c>
      <c r="G41" s="10">
        <f t="shared" ref="G41:L41" si="20">G40/G22</f>
        <v>3.6556185749734134E-2</v>
      </c>
      <c r="H41" s="10">
        <f t="shared" si="20"/>
        <v>8.3406251409498894E-2</v>
      </c>
      <c r="I41" s="10">
        <f t="shared" si="20"/>
        <v>3.5872210730965727E-2</v>
      </c>
      <c r="J41" s="10">
        <f t="shared" si="20"/>
        <v>5.0600221182896012E-3</v>
      </c>
      <c r="K41" s="10">
        <f t="shared" si="20"/>
        <v>1.0009478049822766E-2</v>
      </c>
      <c r="L41" s="10">
        <f t="shared" si="20"/>
        <v>-5.9114180028489701E-3</v>
      </c>
    </row>
    <row r="42" spans="1:22" outlineLevel="1" x14ac:dyDescent="0.3">
      <c r="B42" s="5" t="s">
        <v>20</v>
      </c>
      <c r="F42" s="10"/>
      <c r="G42" s="10">
        <f>G40/(G22-F22)</f>
        <v>0.21592619250147221</v>
      </c>
      <c r="H42" s="10">
        <f t="shared" ref="H42:L42" si="21">H40/(H22-G22)</f>
        <v>0.44920565515231015</v>
      </c>
      <c r="I42" s="10">
        <f t="shared" si="21"/>
        <v>0.18903096595285782</v>
      </c>
      <c r="J42" s="10">
        <f t="shared" si="21"/>
        <v>3.2710280373831772E-2</v>
      </c>
      <c r="K42" s="10">
        <f t="shared" si="21"/>
        <v>8.8388969521044997E-2</v>
      </c>
      <c r="L42" s="10">
        <f t="shared" si="21"/>
        <v>-2.0276927173478898E-2</v>
      </c>
    </row>
    <row r="43" spans="1:22" outlineLevel="1" x14ac:dyDescent="0.3">
      <c r="M43">
        <v>1</v>
      </c>
      <c r="N43">
        <f>M43+1</f>
        <v>2</v>
      </c>
      <c r="O43">
        <f t="shared" ref="O43:R43" si="22">N43+1</f>
        <v>3</v>
      </c>
      <c r="P43">
        <f t="shared" si="22"/>
        <v>4</v>
      </c>
      <c r="Q43">
        <f t="shared" si="22"/>
        <v>5</v>
      </c>
      <c r="R43">
        <f t="shared" si="22"/>
        <v>6</v>
      </c>
      <c r="S43">
        <f t="shared" ref="S43:V43" si="23">R43+1</f>
        <v>7</v>
      </c>
      <c r="T43">
        <f t="shared" si="23"/>
        <v>8</v>
      </c>
      <c r="U43">
        <f t="shared" si="23"/>
        <v>9</v>
      </c>
      <c r="V43">
        <f t="shared" si="23"/>
        <v>10</v>
      </c>
    </row>
    <row r="44" spans="1:22" outlineLevel="1" x14ac:dyDescent="0.3">
      <c r="A44" t="s">
        <v>4</v>
      </c>
      <c r="B44" s="4" t="s">
        <v>22</v>
      </c>
      <c r="C44" s="4"/>
      <c r="D44" s="4"/>
      <c r="E44" s="4"/>
      <c r="F44" s="4">
        <v>2015</v>
      </c>
      <c r="G44" s="4">
        <f>F44+1</f>
        <v>2016</v>
      </c>
      <c r="H44" s="4">
        <f t="shared" ref="H44:R44" si="24">G44+1</f>
        <v>2017</v>
      </c>
      <c r="I44" s="4">
        <f t="shared" si="24"/>
        <v>2018</v>
      </c>
      <c r="J44" s="4">
        <f t="shared" si="24"/>
        <v>2019</v>
      </c>
      <c r="K44" s="4">
        <f t="shared" si="24"/>
        <v>2020</v>
      </c>
      <c r="L44" s="4">
        <f t="shared" si="24"/>
        <v>2021</v>
      </c>
      <c r="M44" s="4">
        <f t="shared" si="24"/>
        <v>2022</v>
      </c>
      <c r="N44" s="4">
        <f t="shared" si="24"/>
        <v>2023</v>
      </c>
      <c r="O44" s="4">
        <f t="shared" si="24"/>
        <v>2024</v>
      </c>
      <c r="P44" s="4">
        <f t="shared" si="24"/>
        <v>2025</v>
      </c>
      <c r="Q44" s="4">
        <f t="shared" si="24"/>
        <v>2026</v>
      </c>
      <c r="R44" s="4">
        <f t="shared" si="24"/>
        <v>2027</v>
      </c>
      <c r="S44" s="4">
        <f t="shared" ref="S44:V44" si="25">R44+1</f>
        <v>2028</v>
      </c>
      <c r="T44" s="4">
        <f t="shared" si="25"/>
        <v>2029</v>
      </c>
      <c r="U44" s="4">
        <f t="shared" si="25"/>
        <v>2030</v>
      </c>
      <c r="V44" s="4">
        <f t="shared" si="25"/>
        <v>2031</v>
      </c>
    </row>
    <row r="45" spans="1:22" outlineLevel="1" x14ac:dyDescent="0.3">
      <c r="B45" t="s">
        <v>9</v>
      </c>
      <c r="F45" s="16">
        <f>F22</f>
        <v>74989</v>
      </c>
      <c r="G45" s="16">
        <f t="shared" ref="G45:L45" si="26">G22</f>
        <v>90272</v>
      </c>
      <c r="H45" s="16">
        <f t="shared" si="26"/>
        <v>110855</v>
      </c>
      <c r="I45" s="16">
        <f t="shared" si="26"/>
        <v>136819</v>
      </c>
      <c r="J45" s="16">
        <f t="shared" si="26"/>
        <v>161857</v>
      </c>
      <c r="K45" s="16">
        <f t="shared" si="26"/>
        <v>182527</v>
      </c>
      <c r="L45" s="16">
        <f t="shared" si="26"/>
        <v>257637</v>
      </c>
      <c r="M45" s="8">
        <f ca="1">L45*(1+M46)</f>
        <v>299022</v>
      </c>
      <c r="N45" s="8">
        <f t="shared" ref="N45:V45" ca="1" si="27">M45*(1+N46)</f>
        <v>344842</v>
      </c>
      <c r="O45" s="8">
        <f t="shared" ca="1" si="27"/>
        <v>394368.00000000006</v>
      </c>
      <c r="P45" s="8">
        <f t="shared" ca="1" si="27"/>
        <v>445732.53792121785</v>
      </c>
      <c r="Q45" s="8">
        <f t="shared" ca="1" si="27"/>
        <v>497825.74431288789</v>
      </c>
      <c r="R45" s="8">
        <f t="shared" ca="1" si="27"/>
        <v>549349.114870755</v>
      </c>
      <c r="S45" s="8">
        <f t="shared" ca="1" si="27"/>
        <v>598857.88463583973</v>
      </c>
      <c r="T45" s="8">
        <f t="shared" ca="1" si="27"/>
        <v>644819.26854596485</v>
      </c>
      <c r="U45" s="8">
        <f t="shared" ca="1" si="27"/>
        <v>685684.17353151343</v>
      </c>
      <c r="V45" s="8">
        <f t="shared" ca="1" si="27"/>
        <v>719968.38220808911</v>
      </c>
    </row>
    <row r="46" spans="1:22" outlineLevel="1" x14ac:dyDescent="0.3">
      <c r="B46" s="5" t="s">
        <v>10</v>
      </c>
      <c r="G46" s="10">
        <f>G45/F45-1</f>
        <v>0.20380322447292265</v>
      </c>
      <c r="H46" s="10">
        <f t="shared" ref="H46:L46" si="28">H45/G45-1</f>
        <v>0.22801090038993266</v>
      </c>
      <c r="I46" s="10">
        <f t="shared" si="28"/>
        <v>0.23421586757475987</v>
      </c>
      <c r="J46" s="10">
        <f t="shared" si="28"/>
        <v>0.18300089899794614</v>
      </c>
      <c r="K46" s="10">
        <f t="shared" si="28"/>
        <v>0.12770532012826141</v>
      </c>
      <c r="L46" s="10">
        <f t="shared" si="28"/>
        <v>0.41150076427049154</v>
      </c>
      <c r="M46" s="10">
        <f ca="1">OFFSET(M46,$D$9,0)</f>
        <v>0.1606329836164837</v>
      </c>
      <c r="N46" s="10">
        <f t="shared" ref="N46:V46" ca="1" si="29">OFFSET(N46,$D$9,0)</f>
        <v>0.1532328724976757</v>
      </c>
      <c r="O46" s="10">
        <f t="shared" ca="1" si="29"/>
        <v>0.14361939670921764</v>
      </c>
      <c r="P46" s="10">
        <f t="shared" ca="1" si="29"/>
        <v>0.13024519717932942</v>
      </c>
      <c r="Q46" s="10">
        <f t="shared" ca="1" si="29"/>
        <v>0.11687099764944119</v>
      </c>
      <c r="R46" s="10">
        <f t="shared" ca="1" si="29"/>
        <v>0.10349679811955295</v>
      </c>
      <c r="S46" s="10">
        <f t="shared" ca="1" si="29"/>
        <v>9.0122598589664718E-2</v>
      </c>
      <c r="T46" s="10">
        <f t="shared" ca="1" si="29"/>
        <v>7.6748399059776484E-2</v>
      </c>
      <c r="U46" s="10">
        <f t="shared" ca="1" si="29"/>
        <v>6.337419952988825E-2</v>
      </c>
      <c r="V46" s="10">
        <f t="shared" ca="1" si="29"/>
        <v>0.05</v>
      </c>
    </row>
    <row r="47" spans="1:22" outlineLevel="1" x14ac:dyDescent="0.3">
      <c r="B47" t="s">
        <v>23</v>
      </c>
      <c r="M47" s="20">
        <f>H9</f>
        <v>0.1506329836164837</v>
      </c>
      <c r="N47" s="21">
        <f>M47-(M48-N48)</f>
        <v>0.14323287249767569</v>
      </c>
      <c r="O47" s="21">
        <f>N47-(N48-O48)</f>
        <v>0.13361939670921763</v>
      </c>
      <c r="P47" s="21">
        <f>O47-(($O$47-$V$47)/($V$44-$O$44))</f>
        <v>0.11881662575075796</v>
      </c>
      <c r="Q47" s="21">
        <f t="shared" ref="Q47:U47" si="30">P47-(($O$47-$V$47)/($V$44-$O$44))</f>
        <v>0.1040138547922983</v>
      </c>
      <c r="R47" s="21">
        <f t="shared" si="30"/>
        <v>8.9211083833838634E-2</v>
      </c>
      <c r="S47" s="21">
        <f t="shared" si="30"/>
        <v>7.4408312875378968E-2</v>
      </c>
      <c r="T47" s="21">
        <f t="shared" si="30"/>
        <v>5.9605541916919302E-2</v>
      </c>
      <c r="U47" s="21">
        <f t="shared" si="30"/>
        <v>4.4802770958459637E-2</v>
      </c>
      <c r="V47" s="21">
        <f>H10</f>
        <v>0.03</v>
      </c>
    </row>
    <row r="48" spans="1:22" outlineLevel="1" x14ac:dyDescent="0.3">
      <c r="B48" t="s">
        <v>24</v>
      </c>
      <c r="M48" s="21">
        <f>M23</f>
        <v>0.1606329836164837</v>
      </c>
      <c r="N48" s="21">
        <f t="shared" ref="N48:O48" si="31">N23</f>
        <v>0.1532328724976757</v>
      </c>
      <c r="O48" s="21">
        <f t="shared" si="31"/>
        <v>0.14361939670921764</v>
      </c>
      <c r="P48" s="21">
        <f>O48-(($O$48-$V$48)/($V$44-$O$44))</f>
        <v>0.13024519717932942</v>
      </c>
      <c r="Q48" s="21">
        <f t="shared" ref="Q48:U48" si="32">P48-(($O$48-$V$48)/($V$44-$O$44))</f>
        <v>0.11687099764944119</v>
      </c>
      <c r="R48" s="21">
        <f t="shared" si="32"/>
        <v>0.10349679811955295</v>
      </c>
      <c r="S48" s="21">
        <f t="shared" si="32"/>
        <v>9.0122598589664718E-2</v>
      </c>
      <c r="T48" s="21">
        <f t="shared" si="32"/>
        <v>7.6748399059776484E-2</v>
      </c>
      <c r="U48" s="21">
        <f t="shared" si="32"/>
        <v>6.337419952988825E-2</v>
      </c>
      <c r="V48" s="21">
        <f>L10</f>
        <v>0.05</v>
      </c>
    </row>
    <row r="49" spans="2:22" outlineLevel="1" x14ac:dyDescent="0.3">
      <c r="B49" t="s">
        <v>25</v>
      </c>
      <c r="M49" s="20">
        <f>P9</f>
        <v>0.17063298361648371</v>
      </c>
      <c r="N49" s="21">
        <f>M49+(M48-N48)</f>
        <v>0.17803309473529172</v>
      </c>
      <c r="O49" s="21">
        <f>N49+(N48-O48)</f>
        <v>0.18764657052374978</v>
      </c>
      <c r="P49" s="21">
        <f t="shared" ref="P49:U49" si="33">O49-(($O$49-$V$49)/($V$44-$O$44))</f>
        <v>0.17083991759178552</v>
      </c>
      <c r="Q49" s="21">
        <f t="shared" si="33"/>
        <v>0.15403326465982126</v>
      </c>
      <c r="R49" s="21">
        <f t="shared" si="33"/>
        <v>0.137226611727857</v>
      </c>
      <c r="S49" s="21">
        <f t="shared" si="33"/>
        <v>0.12041995879589273</v>
      </c>
      <c r="T49" s="21">
        <f t="shared" si="33"/>
        <v>0.10361330586392847</v>
      </c>
      <c r="U49" s="21">
        <f t="shared" si="33"/>
        <v>8.6806652931964212E-2</v>
      </c>
      <c r="V49" s="21">
        <f>P10</f>
        <v>7.0000000000000007E-2</v>
      </c>
    </row>
    <row r="50" spans="2:22" outlineLevel="1" x14ac:dyDescent="0.3">
      <c r="N50" s="19"/>
      <c r="O50" s="19"/>
      <c r="P50" s="19"/>
      <c r="Q50" s="19"/>
      <c r="R50" s="19"/>
      <c r="S50" s="19"/>
      <c r="T50" s="19"/>
      <c r="U50" s="19"/>
      <c r="V50" s="19"/>
    </row>
    <row r="51" spans="2:22" outlineLevel="1" x14ac:dyDescent="0.3">
      <c r="B51" t="s">
        <v>11</v>
      </c>
      <c r="F51" s="16">
        <f>F25</f>
        <v>19360</v>
      </c>
      <c r="G51" s="16">
        <f t="shared" ref="G51:L51" si="34">G25</f>
        <v>23716</v>
      </c>
      <c r="H51" s="16">
        <f t="shared" si="34"/>
        <v>26146</v>
      </c>
      <c r="I51" s="16">
        <f t="shared" si="34"/>
        <v>26953</v>
      </c>
      <c r="J51" s="16">
        <f t="shared" si="34"/>
        <v>34231</v>
      </c>
      <c r="K51" s="16">
        <f t="shared" si="34"/>
        <v>41224</v>
      </c>
      <c r="L51" s="16">
        <f t="shared" si="34"/>
        <v>78714</v>
      </c>
      <c r="M51" s="8">
        <f ca="1">M52*M45</f>
        <v>83717.78</v>
      </c>
      <c r="N51" s="8">
        <f t="shared" ref="N51:V51" ca="1" si="35">N52*N45</f>
        <v>97416.58</v>
      </c>
      <c r="O51" s="8">
        <f t="shared" ca="1" si="35"/>
        <v>111407.49044907524</v>
      </c>
      <c r="P51" s="8">
        <f t="shared" ca="1" si="35"/>
        <v>125917.78100986932</v>
      </c>
      <c r="Q51" s="8">
        <f t="shared" ca="1" si="35"/>
        <v>140633.91769829657</v>
      </c>
      <c r="R51" s="8">
        <f t="shared" ca="1" si="35"/>
        <v>155189.07788707898</v>
      </c>
      <c r="S51" s="8">
        <f t="shared" ca="1" si="35"/>
        <v>169175.12085899644</v>
      </c>
      <c r="T51" s="8">
        <f t="shared" ca="1" si="35"/>
        <v>182159.04054566866</v>
      </c>
      <c r="U51" s="8">
        <f t="shared" ca="1" si="35"/>
        <v>193703.22392738285</v>
      </c>
      <c r="V51" s="8">
        <f t="shared" ca="1" si="35"/>
        <v>203388.385123752</v>
      </c>
    </row>
    <row r="52" spans="2:22" outlineLevel="1" x14ac:dyDescent="0.3">
      <c r="B52" s="5" t="s">
        <v>17</v>
      </c>
      <c r="F52" s="23">
        <f>F51/F45</f>
        <v>0.25817119844243824</v>
      </c>
      <c r="G52" s="23">
        <f t="shared" ref="G52:L52" si="36">G51/G45</f>
        <v>0.26271712158808935</v>
      </c>
      <c r="H52" s="23">
        <f t="shared" si="36"/>
        <v>0.23585765188760091</v>
      </c>
      <c r="I52" s="23">
        <f t="shared" si="36"/>
        <v>0.19699749303824762</v>
      </c>
      <c r="J52" s="23">
        <f t="shared" si="36"/>
        <v>0.21148915400631421</v>
      </c>
      <c r="K52" s="23">
        <f t="shared" si="36"/>
        <v>0.22585151785763202</v>
      </c>
      <c r="L52" s="23">
        <f t="shared" si="36"/>
        <v>0.3055228868524319</v>
      </c>
      <c r="M52" s="23">
        <f ca="1">OFFSET(M52,$D$10,0)</f>
        <v>0.27997197530616474</v>
      </c>
      <c r="N52" s="23">
        <f t="shared" ref="N52:V52" ca="1" si="37">OFFSET(N52,$D$10,0)</f>
        <v>0.28249627365576119</v>
      </c>
      <c r="O52" s="23">
        <f t="shared" ca="1" si="37"/>
        <v>0.28249627365576119</v>
      </c>
      <c r="P52" s="23">
        <f t="shared" ca="1" si="37"/>
        <v>0.28249627365576119</v>
      </c>
      <c r="Q52" s="23">
        <f t="shared" ca="1" si="37"/>
        <v>0.28249627365576119</v>
      </c>
      <c r="R52" s="23">
        <f t="shared" ca="1" si="37"/>
        <v>0.28249627365576119</v>
      </c>
      <c r="S52" s="23">
        <f t="shared" ca="1" si="37"/>
        <v>0.28249627365576119</v>
      </c>
      <c r="T52" s="23">
        <f t="shared" ca="1" si="37"/>
        <v>0.28249627365576119</v>
      </c>
      <c r="U52" s="23">
        <f t="shared" ca="1" si="37"/>
        <v>0.28249627365576119</v>
      </c>
      <c r="V52" s="23">
        <f t="shared" ca="1" si="37"/>
        <v>0.28249627365576119</v>
      </c>
    </row>
    <row r="53" spans="2:22" outlineLevel="1" x14ac:dyDescent="0.3">
      <c r="B53" t="s">
        <v>23</v>
      </c>
      <c r="M53" s="20">
        <f>H11</f>
        <v>0.27997197530616474</v>
      </c>
      <c r="N53" s="21">
        <f>M53+(N54-M54)</f>
        <v>0.28249627365576119</v>
      </c>
      <c r="O53" s="22">
        <f>N53</f>
        <v>0.28249627365576119</v>
      </c>
      <c r="P53" s="22">
        <f t="shared" ref="P53:V53" si="38">O53</f>
        <v>0.28249627365576119</v>
      </c>
      <c r="Q53" s="22">
        <f t="shared" si="38"/>
        <v>0.28249627365576119</v>
      </c>
      <c r="R53" s="22">
        <f t="shared" si="38"/>
        <v>0.28249627365576119</v>
      </c>
      <c r="S53" s="22">
        <f t="shared" si="38"/>
        <v>0.28249627365576119</v>
      </c>
      <c r="T53" s="22">
        <f t="shared" si="38"/>
        <v>0.28249627365576119</v>
      </c>
      <c r="U53" s="22">
        <f t="shared" si="38"/>
        <v>0.28249627365576119</v>
      </c>
      <c r="V53" s="22">
        <f t="shared" si="38"/>
        <v>0.28249627365576119</v>
      </c>
    </row>
    <row r="54" spans="2:22" outlineLevel="1" x14ac:dyDescent="0.3">
      <c r="B54" t="s">
        <v>24</v>
      </c>
      <c r="M54" s="21">
        <f>M26</f>
        <v>0.28997197530616475</v>
      </c>
      <c r="N54" s="21">
        <f t="shared" ref="N54:O54" si="39">N26</f>
        <v>0.2924962736557612</v>
      </c>
      <c r="O54" s="21">
        <f t="shared" si="39"/>
        <v>0.30038187682570594</v>
      </c>
      <c r="P54" s="22">
        <f>O54</f>
        <v>0.30038187682570594</v>
      </c>
      <c r="Q54" s="22">
        <f t="shared" ref="Q54:V54" si="40">P54</f>
        <v>0.30038187682570594</v>
      </c>
      <c r="R54" s="22">
        <f t="shared" si="40"/>
        <v>0.30038187682570594</v>
      </c>
      <c r="S54" s="22">
        <f t="shared" si="40"/>
        <v>0.30038187682570594</v>
      </c>
      <c r="T54" s="22">
        <f t="shared" si="40"/>
        <v>0.30038187682570594</v>
      </c>
      <c r="U54" s="22">
        <f t="shared" si="40"/>
        <v>0.30038187682570594</v>
      </c>
      <c r="V54" s="22">
        <f t="shared" si="40"/>
        <v>0.30038187682570594</v>
      </c>
    </row>
    <row r="55" spans="2:22" outlineLevel="1" x14ac:dyDescent="0.3">
      <c r="B55" t="s">
        <v>25</v>
      </c>
      <c r="M55" s="20">
        <f>P11</f>
        <v>0.29997197530616476</v>
      </c>
      <c r="N55" s="21">
        <f>M55+(N54-M54)</f>
        <v>0.30249627365576121</v>
      </c>
      <c r="O55" s="21">
        <f>N55+(O54-N54)</f>
        <v>0.31038187682570595</v>
      </c>
      <c r="P55" s="22">
        <f t="shared" ref="P55:V55" si="41">O55+(P54-O54)</f>
        <v>0.31038187682570595</v>
      </c>
      <c r="Q55" s="22">
        <f t="shared" si="41"/>
        <v>0.31038187682570595</v>
      </c>
      <c r="R55" s="22">
        <f t="shared" si="41"/>
        <v>0.31038187682570595</v>
      </c>
      <c r="S55" s="22">
        <f t="shared" si="41"/>
        <v>0.31038187682570595</v>
      </c>
      <c r="T55" s="22">
        <f t="shared" si="41"/>
        <v>0.31038187682570595</v>
      </c>
      <c r="U55" s="22">
        <f t="shared" si="41"/>
        <v>0.31038187682570595</v>
      </c>
      <c r="V55" s="22">
        <f t="shared" si="41"/>
        <v>0.31038187682570595</v>
      </c>
    </row>
    <row r="56" spans="2:22" outlineLevel="1" x14ac:dyDescent="0.3"/>
    <row r="57" spans="2:22" outlineLevel="1" x14ac:dyDescent="0.3">
      <c r="B57" t="s">
        <v>14</v>
      </c>
      <c r="F57" s="16">
        <f>F28</f>
        <v>3232</v>
      </c>
      <c r="G57" s="16">
        <f t="shared" ref="G57:L57" si="42">G28</f>
        <v>4672</v>
      </c>
      <c r="H57" s="16">
        <f t="shared" si="42"/>
        <v>14531</v>
      </c>
      <c r="I57" s="16">
        <f t="shared" si="42"/>
        <v>4177</v>
      </c>
      <c r="J57" s="16">
        <f t="shared" si="42"/>
        <v>5282</v>
      </c>
      <c r="K57" s="16">
        <f t="shared" si="42"/>
        <v>7813</v>
      </c>
      <c r="L57" s="16">
        <f t="shared" si="42"/>
        <v>14701</v>
      </c>
      <c r="M57" s="8">
        <f ca="1">M58*M51</f>
        <v>14806.740697116298</v>
      </c>
      <c r="N57" s="8">
        <f t="shared" ref="N57:V57" ca="1" si="43">N58*N51</f>
        <v>17229.578228900547</v>
      </c>
      <c r="O57" s="8">
        <f t="shared" ca="1" si="43"/>
        <v>19704.079859689515</v>
      </c>
      <c r="P57" s="8">
        <f t="shared" ca="1" si="43"/>
        <v>22270.441626252032</v>
      </c>
      <c r="Q57" s="8">
        <f t="shared" ca="1" si="43"/>
        <v>24873.210357205746</v>
      </c>
      <c r="R57" s="8">
        <f t="shared" ca="1" si="43"/>
        <v>27447.507988130637</v>
      </c>
      <c r="S57" s="8">
        <f t="shared" ca="1" si="43"/>
        <v>29921.148732831556</v>
      </c>
      <c r="T57" s="8">
        <f t="shared" ca="1" si="43"/>
        <v>32217.548996105845</v>
      </c>
      <c r="U57" s="8">
        <f t="shared" ca="1" si="43"/>
        <v>34259.310374549008</v>
      </c>
      <c r="V57" s="8">
        <f t="shared" ca="1" si="43"/>
        <v>35972.275893276455</v>
      </c>
    </row>
    <row r="58" spans="2:22" outlineLevel="1" x14ac:dyDescent="0.3">
      <c r="B58" s="5" t="s">
        <v>13</v>
      </c>
      <c r="F58" s="23">
        <f>F57/F51</f>
        <v>0.16694214876033059</v>
      </c>
      <c r="G58" s="23">
        <f t="shared" ref="G58:L58" si="44">G57/G51</f>
        <v>0.19699780738741779</v>
      </c>
      <c r="H58" s="23">
        <f t="shared" si="44"/>
        <v>0.55576378795991743</v>
      </c>
      <c r="I58" s="23">
        <f t="shared" si="44"/>
        <v>0.1549734723407413</v>
      </c>
      <c r="J58" s="23">
        <f t="shared" si="44"/>
        <v>0.15430457772194794</v>
      </c>
      <c r="K58" s="23">
        <f t="shared" si="44"/>
        <v>0.18952551911507859</v>
      </c>
      <c r="L58" s="23">
        <f t="shared" si="44"/>
        <v>0.18676474324770689</v>
      </c>
      <c r="M58" s="23">
        <f ca="1">OFFSET(M58,$D$11,0)</f>
        <v>0.17686494669491115</v>
      </c>
      <c r="N58" s="23">
        <f t="shared" ref="N58:V58" ca="1" si="45">OFFSET(N58,$D$11,0)</f>
        <v>0.17686494669491115</v>
      </c>
      <c r="O58" s="23">
        <f t="shared" ca="1" si="45"/>
        <v>0.17686494669491115</v>
      </c>
      <c r="P58" s="23">
        <f t="shared" ca="1" si="45"/>
        <v>0.17686494669491115</v>
      </c>
      <c r="Q58" s="23">
        <f t="shared" ca="1" si="45"/>
        <v>0.17686494669491115</v>
      </c>
      <c r="R58" s="23">
        <f t="shared" ca="1" si="45"/>
        <v>0.17686494669491115</v>
      </c>
      <c r="S58" s="23">
        <f t="shared" ca="1" si="45"/>
        <v>0.17686494669491115</v>
      </c>
      <c r="T58" s="23">
        <f t="shared" ca="1" si="45"/>
        <v>0.17686494669491115</v>
      </c>
      <c r="U58" s="23">
        <f t="shared" ca="1" si="45"/>
        <v>0.17686494669491115</v>
      </c>
      <c r="V58" s="23">
        <f t="shared" ca="1" si="45"/>
        <v>0.17686494669491115</v>
      </c>
    </row>
    <row r="59" spans="2:22" outlineLevel="1" x14ac:dyDescent="0.3">
      <c r="B59" t="s">
        <v>23</v>
      </c>
      <c r="M59" s="20">
        <f>M60</f>
        <v>0.17686494669491115</v>
      </c>
      <c r="N59" s="22">
        <f>M59</f>
        <v>0.17686494669491115</v>
      </c>
      <c r="O59" s="20">
        <f>H12</f>
        <v>0.25</v>
      </c>
      <c r="P59" s="20">
        <f>O59</f>
        <v>0.25</v>
      </c>
      <c r="Q59" s="20">
        <f t="shared" ref="Q59:V59" si="46">P59</f>
        <v>0.25</v>
      </c>
      <c r="R59" s="20">
        <f t="shared" si="46"/>
        <v>0.25</v>
      </c>
      <c r="S59" s="20">
        <f t="shared" si="46"/>
        <v>0.25</v>
      </c>
      <c r="T59" s="20">
        <f t="shared" si="46"/>
        <v>0.25</v>
      </c>
      <c r="U59" s="20">
        <f t="shared" si="46"/>
        <v>0.25</v>
      </c>
      <c r="V59" s="20">
        <f t="shared" si="46"/>
        <v>0.25</v>
      </c>
    </row>
    <row r="60" spans="2:22" outlineLevel="1" x14ac:dyDescent="0.3">
      <c r="B60" t="s">
        <v>24</v>
      </c>
      <c r="M60" s="21">
        <f>AVERAGE(J58:L58)</f>
        <v>0.17686494669491115</v>
      </c>
      <c r="N60" s="22">
        <f>M60</f>
        <v>0.17686494669491115</v>
      </c>
      <c r="O60" s="22">
        <f t="shared" ref="O60:V61" si="47">N60</f>
        <v>0.17686494669491115</v>
      </c>
      <c r="P60" s="22">
        <f t="shared" si="47"/>
        <v>0.17686494669491115</v>
      </c>
      <c r="Q60" s="22">
        <f t="shared" si="47"/>
        <v>0.17686494669491115</v>
      </c>
      <c r="R60" s="22">
        <f t="shared" si="47"/>
        <v>0.17686494669491115</v>
      </c>
      <c r="S60" s="22">
        <f t="shared" si="47"/>
        <v>0.17686494669491115</v>
      </c>
      <c r="T60" s="22">
        <f t="shared" si="47"/>
        <v>0.17686494669491115</v>
      </c>
      <c r="U60" s="22">
        <f t="shared" si="47"/>
        <v>0.17686494669491115</v>
      </c>
      <c r="V60" s="22">
        <f t="shared" si="47"/>
        <v>0.17686494669491115</v>
      </c>
    </row>
    <row r="61" spans="2:22" outlineLevel="1" x14ac:dyDescent="0.3">
      <c r="B61" t="s">
        <v>25</v>
      </c>
      <c r="M61" s="20">
        <f>M60</f>
        <v>0.17686494669491115</v>
      </c>
      <c r="N61" s="22">
        <f>M61</f>
        <v>0.17686494669491115</v>
      </c>
      <c r="O61" s="20">
        <f>P12</f>
        <v>0.17</v>
      </c>
      <c r="P61" s="20">
        <f>O61</f>
        <v>0.17</v>
      </c>
      <c r="Q61" s="20">
        <f t="shared" si="47"/>
        <v>0.17</v>
      </c>
      <c r="R61" s="20">
        <f t="shared" si="47"/>
        <v>0.17</v>
      </c>
      <c r="S61" s="20">
        <f t="shared" si="47"/>
        <v>0.17</v>
      </c>
      <c r="T61" s="20">
        <f t="shared" si="47"/>
        <v>0.17</v>
      </c>
      <c r="U61" s="20">
        <f t="shared" si="47"/>
        <v>0.17</v>
      </c>
      <c r="V61" s="20">
        <f t="shared" si="47"/>
        <v>0.17</v>
      </c>
    </row>
    <row r="62" spans="2:22" outlineLevel="1" x14ac:dyDescent="0.3"/>
    <row r="63" spans="2:22" outlineLevel="1" x14ac:dyDescent="0.3">
      <c r="B63" s="24" t="s">
        <v>38</v>
      </c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5">
        <f ca="1">M51-M57</f>
        <v>68911.039302883699</v>
      </c>
      <c r="N63" s="25">
        <f ca="1">N51-N57</f>
        <v>80187.001771099458</v>
      </c>
      <c r="O63" s="25">
        <f t="shared" ref="O63:V63" ca="1" si="48">O51-O57</f>
        <v>91703.41058938572</v>
      </c>
      <c r="P63" s="25">
        <f t="shared" ca="1" si="48"/>
        <v>103647.33938361728</v>
      </c>
      <c r="Q63" s="25">
        <f t="shared" ca="1" si="48"/>
        <v>115760.70734109083</v>
      </c>
      <c r="R63" s="25">
        <f t="shared" ca="1" si="48"/>
        <v>127741.56989894834</v>
      </c>
      <c r="S63" s="25">
        <f t="shared" ca="1" si="48"/>
        <v>139253.97212616488</v>
      </c>
      <c r="T63" s="25">
        <f t="shared" ca="1" si="48"/>
        <v>149941.49154956281</v>
      </c>
      <c r="U63" s="25">
        <f t="shared" ca="1" si="48"/>
        <v>159443.91355283384</v>
      </c>
      <c r="V63" s="25">
        <f t="shared" ca="1" si="48"/>
        <v>167416.10923047556</v>
      </c>
    </row>
    <row r="64" spans="2:22" outlineLevel="1" x14ac:dyDescent="0.3"/>
    <row r="65" spans="2:22" outlineLevel="1" x14ac:dyDescent="0.3">
      <c r="B65" t="s">
        <v>16</v>
      </c>
      <c r="F65" s="16">
        <f>F32</f>
        <v>4979</v>
      </c>
      <c r="G65" s="16">
        <f t="shared" ref="G65:L65" si="49">G32</f>
        <v>5063</v>
      </c>
      <c r="H65" s="16">
        <f t="shared" si="49"/>
        <v>6144</v>
      </c>
      <c r="I65" s="16">
        <f t="shared" si="49"/>
        <v>6915</v>
      </c>
      <c r="J65" s="16">
        <f t="shared" si="49"/>
        <v>9035</v>
      </c>
      <c r="K65" s="16">
        <f t="shared" si="49"/>
        <v>11781</v>
      </c>
      <c r="L65" s="16">
        <f t="shared" si="49"/>
        <v>13697</v>
      </c>
      <c r="M65" s="8">
        <f ca="1">M66*M45</f>
        <v>16714.95184196678</v>
      </c>
      <c r="N65" s="8">
        <f t="shared" ref="N65:V65" ca="1" si="50">N66*N45</f>
        <v>19276.231926371667</v>
      </c>
      <c r="O65" s="8">
        <f t="shared" ca="1" si="50"/>
        <v>22044.672726464127</v>
      </c>
      <c r="P65" s="8">
        <f t="shared" ca="1" si="50"/>
        <v>24915.885472476231</v>
      </c>
      <c r="Q65" s="8">
        <f t="shared" ca="1" si="50"/>
        <v>27827.829864963744</v>
      </c>
      <c r="R65" s="8">
        <f t="shared" ca="1" si="50"/>
        <v>30707.921154603162</v>
      </c>
      <c r="S65" s="8">
        <f t="shared" ca="1" si="50"/>
        <v>33475.398806342535</v>
      </c>
      <c r="T65" s="8">
        <f t="shared" ca="1" si="50"/>
        <v>36044.582072616889</v>
      </c>
      <c r="U65" s="8">
        <f t="shared" ca="1" si="50"/>
        <v>38328.878608858344</v>
      </c>
      <c r="V65" s="8">
        <f t="shared" ca="1" si="50"/>
        <v>40245.322539301262</v>
      </c>
    </row>
    <row r="66" spans="2:22" outlineLevel="1" x14ac:dyDescent="0.3">
      <c r="B66" s="5" t="s">
        <v>17</v>
      </c>
      <c r="F66" s="23">
        <f>F65/F45</f>
        <v>6.6396404806038214E-2</v>
      </c>
      <c r="G66" s="23">
        <f t="shared" ref="G66:L66" si="51">G65/G45</f>
        <v>5.6086051045728468E-2</v>
      </c>
      <c r="H66" s="23">
        <f t="shared" si="51"/>
        <v>5.5423751747778631E-2</v>
      </c>
      <c r="I66" s="23">
        <f t="shared" si="51"/>
        <v>5.0541225999312961E-2</v>
      </c>
      <c r="J66" s="23">
        <f t="shared" si="51"/>
        <v>5.582087892398846E-2</v>
      </c>
      <c r="K66" s="23">
        <f t="shared" si="51"/>
        <v>6.4543875700581288E-2</v>
      </c>
      <c r="L66" s="23">
        <f t="shared" si="51"/>
        <v>5.3163947724899761E-2</v>
      </c>
      <c r="M66" s="23">
        <f ca="1">OFFSET(M66,$D$12,0)</f>
        <v>5.5898736019312223E-2</v>
      </c>
      <c r="N66" s="23">
        <f t="shared" ref="N66:V66" ca="1" si="52">OFFSET(N66,$D$12,0)</f>
        <v>5.5898736019312223E-2</v>
      </c>
      <c r="O66" s="23">
        <f t="shared" ca="1" si="52"/>
        <v>5.5898736019312223E-2</v>
      </c>
      <c r="P66" s="23">
        <f t="shared" ca="1" si="52"/>
        <v>5.5898736019312223E-2</v>
      </c>
      <c r="Q66" s="23">
        <f t="shared" ca="1" si="52"/>
        <v>5.5898736019312223E-2</v>
      </c>
      <c r="R66" s="23">
        <f t="shared" ca="1" si="52"/>
        <v>5.5898736019312223E-2</v>
      </c>
      <c r="S66" s="23">
        <f t="shared" ca="1" si="52"/>
        <v>5.5898736019312223E-2</v>
      </c>
      <c r="T66" s="23">
        <f t="shared" ca="1" si="52"/>
        <v>5.5898736019312223E-2</v>
      </c>
      <c r="U66" s="23">
        <f t="shared" ca="1" si="52"/>
        <v>5.5898736019312223E-2</v>
      </c>
      <c r="V66" s="23">
        <f t="shared" ca="1" si="52"/>
        <v>5.5898736019312223E-2</v>
      </c>
    </row>
    <row r="67" spans="2:22" outlineLevel="1" x14ac:dyDescent="0.3">
      <c r="B67" t="s">
        <v>23</v>
      </c>
      <c r="M67" s="20">
        <f>H13</f>
        <v>5.0898736019312225E-2</v>
      </c>
      <c r="N67" s="22">
        <f>M67</f>
        <v>5.0898736019312225E-2</v>
      </c>
      <c r="O67" s="22">
        <f t="shared" ref="O67:V67" si="53">N67</f>
        <v>5.0898736019312225E-2</v>
      </c>
      <c r="P67" s="22">
        <f t="shared" si="53"/>
        <v>5.0898736019312225E-2</v>
      </c>
      <c r="Q67" s="22">
        <f t="shared" si="53"/>
        <v>5.0898736019312225E-2</v>
      </c>
      <c r="R67" s="22">
        <f t="shared" si="53"/>
        <v>5.0898736019312225E-2</v>
      </c>
      <c r="S67" s="22">
        <f t="shared" si="53"/>
        <v>5.0898736019312225E-2</v>
      </c>
      <c r="T67" s="22">
        <f t="shared" si="53"/>
        <v>5.0898736019312225E-2</v>
      </c>
      <c r="U67" s="22">
        <f t="shared" si="53"/>
        <v>5.0898736019312225E-2</v>
      </c>
      <c r="V67" s="22">
        <f t="shared" si="53"/>
        <v>5.0898736019312225E-2</v>
      </c>
    </row>
    <row r="68" spans="2:22" outlineLevel="1" x14ac:dyDescent="0.3">
      <c r="B68" t="s">
        <v>24</v>
      </c>
      <c r="M68" s="21">
        <f>AVERAGE(H66:L66)</f>
        <v>5.5898736019312223E-2</v>
      </c>
      <c r="N68" s="22">
        <f>M68</f>
        <v>5.5898736019312223E-2</v>
      </c>
      <c r="O68" s="22">
        <f t="shared" ref="O68:V68" si="54">N68</f>
        <v>5.5898736019312223E-2</v>
      </c>
      <c r="P68" s="22">
        <f t="shared" si="54"/>
        <v>5.5898736019312223E-2</v>
      </c>
      <c r="Q68" s="22">
        <f t="shared" si="54"/>
        <v>5.5898736019312223E-2</v>
      </c>
      <c r="R68" s="22">
        <f t="shared" si="54"/>
        <v>5.5898736019312223E-2</v>
      </c>
      <c r="S68" s="22">
        <f t="shared" si="54"/>
        <v>5.5898736019312223E-2</v>
      </c>
      <c r="T68" s="22">
        <f t="shared" si="54"/>
        <v>5.5898736019312223E-2</v>
      </c>
      <c r="U68" s="22">
        <f t="shared" si="54"/>
        <v>5.5898736019312223E-2</v>
      </c>
      <c r="V68" s="22">
        <f t="shared" si="54"/>
        <v>5.5898736019312223E-2</v>
      </c>
    </row>
    <row r="69" spans="2:22" outlineLevel="1" x14ac:dyDescent="0.3">
      <c r="B69" t="s">
        <v>25</v>
      </c>
      <c r="M69" s="20">
        <f>P13</f>
        <v>6.089873601931222E-2</v>
      </c>
      <c r="N69" s="22">
        <f>M69</f>
        <v>6.089873601931222E-2</v>
      </c>
      <c r="O69" s="22">
        <f t="shared" ref="O69:V69" si="55">N69</f>
        <v>6.089873601931222E-2</v>
      </c>
      <c r="P69" s="22">
        <f t="shared" si="55"/>
        <v>6.089873601931222E-2</v>
      </c>
      <c r="Q69" s="22">
        <f t="shared" si="55"/>
        <v>6.089873601931222E-2</v>
      </c>
      <c r="R69" s="22">
        <f t="shared" si="55"/>
        <v>6.089873601931222E-2</v>
      </c>
      <c r="S69" s="22">
        <f t="shared" si="55"/>
        <v>6.089873601931222E-2</v>
      </c>
      <c r="T69" s="22">
        <f t="shared" si="55"/>
        <v>6.089873601931222E-2</v>
      </c>
      <c r="U69" s="22">
        <f t="shared" si="55"/>
        <v>6.089873601931222E-2</v>
      </c>
      <c r="V69" s="22">
        <f t="shared" si="55"/>
        <v>6.089873601931222E-2</v>
      </c>
    </row>
    <row r="70" spans="2:22" outlineLevel="1" x14ac:dyDescent="0.3"/>
    <row r="71" spans="2:22" outlineLevel="1" x14ac:dyDescent="0.3">
      <c r="B71" t="s">
        <v>39</v>
      </c>
      <c r="F71" s="16">
        <f>F36</f>
        <v>9915</v>
      </c>
      <c r="G71" s="16">
        <f t="shared" ref="G71:L71" si="56">G36</f>
        <v>10212</v>
      </c>
      <c r="H71" s="16">
        <f t="shared" si="56"/>
        <v>13184</v>
      </c>
      <c r="I71" s="16">
        <f t="shared" si="56"/>
        <v>25139</v>
      </c>
      <c r="J71" s="16">
        <f t="shared" si="56"/>
        <v>23548</v>
      </c>
      <c r="K71" s="16">
        <f t="shared" si="56"/>
        <v>22281</v>
      </c>
      <c r="L71" s="16">
        <f t="shared" si="56"/>
        <v>24640</v>
      </c>
      <c r="M71" s="8">
        <f ca="1">M72*M45</f>
        <v>32577</v>
      </c>
      <c r="N71" s="8">
        <f t="shared" ref="N71:V71" ca="1" si="57">N72*N45</f>
        <v>34624</v>
      </c>
      <c r="O71" s="8">
        <f t="shared" ca="1" si="57"/>
        <v>36570.000000000007</v>
      </c>
      <c r="P71" s="8">
        <f t="shared" ca="1" si="57"/>
        <v>39885.668402796247</v>
      </c>
      <c r="Q71" s="8">
        <f t="shared" ca="1" si="57"/>
        <v>42930.58890110522</v>
      </c>
      <c r="R71" s="8">
        <f t="shared" ca="1" si="57"/>
        <v>45589.901523195709</v>
      </c>
      <c r="S71" s="8">
        <f t="shared" ca="1" si="57"/>
        <v>47753.949419561963</v>
      </c>
      <c r="T71" s="8">
        <f t="shared" ca="1" si="57"/>
        <v>49325.108656935772</v>
      </c>
      <c r="U71" s="8">
        <f t="shared" ca="1" si="57"/>
        <v>50224.470040999891</v>
      </c>
      <c r="V71" s="8">
        <f t="shared" ca="1" si="57"/>
        <v>50397.786754566245</v>
      </c>
    </row>
    <row r="72" spans="2:22" outlineLevel="1" x14ac:dyDescent="0.3">
      <c r="B72" s="5" t="s">
        <v>17</v>
      </c>
      <c r="F72" s="23">
        <f>F71/F45</f>
        <v>0.13221939217751938</v>
      </c>
      <c r="G72" s="23">
        <f t="shared" ref="G72:L72" si="58">G71/G45</f>
        <v>0.11312477844735909</v>
      </c>
      <c r="H72" s="23">
        <f t="shared" si="58"/>
        <v>0.11893013395877497</v>
      </c>
      <c r="I72" s="23">
        <f t="shared" si="58"/>
        <v>0.18373910056351822</v>
      </c>
      <c r="J72" s="23">
        <f t="shared" si="58"/>
        <v>0.14548644791389931</v>
      </c>
      <c r="K72" s="23">
        <f t="shared" si="58"/>
        <v>0.12206961161910293</v>
      </c>
      <c r="L72" s="23">
        <f t="shared" si="58"/>
        <v>9.5638437025737766E-2</v>
      </c>
      <c r="M72" s="23">
        <f ca="1">OFFSET(M72,$D$12,0)</f>
        <v>0.10894516122559544</v>
      </c>
      <c r="N72" s="23">
        <f t="shared" ref="N72:V72" ca="1" si="59">OFFSET(N72,$D$12,0)</f>
        <v>0.10040540305415234</v>
      </c>
      <c r="O72" s="23">
        <f t="shared" ca="1" si="59"/>
        <v>9.2730647517039924E-2</v>
      </c>
      <c r="P72" s="23">
        <f t="shared" ca="1" si="59"/>
        <v>8.9483412157462791E-2</v>
      </c>
      <c r="Q72" s="23">
        <f t="shared" ca="1" si="59"/>
        <v>8.6236176797885658E-2</v>
      </c>
      <c r="R72" s="23">
        <f t="shared" ca="1" si="59"/>
        <v>8.2988941438308525E-2</v>
      </c>
      <c r="S72" s="23">
        <f t="shared" ca="1" si="59"/>
        <v>7.9741706078731392E-2</v>
      </c>
      <c r="T72" s="23">
        <f t="shared" ca="1" si="59"/>
        <v>7.6494470719154259E-2</v>
      </c>
      <c r="U72" s="23">
        <f t="shared" ca="1" si="59"/>
        <v>7.3247235359577126E-2</v>
      </c>
      <c r="V72" s="23">
        <f t="shared" ca="1" si="59"/>
        <v>7.0000000000000007E-2</v>
      </c>
    </row>
    <row r="73" spans="2:22" outlineLevel="1" x14ac:dyDescent="0.3">
      <c r="B73" t="s">
        <v>23</v>
      </c>
      <c r="M73" s="20">
        <f>M74</f>
        <v>0.10894516122559544</v>
      </c>
      <c r="N73" s="22">
        <f>N74+0.5%</f>
        <v>0.10540540305415234</v>
      </c>
      <c r="O73" s="22">
        <f>O74+0.5%</f>
        <v>9.7730647517039929E-2</v>
      </c>
      <c r="P73" s="21">
        <f>O73-(($O$73-$V$73)/($V$44-$O$44))</f>
        <v>9.6626269300319936E-2</v>
      </c>
      <c r="Q73" s="21">
        <f t="shared" ref="Q73:U73" si="60">P73-(($O$73-$V$73)/($V$44-$O$44))</f>
        <v>9.5521891083599944E-2</v>
      </c>
      <c r="R73" s="21">
        <f t="shared" si="60"/>
        <v>9.4417512866879952E-2</v>
      </c>
      <c r="S73" s="21">
        <f t="shared" si="60"/>
        <v>9.331313465015996E-2</v>
      </c>
      <c r="T73" s="21">
        <f t="shared" si="60"/>
        <v>9.2208756433439967E-2</v>
      </c>
      <c r="U73" s="21">
        <f t="shared" si="60"/>
        <v>9.1104378216719975E-2</v>
      </c>
      <c r="V73" s="20">
        <f>H14</f>
        <v>0.09</v>
      </c>
    </row>
    <row r="74" spans="2:22" outlineLevel="1" x14ac:dyDescent="0.3">
      <c r="B74" t="s">
        <v>24</v>
      </c>
      <c r="M74" s="20">
        <f>M37</f>
        <v>0.10894516122559544</v>
      </c>
      <c r="N74" s="20">
        <f t="shared" ref="N74:O74" si="61">N37</f>
        <v>0.10040540305415234</v>
      </c>
      <c r="O74" s="20">
        <f t="shared" si="61"/>
        <v>9.2730647517039924E-2</v>
      </c>
      <c r="P74" s="21">
        <f>O74-(($O$74-$V$74)/($V$44-$O$44))</f>
        <v>8.9483412157462791E-2</v>
      </c>
      <c r="Q74" s="21">
        <f t="shared" ref="Q74:U74" si="62">P74-(($O$74-$V$74)/($V$44-$O$44))</f>
        <v>8.6236176797885658E-2</v>
      </c>
      <c r="R74" s="21">
        <f t="shared" si="62"/>
        <v>8.2988941438308525E-2</v>
      </c>
      <c r="S74" s="21">
        <f t="shared" si="62"/>
        <v>7.9741706078731392E-2</v>
      </c>
      <c r="T74" s="21">
        <f t="shared" si="62"/>
        <v>7.6494470719154259E-2</v>
      </c>
      <c r="U74" s="21">
        <f t="shared" si="62"/>
        <v>7.3247235359577126E-2</v>
      </c>
      <c r="V74" s="20">
        <f>L14</f>
        <v>7.0000000000000007E-2</v>
      </c>
    </row>
    <row r="75" spans="2:22" outlineLevel="1" x14ac:dyDescent="0.3">
      <c r="B75" t="s">
        <v>25</v>
      </c>
      <c r="M75" s="20">
        <f>M74</f>
        <v>0.10894516122559544</v>
      </c>
      <c r="N75" s="22">
        <f>N74-0.5%</f>
        <v>9.5405403054152335E-2</v>
      </c>
      <c r="O75" s="22">
        <f>O74-0.5%</f>
        <v>8.773064751703992E-2</v>
      </c>
      <c r="P75" s="21">
        <f>O75-(($O$75-$V$75)/($V$44-$O$44))</f>
        <v>8.2340555014605646E-2</v>
      </c>
      <c r="Q75" s="21">
        <f t="shared" ref="Q75:U75" si="63">P75-(($O$75-$V$75)/($V$44-$O$44))</f>
        <v>7.6950462512171372E-2</v>
      </c>
      <c r="R75" s="21">
        <f t="shared" si="63"/>
        <v>7.1560370009737098E-2</v>
      </c>
      <c r="S75" s="21">
        <f t="shared" si="63"/>
        <v>6.6170277507302824E-2</v>
      </c>
      <c r="T75" s="21">
        <f t="shared" si="63"/>
        <v>6.078018500486855E-2</v>
      </c>
      <c r="U75" s="21">
        <f t="shared" si="63"/>
        <v>5.5390092502434277E-2</v>
      </c>
      <c r="V75" s="20">
        <f>P14</f>
        <v>0.05</v>
      </c>
    </row>
    <row r="76" spans="2:22" outlineLevel="1" x14ac:dyDescent="0.3"/>
    <row r="77" spans="2:22" outlineLevel="1" x14ac:dyDescent="0.3">
      <c r="B77" t="s">
        <v>21</v>
      </c>
      <c r="F77" s="16">
        <f>F40</f>
        <v>-409</v>
      </c>
      <c r="G77" s="16">
        <f t="shared" ref="G77:L77" si="64">G40</f>
        <v>3300</v>
      </c>
      <c r="H77" s="16">
        <f t="shared" si="64"/>
        <v>9246</v>
      </c>
      <c r="I77" s="16">
        <f t="shared" si="64"/>
        <v>4908</v>
      </c>
      <c r="J77" s="16">
        <f t="shared" si="64"/>
        <v>819</v>
      </c>
      <c r="K77" s="16">
        <f t="shared" si="64"/>
        <v>1827</v>
      </c>
      <c r="L77" s="16">
        <f t="shared" si="64"/>
        <v>-1523</v>
      </c>
      <c r="M77" s="8">
        <f ca="1">M78*M45</f>
        <v>912.82268174046385</v>
      </c>
      <c r="N77" s="8">
        <f t="shared" ref="N77:V77" ca="1" si="65">N78*N45</f>
        <v>1052.6971233445868</v>
      </c>
      <c r="O77" s="8">
        <f t="shared" ca="1" si="65"/>
        <v>1203.8848491168653</v>
      </c>
      <c r="P77" s="8">
        <f t="shared" ca="1" si="65"/>
        <v>1360.6850686712987</v>
      </c>
      <c r="Q77" s="8">
        <f t="shared" ca="1" si="65"/>
        <v>1519.7096901336117</v>
      </c>
      <c r="R77" s="8">
        <f t="shared" ca="1" si="65"/>
        <v>1676.9947771336983</v>
      </c>
      <c r="S77" s="8">
        <f t="shared" ca="1" si="65"/>
        <v>1828.1299042702831</v>
      </c>
      <c r="T77" s="8">
        <f t="shared" ca="1" si="65"/>
        <v>1968.43594769633</v>
      </c>
      <c r="U77" s="8">
        <f t="shared" ca="1" si="65"/>
        <v>2093.1840002074418</v>
      </c>
      <c r="V77" s="8">
        <f t="shared" ca="1" si="65"/>
        <v>2197.8432002178142</v>
      </c>
    </row>
    <row r="78" spans="2:22" outlineLevel="1" x14ac:dyDescent="0.3">
      <c r="B78" s="5" t="s">
        <v>17</v>
      </c>
      <c r="F78" s="23">
        <f>F77/F45</f>
        <v>-5.4541332728800223E-3</v>
      </c>
      <c r="G78" s="23">
        <f t="shared" ref="G78:L78" si="66">G77/G45</f>
        <v>3.6556185749734134E-2</v>
      </c>
      <c r="H78" s="23">
        <f t="shared" si="66"/>
        <v>8.3406251409498894E-2</v>
      </c>
      <c r="I78" s="23">
        <f t="shared" si="66"/>
        <v>3.5872210730965727E-2</v>
      </c>
      <c r="J78" s="23">
        <f t="shared" si="66"/>
        <v>5.0600221182896012E-3</v>
      </c>
      <c r="K78" s="23">
        <f t="shared" si="66"/>
        <v>1.0009478049822766E-2</v>
      </c>
      <c r="L78" s="23">
        <f t="shared" si="66"/>
        <v>-5.9114180028489701E-3</v>
      </c>
      <c r="M78" s="23">
        <f>AVERAGE($J$78:$L$78)</f>
        <v>3.0526940550877992E-3</v>
      </c>
      <c r="N78" s="23">
        <f t="shared" ref="N78:V78" si="67">AVERAGE($J$78:$L$78)</f>
        <v>3.0526940550877992E-3</v>
      </c>
      <c r="O78" s="23">
        <f t="shared" si="67"/>
        <v>3.0526940550877992E-3</v>
      </c>
      <c r="P78" s="23">
        <f t="shared" si="67"/>
        <v>3.0526940550877992E-3</v>
      </c>
      <c r="Q78" s="23">
        <f t="shared" si="67"/>
        <v>3.0526940550877992E-3</v>
      </c>
      <c r="R78" s="23">
        <f t="shared" si="67"/>
        <v>3.0526940550877992E-3</v>
      </c>
      <c r="S78" s="23">
        <f t="shared" si="67"/>
        <v>3.0526940550877992E-3</v>
      </c>
      <c r="T78" s="23">
        <f t="shared" si="67"/>
        <v>3.0526940550877992E-3</v>
      </c>
      <c r="U78" s="23">
        <f t="shared" si="67"/>
        <v>3.0526940550877992E-3</v>
      </c>
      <c r="V78" s="23">
        <f t="shared" si="67"/>
        <v>3.0526940550877992E-3</v>
      </c>
    </row>
    <row r="79" spans="2:22" outlineLevel="1" x14ac:dyDescent="0.3">
      <c r="F79"/>
      <c r="G79"/>
      <c r="H79"/>
      <c r="I79"/>
      <c r="J79"/>
      <c r="K79"/>
      <c r="L79"/>
    </row>
    <row r="80" spans="2:22" x14ac:dyDescent="0.3">
      <c r="B80" s="24" t="s">
        <v>41</v>
      </c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5">
        <f ca="1">M63+M65-M71-M77</f>
        <v>52136.168463110007</v>
      </c>
      <c r="N80" s="25">
        <f t="shared" ref="N80:V80" ca="1" si="68">N63+N65-N71-N77</f>
        <v>63786.536574126534</v>
      </c>
      <c r="O80" s="25">
        <f t="shared" ca="1" si="68"/>
        <v>75974.198466732967</v>
      </c>
      <c r="P80" s="25">
        <f t="shared" ca="1" si="68"/>
        <v>87316.871384625963</v>
      </c>
      <c r="Q80" s="25">
        <f t="shared" ca="1" si="68"/>
        <v>99138.238614815753</v>
      </c>
      <c r="R80" s="25">
        <f t="shared" ca="1" si="68"/>
        <v>111182.59475322209</v>
      </c>
      <c r="S80" s="25">
        <f t="shared" ca="1" si="68"/>
        <v>123147.29160867516</v>
      </c>
      <c r="T80" s="25">
        <f t="shared" ca="1" si="68"/>
        <v>134692.52901754758</v>
      </c>
      <c r="U80" s="25">
        <f t="shared" ca="1" si="68"/>
        <v>145455.13812048486</v>
      </c>
      <c r="V80" s="25">
        <f t="shared" ca="1" si="68"/>
        <v>155065.80181499277</v>
      </c>
    </row>
    <row r="81" spans="1:22" x14ac:dyDescent="0.3">
      <c r="B81" t="s">
        <v>42</v>
      </c>
      <c r="F81"/>
      <c r="G81"/>
      <c r="H81"/>
      <c r="I81"/>
      <c r="J81"/>
      <c r="K81"/>
      <c r="L81"/>
      <c r="M81" s="28">
        <f t="shared" ref="M81:V81" ca="1" si="69">M80/(1+wacc)^M43</f>
        <v>48274.230058435191</v>
      </c>
      <c r="N81" s="28">
        <f t="shared" ca="1" si="69"/>
        <v>54686.67401759819</v>
      </c>
      <c r="O81" s="28">
        <f t="shared" ca="1" si="69"/>
        <v>60310.768228557761</v>
      </c>
      <c r="P81" s="28">
        <f t="shared" ca="1" si="69"/>
        <v>64180.507120488466</v>
      </c>
      <c r="Q81" s="28">
        <f t="shared" ca="1" si="69"/>
        <v>67471.819384766364</v>
      </c>
      <c r="R81" s="28">
        <f t="shared" ca="1" si="69"/>
        <v>70063.894251533377</v>
      </c>
      <c r="S81" s="28">
        <f t="shared" ca="1" si="69"/>
        <v>71855.261856207129</v>
      </c>
      <c r="T81" s="28">
        <f t="shared" ca="1" si="69"/>
        <v>72770.182403060433</v>
      </c>
      <c r="U81" s="28">
        <f t="shared" ca="1" si="69"/>
        <v>72763.782608736263</v>
      </c>
      <c r="V81" s="28">
        <f ca="1">V80/(1+wacc)^V43</f>
        <v>71825.469625334867</v>
      </c>
    </row>
    <row r="82" spans="1:22" x14ac:dyDescent="0.3">
      <c r="B82" t="s">
        <v>43</v>
      </c>
      <c r="V82" s="28">
        <f ca="1">V80*(1+tgr)/(wacc-tgr)</f>
        <v>2889862.6701885015</v>
      </c>
    </row>
    <row r="83" spans="1:22" x14ac:dyDescent="0.3">
      <c r="B83" t="s">
        <v>44</v>
      </c>
      <c r="V83" s="28">
        <f ca="1">V82/(1+wacc)^V43</f>
        <v>1338565.5702903315</v>
      </c>
    </row>
    <row r="84" spans="1:22" x14ac:dyDescent="0.3">
      <c r="B84" t="s">
        <v>45</v>
      </c>
      <c r="V84" s="28">
        <f ca="1">SUM(M81:V81,V83)</f>
        <v>1992768.1598450495</v>
      </c>
    </row>
    <row r="85" spans="1:22" x14ac:dyDescent="0.3">
      <c r="B85" t="s">
        <v>46</v>
      </c>
      <c r="V85" s="12">
        <v>133.97</v>
      </c>
    </row>
    <row r="86" spans="1:22" x14ac:dyDescent="0.3">
      <c r="B86" t="s">
        <v>47</v>
      </c>
      <c r="V86" s="12">
        <v>14.971</v>
      </c>
    </row>
    <row r="87" spans="1:22" x14ac:dyDescent="0.3">
      <c r="B87" t="s">
        <v>48</v>
      </c>
      <c r="V87" s="28">
        <f ca="1">V84+V85-V86</f>
        <v>1992887.1588450496</v>
      </c>
    </row>
    <row r="88" spans="1:22" x14ac:dyDescent="0.3">
      <c r="B88" t="s">
        <v>50</v>
      </c>
      <c r="V88" s="28">
        <v>660.7</v>
      </c>
    </row>
    <row r="89" spans="1:22" x14ac:dyDescent="0.3">
      <c r="B89" t="s">
        <v>49</v>
      </c>
      <c r="V89" s="9">
        <f ca="1">V87/V88</f>
        <v>3016.3268636976682</v>
      </c>
    </row>
    <row r="91" spans="1:22" x14ac:dyDescent="0.3">
      <c r="A91" t="s">
        <v>4</v>
      </c>
      <c r="B91" s="4" t="s">
        <v>51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" thickBot="1" x14ac:dyDescent="0.35"/>
    <row r="93" spans="1:22" x14ac:dyDescent="0.3">
      <c r="B93" s="32"/>
      <c r="C93" s="33"/>
      <c r="D93" s="33"/>
      <c r="E93" s="33"/>
      <c r="F93" s="33" t="s">
        <v>52</v>
      </c>
      <c r="G93" s="34"/>
      <c r="H93" s="35"/>
    </row>
    <row r="94" spans="1:22" x14ac:dyDescent="0.3">
      <c r="B94" s="36"/>
      <c r="C94" s="30">
        <f ca="1">V89</f>
        <v>3016.3268636976682</v>
      </c>
      <c r="D94" s="31">
        <f>E94-0.5%</f>
        <v>1.4999999999999999E-2</v>
      </c>
      <c r="E94" s="31">
        <f>F94-0.5%</f>
        <v>0.02</v>
      </c>
      <c r="F94" s="31">
        <f>tgr</f>
        <v>2.5000000000000001E-2</v>
      </c>
      <c r="G94" s="31">
        <f>F94+0.5%</f>
        <v>3.0000000000000002E-2</v>
      </c>
      <c r="H94" s="37">
        <f>G94+0.5%</f>
        <v>3.5000000000000003E-2</v>
      </c>
    </row>
    <row r="95" spans="1:22" x14ac:dyDescent="0.3">
      <c r="B95" s="36"/>
      <c r="C95" s="31">
        <f>C96-0.5%</f>
        <v>6.9999999999999993E-2</v>
      </c>
      <c r="D95" s="9">
        <f t="dataTable" ref="D95:H99" dt2D="1" dtr="1" r1="D19" r2="D18" ca="1"/>
        <v>3247.6376524732609</v>
      </c>
      <c r="E95" s="9">
        <v>3054.2121259929872</v>
      </c>
      <c r="F95" s="9">
        <v>3054.2121259929872</v>
      </c>
      <c r="G95" s="9">
        <v>3247.6376524732609</v>
      </c>
      <c r="H95" s="40">
        <v>3763.439056420656</v>
      </c>
    </row>
    <row r="96" spans="1:22" x14ac:dyDescent="0.3">
      <c r="B96" s="36"/>
      <c r="C96" s="31">
        <f>C97-0.5%</f>
        <v>7.4999999999999997E-2</v>
      </c>
      <c r="D96" s="9">
        <v>3613.3398481288332</v>
      </c>
      <c r="E96" s="9">
        <v>3371.235514747751</v>
      </c>
      <c r="F96" s="9">
        <v>3371.235514747751</v>
      </c>
      <c r="G96" s="9">
        <v>3613.3398481288332</v>
      </c>
      <c r="H96" s="40">
        <v>4279.1267649268093</v>
      </c>
    </row>
    <row r="97" spans="2:8" x14ac:dyDescent="0.3">
      <c r="B97" s="36" t="s">
        <v>37</v>
      </c>
      <c r="C97" s="31">
        <f>wacc</f>
        <v>0.08</v>
      </c>
      <c r="D97" s="9">
        <v>3613.3398481288332</v>
      </c>
      <c r="E97" s="9">
        <v>3371.235514747751</v>
      </c>
      <c r="F97" s="9">
        <v>3371.235514747751</v>
      </c>
      <c r="G97" s="9">
        <v>3613.3398481288332</v>
      </c>
      <c r="H97" s="40">
        <v>4279.1267649268093</v>
      </c>
    </row>
    <row r="98" spans="2:8" x14ac:dyDescent="0.3">
      <c r="B98" s="36"/>
      <c r="C98" s="31">
        <f>C97+0.5%</f>
        <v>8.5000000000000006E-2</v>
      </c>
      <c r="D98" s="9">
        <v>3247.6376524732609</v>
      </c>
      <c r="E98" s="9">
        <v>3054.2121259929872</v>
      </c>
      <c r="F98" s="9">
        <v>3054.2121259929872</v>
      </c>
      <c r="G98" s="9">
        <v>3247.6376524732609</v>
      </c>
      <c r="H98" s="40">
        <v>3763.439056420656</v>
      </c>
    </row>
    <row r="99" spans="2:8" ht="15" thickBot="1" x14ac:dyDescent="0.35">
      <c r="B99" s="38"/>
      <c r="C99" s="39">
        <f>C98+0.5%</f>
        <v>9.0000000000000011E-2</v>
      </c>
      <c r="D99" s="41">
        <v>2687.9127015815752</v>
      </c>
      <c r="E99" s="41">
        <v>2558.8928521788243</v>
      </c>
      <c r="F99" s="41">
        <v>2558.8928521788243</v>
      </c>
      <c r="G99" s="41">
        <v>2687.9127015815752</v>
      </c>
      <c r="H99" s="42">
        <v>3016.3268636976682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897C-9A9D-465B-B716-590D217F5503}">
  <dimension ref="B2:J9"/>
  <sheetViews>
    <sheetView showGridLines="0" workbookViewId="0">
      <selection activeCell="C7" sqref="C7"/>
    </sheetView>
  </sheetViews>
  <sheetFormatPr defaultRowHeight="14.4" x14ac:dyDescent="0.3"/>
  <cols>
    <col min="1" max="1" width="3.77734375" customWidth="1"/>
    <col min="2" max="3" width="17.77734375" customWidth="1"/>
    <col min="10" max="10" width="9.109375" bestFit="1" customWidth="1"/>
  </cols>
  <sheetData>
    <row r="2" spans="2:10" x14ac:dyDescent="0.3">
      <c r="B2" s="4" t="s">
        <v>66</v>
      </c>
      <c r="C2" s="43"/>
      <c r="D2" s="43"/>
      <c r="E2" s="43"/>
      <c r="F2" s="43"/>
      <c r="G2" s="43"/>
      <c r="H2" s="43"/>
      <c r="I2" s="43"/>
      <c r="J2" s="43"/>
    </row>
    <row r="4" spans="2:10" x14ac:dyDescent="0.3">
      <c r="B4" t="s">
        <v>9</v>
      </c>
      <c r="D4">
        <v>74989</v>
      </c>
      <c r="E4">
        <v>90272</v>
      </c>
      <c r="F4">
        <v>110855</v>
      </c>
      <c r="G4">
        <v>136819</v>
      </c>
      <c r="H4" s="6">
        <v>161857</v>
      </c>
      <c r="I4">
        <v>182527</v>
      </c>
      <c r="J4">
        <v>257637</v>
      </c>
    </row>
    <row r="5" spans="2:10" x14ac:dyDescent="0.3">
      <c r="B5" t="s">
        <v>11</v>
      </c>
      <c r="D5">
        <v>19360</v>
      </c>
      <c r="E5">
        <v>23716</v>
      </c>
      <c r="F5">
        <v>26146</v>
      </c>
      <c r="G5">
        <v>26953</v>
      </c>
      <c r="H5">
        <v>34231</v>
      </c>
      <c r="I5">
        <v>41224</v>
      </c>
      <c r="J5">
        <v>78714</v>
      </c>
    </row>
    <row r="6" spans="2:10" x14ac:dyDescent="0.3">
      <c r="B6" t="s">
        <v>14</v>
      </c>
      <c r="D6">
        <v>3232</v>
      </c>
      <c r="E6">
        <v>4672</v>
      </c>
      <c r="F6">
        <v>14531</v>
      </c>
      <c r="G6">
        <v>4177</v>
      </c>
      <c r="H6">
        <v>5282</v>
      </c>
      <c r="I6">
        <v>7813</v>
      </c>
      <c r="J6">
        <v>14701</v>
      </c>
    </row>
    <row r="7" spans="2:10" x14ac:dyDescent="0.3">
      <c r="B7" t="s">
        <v>16</v>
      </c>
      <c r="D7">
        <v>4979</v>
      </c>
      <c r="E7">
        <v>5063</v>
      </c>
      <c r="F7">
        <v>6144</v>
      </c>
      <c r="G7">
        <v>6915</v>
      </c>
      <c r="H7">
        <v>9035</v>
      </c>
      <c r="I7">
        <v>11781</v>
      </c>
      <c r="J7">
        <v>13697</v>
      </c>
    </row>
    <row r="8" spans="2:10" x14ac:dyDescent="0.3">
      <c r="B8" t="s">
        <v>19</v>
      </c>
      <c r="D8">
        <v>9915</v>
      </c>
      <c r="E8">
        <v>10212</v>
      </c>
      <c r="F8">
        <v>13184</v>
      </c>
      <c r="G8">
        <v>25139</v>
      </c>
      <c r="H8">
        <v>23548</v>
      </c>
      <c r="I8">
        <v>22281</v>
      </c>
      <c r="J8">
        <v>24640</v>
      </c>
    </row>
    <row r="9" spans="2:10" x14ac:dyDescent="0.3">
      <c r="B9" t="s">
        <v>21</v>
      </c>
      <c r="D9" s="46">
        <v>-409</v>
      </c>
      <c r="E9" s="14">
        <v>3300</v>
      </c>
      <c r="F9" s="14">
        <v>9246</v>
      </c>
      <c r="G9" s="14">
        <v>4908</v>
      </c>
      <c r="H9" s="14">
        <v>819</v>
      </c>
      <c r="I9" s="14">
        <v>1827</v>
      </c>
      <c r="J9" s="46">
        <v>-1523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0A4D-D596-4CEE-90CC-7329BDE0D951}">
  <dimension ref="B2:H7"/>
  <sheetViews>
    <sheetView showGridLines="0" zoomScale="106" workbookViewId="0">
      <selection activeCell="F10" sqref="F10"/>
    </sheetView>
  </sheetViews>
  <sheetFormatPr defaultRowHeight="14.4" x14ac:dyDescent="0.3"/>
  <cols>
    <col min="1" max="1" width="3.77734375" customWidth="1"/>
    <col min="2" max="2" width="12.77734375" customWidth="1"/>
  </cols>
  <sheetData>
    <row r="2" spans="2:8" x14ac:dyDescent="0.3">
      <c r="B2" s="4" t="s">
        <v>56</v>
      </c>
      <c r="C2" s="43"/>
      <c r="D2" s="43"/>
      <c r="E2" s="43"/>
      <c r="F2" s="43"/>
      <c r="G2" s="43"/>
      <c r="H2" s="43"/>
    </row>
    <row r="3" spans="2:8" x14ac:dyDescent="0.3">
      <c r="B3" s="17" t="s">
        <v>57</v>
      </c>
      <c r="E3" s="5" t="s">
        <v>58</v>
      </c>
    </row>
    <row r="4" spans="2:8" x14ac:dyDescent="0.3">
      <c r="B4" s="45" t="s">
        <v>61</v>
      </c>
      <c r="E4" s="5" t="s">
        <v>62</v>
      </c>
    </row>
    <row r="5" spans="2:8" x14ac:dyDescent="0.3">
      <c r="B5" s="44" t="s">
        <v>59</v>
      </c>
      <c r="E5" s="5" t="s">
        <v>60</v>
      </c>
    </row>
    <row r="6" spans="2:8" x14ac:dyDescent="0.3">
      <c r="B6" s="48" t="s">
        <v>63</v>
      </c>
      <c r="E6" s="5" t="s">
        <v>67</v>
      </c>
    </row>
    <row r="7" spans="2:8" x14ac:dyDescent="0.3">
      <c r="B7" s="49" t="s">
        <v>64</v>
      </c>
      <c r="C7" s="5"/>
      <c r="E7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Model</vt:lpstr>
      <vt:lpstr>Data</vt:lpstr>
      <vt:lpstr>Info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Patnaik</dc:creator>
  <cp:lastModifiedBy>Rohit Patnaik</cp:lastModifiedBy>
  <dcterms:created xsi:type="dcterms:W3CDTF">2015-06-05T18:17:20Z</dcterms:created>
  <dcterms:modified xsi:type="dcterms:W3CDTF">2024-09-27T08:55:03Z</dcterms:modified>
</cp:coreProperties>
</file>