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bookViews>
    <workbookView xWindow="0" yWindow="0" windowWidth="20490" windowHeight="9045" activeTab="1"/>
  </bookViews>
  <sheets>
    <sheet name="Financials&gt;" sheetId="1" r:id="rId1"/>
    <sheet name="HistoricalFS" sheetId="3" r:id="rId2"/>
    <sheet name="Ratio Analysis" sheetId="6" r:id="rId3"/>
    <sheet name="Data&gt;" sheetId="4" r:id="rId4"/>
    <sheet name="Data Sheet" sheetId="2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6" l="1"/>
  <c r="O39" i="6"/>
  <c r="O38" i="6"/>
  <c r="O36" i="6"/>
  <c r="O35" i="6"/>
  <c r="O34" i="6"/>
  <c r="O33" i="6"/>
  <c r="O31" i="6"/>
  <c r="O30" i="6"/>
  <c r="O29" i="6"/>
  <c r="O28" i="6"/>
  <c r="O27" i="6"/>
  <c r="O25" i="6"/>
  <c r="O24" i="6"/>
  <c r="O23" i="6"/>
  <c r="O22" i="6"/>
  <c r="O21" i="6"/>
  <c r="O19" i="6"/>
  <c r="O18" i="6"/>
  <c r="O17" i="6"/>
  <c r="O15" i="6"/>
  <c r="O14" i="6"/>
  <c r="O13" i="6"/>
  <c r="O12" i="6"/>
  <c r="O11" i="6"/>
  <c r="O9" i="6"/>
  <c r="O8" i="6"/>
  <c r="O7" i="6"/>
  <c r="O6" i="6"/>
  <c r="O5" i="6"/>
  <c r="N40" i="6"/>
  <c r="N39" i="6"/>
  <c r="N38" i="6"/>
  <c r="N36" i="6"/>
  <c r="N35" i="6"/>
  <c r="N34" i="6"/>
  <c r="N33" i="6"/>
  <c r="N31" i="6"/>
  <c r="N30" i="6"/>
  <c r="N29" i="6"/>
  <c r="N28" i="6"/>
  <c r="N27" i="6"/>
  <c r="N25" i="6"/>
  <c r="N24" i="6"/>
  <c r="N23" i="6"/>
  <c r="N22" i="6"/>
  <c r="N21" i="6"/>
  <c r="N19" i="6"/>
  <c r="N18" i="6"/>
  <c r="N17" i="6"/>
  <c r="N15" i="6"/>
  <c r="N14" i="6"/>
  <c r="N13" i="6"/>
  <c r="N12" i="6"/>
  <c r="N11" i="6"/>
  <c r="N9" i="6"/>
  <c r="N8" i="6"/>
  <c r="N7" i="6"/>
  <c r="N6" i="6"/>
  <c r="N5" i="6"/>
  <c r="L40" i="6"/>
  <c r="K40" i="6"/>
  <c r="J40" i="6"/>
  <c r="I40" i="6"/>
  <c r="H40" i="6"/>
  <c r="G40" i="6"/>
  <c r="F40" i="6"/>
  <c r="E40" i="6"/>
  <c r="D40" i="6"/>
  <c r="L39" i="6"/>
  <c r="K39" i="6"/>
  <c r="J39" i="6"/>
  <c r="I39" i="6"/>
  <c r="H39" i="6"/>
  <c r="G39" i="6"/>
  <c r="F39" i="6"/>
  <c r="E39" i="6"/>
  <c r="D39" i="6"/>
  <c r="L38" i="6"/>
  <c r="K38" i="6"/>
  <c r="J38" i="6"/>
  <c r="I38" i="6"/>
  <c r="H38" i="6"/>
  <c r="G38" i="6"/>
  <c r="F38" i="6"/>
  <c r="E38" i="6"/>
  <c r="D38" i="6"/>
  <c r="C40" i="6"/>
  <c r="C39" i="6"/>
  <c r="C38" i="6"/>
  <c r="E33" i="6"/>
  <c r="L31" i="6"/>
  <c r="K31" i="6"/>
  <c r="J31" i="6"/>
  <c r="I31" i="6"/>
  <c r="H31" i="6"/>
  <c r="G31" i="6"/>
  <c r="F31" i="6"/>
  <c r="E31" i="6"/>
  <c r="D31" i="6"/>
  <c r="L30" i="6"/>
  <c r="K30" i="6"/>
  <c r="J30" i="6"/>
  <c r="I30" i="6"/>
  <c r="H30" i="6"/>
  <c r="G30" i="6"/>
  <c r="F30" i="6"/>
  <c r="E30" i="6"/>
  <c r="D30" i="6"/>
  <c r="L29" i="6"/>
  <c r="L35" i="6" s="1"/>
  <c r="K29" i="6"/>
  <c r="K35" i="6" s="1"/>
  <c r="J29" i="6"/>
  <c r="J35" i="6" s="1"/>
  <c r="I29" i="6"/>
  <c r="I35" i="6" s="1"/>
  <c r="H29" i="6"/>
  <c r="H35" i="6" s="1"/>
  <c r="G29" i="6"/>
  <c r="G35" i="6" s="1"/>
  <c r="F29" i="6"/>
  <c r="F35" i="6" s="1"/>
  <c r="E29" i="6"/>
  <c r="E35" i="6" s="1"/>
  <c r="D29" i="6"/>
  <c r="D35" i="6" s="1"/>
  <c r="L28" i="6"/>
  <c r="L34" i="6" s="1"/>
  <c r="K28" i="6"/>
  <c r="K34" i="6" s="1"/>
  <c r="J28" i="6"/>
  <c r="J34" i="6" s="1"/>
  <c r="I28" i="6"/>
  <c r="I34" i="6" s="1"/>
  <c r="H28" i="6"/>
  <c r="H34" i="6" s="1"/>
  <c r="G28" i="6"/>
  <c r="G34" i="6" s="1"/>
  <c r="F28" i="6"/>
  <c r="F34" i="6" s="1"/>
  <c r="E28" i="6"/>
  <c r="E34" i="6" s="1"/>
  <c r="D28" i="6"/>
  <c r="D34" i="6" s="1"/>
  <c r="L27" i="6"/>
  <c r="L33" i="6" s="1"/>
  <c r="K27" i="6"/>
  <c r="K33" i="6" s="1"/>
  <c r="J27" i="6"/>
  <c r="J33" i="6" s="1"/>
  <c r="I27" i="6"/>
  <c r="I33" i="6" s="1"/>
  <c r="H27" i="6"/>
  <c r="H33" i="6" s="1"/>
  <c r="G27" i="6"/>
  <c r="G33" i="6" s="1"/>
  <c r="F27" i="6"/>
  <c r="F33" i="6" s="1"/>
  <c r="E27" i="6"/>
  <c r="D27" i="6"/>
  <c r="D33" i="6" s="1"/>
  <c r="C31" i="6"/>
  <c r="C30" i="6"/>
  <c r="C29" i="6"/>
  <c r="C35" i="6" s="1"/>
  <c r="C28" i="6"/>
  <c r="C34" i="6" s="1"/>
  <c r="C27" i="6"/>
  <c r="C33" i="6" s="1"/>
  <c r="L25" i="6"/>
  <c r="K25" i="6"/>
  <c r="J25" i="6"/>
  <c r="I25" i="6"/>
  <c r="H25" i="6"/>
  <c r="G25" i="6"/>
  <c r="F25" i="6"/>
  <c r="E25" i="6"/>
  <c r="D25" i="6"/>
  <c r="L23" i="6"/>
  <c r="K23" i="6"/>
  <c r="J23" i="6"/>
  <c r="I23" i="6"/>
  <c r="H23" i="6"/>
  <c r="G23" i="6"/>
  <c r="F23" i="6"/>
  <c r="E23" i="6"/>
  <c r="D23" i="6"/>
  <c r="L22" i="6"/>
  <c r="K22" i="6"/>
  <c r="J22" i="6"/>
  <c r="J24" i="6" s="1"/>
  <c r="I22" i="6"/>
  <c r="I24" i="6" s="1"/>
  <c r="H22" i="6"/>
  <c r="H24" i="6" s="1"/>
  <c r="G22" i="6"/>
  <c r="G24" i="6" s="1"/>
  <c r="F22" i="6"/>
  <c r="E22" i="6"/>
  <c r="D22" i="6"/>
  <c r="L21" i="6"/>
  <c r="K21" i="6"/>
  <c r="J21" i="6"/>
  <c r="I21" i="6"/>
  <c r="H21" i="6"/>
  <c r="G21" i="6"/>
  <c r="F21" i="6"/>
  <c r="E21" i="6"/>
  <c r="D21" i="6"/>
  <c r="C25" i="6"/>
  <c r="C23" i="6"/>
  <c r="C22" i="6"/>
  <c r="C24" i="6" s="1"/>
  <c r="C21" i="6"/>
  <c r="L18" i="6"/>
  <c r="K18" i="6"/>
  <c r="J18" i="6"/>
  <c r="I18" i="6"/>
  <c r="H18" i="6"/>
  <c r="G18" i="6"/>
  <c r="F18" i="6"/>
  <c r="E18" i="6"/>
  <c r="D18" i="6"/>
  <c r="L17" i="6"/>
  <c r="K17" i="6"/>
  <c r="J17" i="6"/>
  <c r="I17" i="6"/>
  <c r="H17" i="6"/>
  <c r="G17" i="6"/>
  <c r="F17" i="6"/>
  <c r="E17" i="6"/>
  <c r="D17" i="6"/>
  <c r="C18" i="6"/>
  <c r="C17" i="6"/>
  <c r="L15" i="6"/>
  <c r="K15" i="6"/>
  <c r="J15" i="6"/>
  <c r="I15" i="6"/>
  <c r="H15" i="6"/>
  <c r="G15" i="6"/>
  <c r="F15" i="6"/>
  <c r="E15" i="6"/>
  <c r="D15" i="6"/>
  <c r="L14" i="6"/>
  <c r="K14" i="6"/>
  <c r="J14" i="6"/>
  <c r="I14" i="6"/>
  <c r="H14" i="6"/>
  <c r="G14" i="6"/>
  <c r="F14" i="6"/>
  <c r="E14" i="6"/>
  <c r="D14" i="6"/>
  <c r="L13" i="6"/>
  <c r="L19" i="6" s="1"/>
  <c r="K13" i="6"/>
  <c r="K19" i="6" s="1"/>
  <c r="J13" i="6"/>
  <c r="J19" i="6" s="1"/>
  <c r="I13" i="6"/>
  <c r="I19" i="6" s="1"/>
  <c r="H13" i="6"/>
  <c r="H19" i="6" s="1"/>
  <c r="G13" i="6"/>
  <c r="G19" i="6" s="1"/>
  <c r="F13" i="6"/>
  <c r="F19" i="6" s="1"/>
  <c r="E13" i="6"/>
  <c r="E19" i="6" s="1"/>
  <c r="D13" i="6"/>
  <c r="D19" i="6" s="1"/>
  <c r="L12" i="6"/>
  <c r="K12" i="6"/>
  <c r="J12" i="6"/>
  <c r="I12" i="6"/>
  <c r="H12" i="6"/>
  <c r="G12" i="6"/>
  <c r="F12" i="6"/>
  <c r="E12" i="6"/>
  <c r="D12" i="6"/>
  <c r="L11" i="6"/>
  <c r="K11" i="6"/>
  <c r="J11" i="6"/>
  <c r="I11" i="6"/>
  <c r="H11" i="6"/>
  <c r="G11" i="6"/>
  <c r="F11" i="6"/>
  <c r="E11" i="6"/>
  <c r="D11" i="6"/>
  <c r="C13" i="6"/>
  <c r="C19" i="6" s="1"/>
  <c r="C15" i="6"/>
  <c r="C14" i="6"/>
  <c r="C12" i="6"/>
  <c r="C11" i="6"/>
  <c r="L9" i="6"/>
  <c r="K9" i="6"/>
  <c r="J9" i="6"/>
  <c r="I9" i="6"/>
  <c r="H9" i="6"/>
  <c r="G9" i="6"/>
  <c r="F9" i="6"/>
  <c r="E9" i="6"/>
  <c r="L8" i="6"/>
  <c r="K8" i="6"/>
  <c r="J8" i="6"/>
  <c r="I8" i="6"/>
  <c r="H8" i="6"/>
  <c r="G8" i="6"/>
  <c r="F8" i="6"/>
  <c r="E8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E6" i="6"/>
  <c r="L5" i="6"/>
  <c r="K5" i="6"/>
  <c r="J5" i="6"/>
  <c r="I5" i="6"/>
  <c r="H5" i="6"/>
  <c r="G5" i="6"/>
  <c r="F5" i="6"/>
  <c r="E5" i="6"/>
  <c r="D9" i="6"/>
  <c r="D8" i="6"/>
  <c r="D7" i="6"/>
  <c r="D6" i="6"/>
  <c r="D5" i="6"/>
  <c r="D24" i="6" l="1"/>
  <c r="L24" i="6"/>
  <c r="E24" i="6"/>
  <c r="D36" i="6"/>
  <c r="L36" i="6"/>
  <c r="C36" i="6"/>
  <c r="K36" i="6"/>
  <c r="J36" i="6"/>
  <c r="I36" i="6"/>
  <c r="F36" i="6"/>
  <c r="G36" i="6"/>
  <c r="H36" i="6"/>
  <c r="F24" i="6"/>
  <c r="E36" i="6"/>
  <c r="K24" i="6"/>
  <c r="B2" i="6" l="1"/>
  <c r="L3" i="6"/>
  <c r="K3" i="6"/>
  <c r="J3" i="6"/>
  <c r="I3" i="6"/>
  <c r="H3" i="6"/>
  <c r="G3" i="6"/>
  <c r="F3" i="6"/>
  <c r="E3" i="6"/>
  <c r="D3" i="6"/>
  <c r="C3" i="6"/>
  <c r="L74" i="3" l="1"/>
  <c r="K74" i="3"/>
  <c r="J74" i="3"/>
  <c r="I74" i="3"/>
  <c r="H74" i="3"/>
  <c r="G74" i="3"/>
  <c r="F74" i="3"/>
  <c r="E74" i="3"/>
  <c r="D74" i="3"/>
  <c r="C74" i="3"/>
  <c r="L72" i="3"/>
  <c r="K72" i="3"/>
  <c r="J72" i="3"/>
  <c r="I72" i="3"/>
  <c r="H72" i="3"/>
  <c r="G72" i="3"/>
  <c r="F72" i="3"/>
  <c r="E72" i="3"/>
  <c r="D72" i="3"/>
  <c r="C72" i="3"/>
  <c r="L70" i="3"/>
  <c r="K70" i="3"/>
  <c r="J70" i="3"/>
  <c r="I70" i="3"/>
  <c r="H70" i="3"/>
  <c r="G70" i="3"/>
  <c r="F70" i="3"/>
  <c r="E70" i="3"/>
  <c r="D70" i="3"/>
  <c r="C70" i="3"/>
  <c r="L56" i="3"/>
  <c r="K56" i="3"/>
  <c r="J56" i="3"/>
  <c r="I56" i="3"/>
  <c r="H56" i="3"/>
  <c r="G56" i="3"/>
  <c r="F56" i="3"/>
  <c r="E56" i="3"/>
  <c r="D56" i="3"/>
  <c r="C56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C61" i="3"/>
  <c r="C60" i="3"/>
  <c r="C59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M18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H62" i="3" l="1"/>
  <c r="I57" i="3"/>
  <c r="G62" i="3"/>
  <c r="F62" i="3"/>
  <c r="E57" i="3"/>
  <c r="C62" i="3"/>
  <c r="I62" i="3"/>
  <c r="I64" i="3" s="1"/>
  <c r="I66" i="3" s="1"/>
  <c r="D62" i="3"/>
  <c r="J57" i="3"/>
  <c r="H57" i="3"/>
  <c r="J62" i="3"/>
  <c r="C57" i="3"/>
  <c r="K57" i="3"/>
  <c r="K62" i="3"/>
  <c r="K64" i="3" s="1"/>
  <c r="K66" i="3" s="1"/>
  <c r="F76" i="3"/>
  <c r="F57" i="3"/>
  <c r="D57" i="3"/>
  <c r="L57" i="3"/>
  <c r="E62" i="3"/>
  <c r="I76" i="3"/>
  <c r="L62" i="3"/>
  <c r="G57" i="3"/>
  <c r="J76" i="3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G76" i="3" l="1"/>
  <c r="J64" i="3"/>
  <c r="J66" i="3" s="1"/>
  <c r="H64" i="3"/>
  <c r="H66" i="3" s="1"/>
  <c r="E76" i="3"/>
  <c r="C64" i="3"/>
  <c r="C66" i="3" s="1"/>
  <c r="K76" i="3"/>
  <c r="H76" i="3"/>
  <c r="C76" i="3"/>
  <c r="L76" i="3"/>
  <c r="G64" i="3"/>
  <c r="G66" i="3" s="1"/>
  <c r="F64" i="3"/>
  <c r="F66" i="3" s="1"/>
  <c r="D76" i="3"/>
  <c r="L64" i="3"/>
  <c r="L66" i="3" s="1"/>
  <c r="D64" i="3"/>
  <c r="D66" i="3" s="1"/>
  <c r="E64" i="3"/>
  <c r="E66" i="3" s="1"/>
  <c r="J18" i="3"/>
  <c r="J19" i="3" s="1"/>
  <c r="C13" i="3"/>
  <c r="C27" i="3"/>
  <c r="C28" i="3" s="1"/>
  <c r="K18" i="3"/>
  <c r="K19" i="3" s="1"/>
  <c r="E18" i="3"/>
  <c r="E13" i="3"/>
  <c r="G18" i="3"/>
  <c r="G13" i="3"/>
  <c r="F18" i="3"/>
  <c r="F13" i="3"/>
  <c r="L18" i="3"/>
  <c r="L13" i="3"/>
  <c r="H18" i="3"/>
  <c r="H13" i="3"/>
  <c r="M31" i="3"/>
  <c r="M33" i="3"/>
  <c r="M28" i="3"/>
  <c r="I18" i="3"/>
  <c r="I13" i="3"/>
  <c r="D18" i="3"/>
  <c r="D13" i="3"/>
  <c r="J27" i="3" l="1"/>
  <c r="J28" i="3" s="1"/>
  <c r="C33" i="3"/>
  <c r="C34" i="3" s="1"/>
  <c r="C31" i="3"/>
  <c r="K27" i="3"/>
  <c r="K28" i="3" s="1"/>
  <c r="G19" i="3"/>
  <c r="G27" i="3"/>
  <c r="F19" i="3"/>
  <c r="F27" i="3"/>
  <c r="I19" i="3"/>
  <c r="I27" i="3"/>
  <c r="C38" i="3"/>
  <c r="D19" i="3"/>
  <c r="D27" i="3"/>
  <c r="H19" i="3"/>
  <c r="H27" i="3"/>
  <c r="E19" i="3"/>
  <c r="E27" i="3"/>
  <c r="L19" i="3"/>
  <c r="L27" i="3"/>
  <c r="M34" i="3"/>
  <c r="M38" i="3"/>
  <c r="J33" i="3" l="1"/>
  <c r="J38" i="3" s="1"/>
  <c r="J31" i="3"/>
  <c r="K33" i="3"/>
  <c r="K34" i="3" s="1"/>
  <c r="K31" i="3"/>
  <c r="M44" i="3"/>
  <c r="M42" i="3"/>
  <c r="C42" i="3"/>
  <c r="C44" i="3" s="1"/>
  <c r="L31" i="3"/>
  <c r="L33" i="3"/>
  <c r="L28" i="3"/>
  <c r="K38" i="3"/>
  <c r="E31" i="3"/>
  <c r="E33" i="3"/>
  <c r="E28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J34" i="3" l="1"/>
  <c r="J44" i="3"/>
  <c r="J42" i="3"/>
  <c r="K39" i="3"/>
  <c r="K44" i="3"/>
  <c r="K42" i="3"/>
  <c r="F34" i="3"/>
  <c r="F38" i="3"/>
  <c r="I38" i="3"/>
  <c r="J39" i="3" s="1"/>
  <c r="I34" i="3"/>
  <c r="D38" i="3"/>
  <c r="D34" i="3"/>
  <c r="H34" i="3"/>
  <c r="H38" i="3"/>
  <c r="E34" i="3"/>
  <c r="E38" i="3"/>
  <c r="G34" i="3"/>
  <c r="G38" i="3"/>
  <c r="L38" i="3"/>
  <c r="L34" i="3"/>
  <c r="E39" i="3" l="1"/>
  <c r="E42" i="3"/>
  <c r="E44" i="3" s="1"/>
  <c r="H39" i="3"/>
  <c r="H42" i="3"/>
  <c r="H44" i="3" s="1"/>
  <c r="G39" i="3"/>
  <c r="G42" i="3"/>
  <c r="G44" i="3" s="1"/>
  <c r="I44" i="3"/>
  <c r="I39" i="3"/>
  <c r="I42" i="3"/>
  <c r="F39" i="3"/>
  <c r="F42" i="3"/>
  <c r="F44" i="3" s="1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<sst xmlns="http://schemas.openxmlformats.org/spreadsheetml/2006/main" count="157" uniqueCount="124">
  <si>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</si>
  <si>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</si>
  <si>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</si>
  <si>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</si>
  <si>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</si>
  <si>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</si>
  <si>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</si>
  <si>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</si>
  <si>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</si>
  <si>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</si>
  <si>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</si>
  <si>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</si>
  <si>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</si>
  <si>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</si>
  <si>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</si>
  <si>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</si>
  <si>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</si>
  <si>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</si>
  <si>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</si>
  <si>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</si>
  <si>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</si>
  <si>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</si>
  <si>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</si>
  <si>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</si>
  <si>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</si>
  <si>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</si>
  <si>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</si>
  <si>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</si>
  <si>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</si>
  <si>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</si>
  <si>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</si>
  <si>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</si>
  <si>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</si>
  <si>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</si>
  <si>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</si>
  <si>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</si>
  <si>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</si>
  <si>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</si>
  <si>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</si>
  <si>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</si>
  <si>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</si>
  <si>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</si>
  <si>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</si>
  <si>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</si>
  <si>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</si>
  <si>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</si>
  <si>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</si>
  <si>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</si>
  <si>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</si>
  <si>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</si>
  <si>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</si>
  <si>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</si>
  <si>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</si>
  <si>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</si>
  <si>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</si>
  <si>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</si>
  <si>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</si>
  <si>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</si>
  <si>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</si>
  <si>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</si>
  <si>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</si>
  <si>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</si>
  <si>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</si>
  <si>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</si>
  <si>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</si>
  <si>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</si>
  <si>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</si>
  <si>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</si>
  <si>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</si>
  <si>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</si>
  <si>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</si>
  <si>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</si>
  <si>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</si>
  <si>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</si>
  <si>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</si>
  <si>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</si>
  <si>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</si>
  <si>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</si>
  <si>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</si>
  <si>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</si>
  <si>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</si>
  <si>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</si>
  <si>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</si>
  <si>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</si>
  <si>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</si>
  <si>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</si>
  <si>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</si>
  <si>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</si>
  <si>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</si>
  <si>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</si>
  <si>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</si>
  <si>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</si>
  <si>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</si>
  <si>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</si>
  <si>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</si>
  <si>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</si>
  <si>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</si>
  <si>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</si>
  <si>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</si>
  <si>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</si>
  <si>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</si>
  <si>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</si>
  <si>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</si>
  <si>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</si>
  <si>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</si>
  <si>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</si>
  <si>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</si>
  <si>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</si>
  <si>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</si>
  <si>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</si>
  <si>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</si>
  <si>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</si>
  <si>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</si>
  <si>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</si>
  <si>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</si>
  <si>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Return on Equity%</t>
  </si>
  <si>
    <t>Return on Capital Employed</t>
  </si>
  <si>
    <t>CFO/Sales</t>
  </si>
  <si>
    <t>CFO/Total Assets</t>
  </si>
  <si>
    <t>CFO/Total Debt</t>
  </si>
  <si>
    <t>Cash Conversion Cycle (in days)</t>
  </si>
  <si>
    <t>Mean</t>
  </si>
  <si>
    <t>Median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</si>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</sst>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0.00&quot;x&quot;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51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0" fontId="0" fillId="0" borderId="0" xfId="0" applyFont="1"/>
    <xf numFmtId="166" fontId="0" fillId="0" borderId="0" xfId="0" applyNumberFormat="1" applyFont="1"/>
    <xf numFmtId="0" fontId="3" fillId="0" borderId="1" xfId="0" applyFont="1" applyBorder="1"/>
    <xf numFmtId="167" fontId="3" fillId="0" borderId="1" xfId="0" applyNumberFormat="1" applyFont="1" applyBorder="1"/>
    <xf numFmtId="166" fontId="3" fillId="0" borderId="1" xfId="0" applyNumberFormat="1" applyFont="1" applyBorder="1"/>
    <xf numFmtId="168" fontId="0" fillId="0" borderId="0" xfId="0" applyNumberFormat="1"/>
    <xf numFmtId="0" fontId="0" fillId="0" borderId="2" xfId="0" applyBorder="1"/>
    <xf numFmtId="10" fontId="0" fillId="0" borderId="2" xfId="1" applyNumberFormat="1" applyFont="1" applyBorder="1"/>
    <xf numFmtId="0" fontId="0" fillId="0" borderId="0" xfId="0" applyBorder="1"/>
    <xf numFmtId="10" fontId="0" fillId="0" borderId="0" xfId="1" applyNumberFormat="1" applyFont="1" applyBorder="1"/>
    <xf numFmtId="0" fontId="0" fillId="0" borderId="3" xfId="0" applyBorder="1"/>
    <xf numFmtId="10" fontId="0" fillId="0" borderId="3" xfId="1" applyNumberFormat="1" applyFont="1" applyBorder="1"/>
    <xf numFmtId="10" fontId="0" fillId="0" borderId="3" xfId="0" applyNumberFormat="1" applyBorder="1"/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7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</cellXfs>
  <cellStyles count="8">
    <cellStyle name="Accent6 2" xfId="4"/>
    <cellStyle name="Comma 2" xfId="2"/>
    <cellStyle name="Hyperlink 2" xfId="3"/>
    <cellStyle name="Normal" xfId="0" builtinId="0"/>
    <cellStyle name="Normal 2" xfId="7"/>
    <cellStyle name="Normal 3" xfId="5"/>
    <cellStyle name="Percent" xfId="1" builtinId="5"/>
    <cellStyle name="Percent 3" xfId="6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showGridLines="0"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showGridLines="0" tabSelected="1" zoomScale="90" zoomScaleNormal="90" workbookViewId="0">
      <pane ySplit="3" topLeftCell="A4" activePane="bottomLeft" state="frozen"/>
      <selection pane="bottomLeft" activeCell="L18" sqref="L18"/>
    </sheetView>
  </sheetViews>
  <sheetFormatPr defaultRowHeight="15" x14ac:dyDescent="0.25"/>
  <cols>
    <col min="1" max="1" width="1.85546875" customWidth="1"/>
    <col min="2" max="2" width="28.42578125" bestFit="1" customWidth="1"/>
    <col min="3" max="13" width="13" customWidth="1"/>
  </cols>
  <sheetData>
    <row r="2" spans="1:13" x14ac:dyDescent="0.25">
      <c r="B2" s="48" t="str">
        <f>"Historical Financial Statement - "&amp;'Data Sheet'!B1</f>
        <v>Historical Financial Statement - TATA MOTORS LTD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x14ac:dyDescent="0.25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2">
        <f>'Data Sheet'!K16</f>
        <v>44651</v>
      </c>
      <c r="M3" s="13" t="s">
        <v>57</v>
      </c>
    </row>
    <row r="4" spans="1:13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25">
      <c r="A5" t="s">
        <v>59</v>
      </c>
      <c r="B5" s="25" t="s">
        <v>58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25">
      <c r="B6" t="s">
        <v>12</v>
      </c>
      <c r="C6" s="15">
        <f>IFERROR('Data Sheet'!B17,0)</f>
        <v>188792.69</v>
      </c>
      <c r="D6" s="15">
        <f>IFERROR('Data Sheet'!C17,0)</f>
        <v>232833.66</v>
      </c>
      <c r="E6" s="15">
        <f>IFERROR('Data Sheet'!D17,0)</f>
        <v>263158.98</v>
      </c>
      <c r="F6" s="15">
        <f>IFERROR('Data Sheet'!E17,0)</f>
        <v>273045.59999999998</v>
      </c>
      <c r="G6" s="15">
        <f>IFERROR('Data Sheet'!F17,0)</f>
        <v>269692.51</v>
      </c>
      <c r="H6" s="15">
        <f>IFERROR('Data Sheet'!G17,0)</f>
        <v>291550.48</v>
      </c>
      <c r="I6" s="15">
        <f>IFERROR('Data Sheet'!H17,0)</f>
        <v>301938.40000000002</v>
      </c>
      <c r="J6" s="15">
        <f>IFERROR('Data Sheet'!I17,0)</f>
        <v>261067.97</v>
      </c>
      <c r="K6" s="15">
        <f>IFERROR('Data Sheet'!J17,0)</f>
        <v>249794.75</v>
      </c>
      <c r="L6" s="15">
        <f>IFERROR('Data Sheet'!K17,0)</f>
        <v>278453.62</v>
      </c>
      <c r="M6" s="15">
        <f>IFERROR(SUM('Data Sheet'!H42:K42),0)</f>
        <v>302214.38</v>
      </c>
    </row>
    <row r="7" spans="1:13" x14ac:dyDescent="0.25">
      <c r="B7" s="18" t="s">
        <v>60</v>
      </c>
      <c r="C7" s="19" t="s">
        <v>61</v>
      </c>
      <c r="D7" s="20">
        <f>D6/C6-1</f>
        <v>0.23327688164197458</v>
      </c>
      <c r="E7" s="20">
        <f t="shared" ref="E7:M7" si="0">E6/D6-1</f>
        <v>0.13024457030826198</v>
      </c>
      <c r="F7" s="20">
        <f t="shared" si="0"/>
        <v>3.75690010654397E-2</v>
      </c>
      <c r="G7" s="20">
        <f t="shared" si="0"/>
        <v>-1.2280329732469508E-2</v>
      </c>
      <c r="H7" s="20">
        <f t="shared" si="0"/>
        <v>8.104774581985974E-2</v>
      </c>
      <c r="I7" s="20">
        <f t="shared" si="0"/>
        <v>3.5629919045237157E-2</v>
      </c>
      <c r="J7" s="20">
        <f t="shared" si="0"/>
        <v>-0.135360159555724</v>
      </c>
      <c r="K7" s="20">
        <f t="shared" si="0"/>
        <v>-4.3181168490336042E-2</v>
      </c>
      <c r="L7" s="20">
        <f t="shared" si="0"/>
        <v>0.11472967306158344</v>
      </c>
      <c r="M7" s="20">
        <f t="shared" si="0"/>
        <v>8.5331122648001578E-2</v>
      </c>
    </row>
    <row r="9" spans="1:13" x14ac:dyDescent="0.25">
      <c r="B9" t="s">
        <v>62</v>
      </c>
      <c r="C9" s="15">
        <f>IFERROR(SUM('Data Sheet'!B18,'Data Sheet'!B20:B22)-1*'Data Sheet'!B19,0)</f>
        <v>142238.74</v>
      </c>
      <c r="D9" s="15">
        <f>IFERROR(SUM('Data Sheet'!C18,'Data Sheet'!C20:C22)-1*'Data Sheet'!C19,0)</f>
        <v>180131.06000000003</v>
      </c>
      <c r="E9" s="15">
        <f>IFERROR(SUM('Data Sheet'!D18,'Data Sheet'!D20:D22)-1*'Data Sheet'!D19,0)</f>
        <v>202856.88</v>
      </c>
      <c r="F9" s="15">
        <f>IFERROR(SUM('Data Sheet'!E18,'Data Sheet'!E20:E22)-1*'Data Sheet'!E19,0)</f>
        <v>205509.07</v>
      </c>
      <c r="G9" s="15">
        <f>IFERROR(SUM('Data Sheet'!F18,'Data Sheet'!F20:F22)-1*'Data Sheet'!F19,0)</f>
        <v>205454.23999999996</v>
      </c>
      <c r="H9" s="15">
        <f>IFERROR(SUM('Data Sheet'!G18,'Data Sheet'!G20:G22)-1*'Data Sheet'!G19,0)</f>
        <v>228429.83</v>
      </c>
      <c r="I9" s="15">
        <f>IFERROR(SUM('Data Sheet'!H18,'Data Sheet'!H20:H22)-1*'Data Sheet'!H19,0)</f>
        <v>242845.53</v>
      </c>
      <c r="J9" s="15">
        <f>IFERROR(SUM('Data Sheet'!I18,'Data Sheet'!I20:I22)-1*'Data Sheet'!I19,0)</f>
        <v>210376.07000000004</v>
      </c>
      <c r="K9" s="15">
        <f>IFERROR(SUM('Data Sheet'!J18,'Data Sheet'!J20:J22)-1*'Data Sheet'!J19,0)</f>
        <v>195326.04</v>
      </c>
      <c r="L9" s="15">
        <f>IFERROR(SUM('Data Sheet'!K18,'Data Sheet'!K20:K22)-1*'Data Sheet'!K19,0)</f>
        <v>223300.00999999998</v>
      </c>
      <c r="M9" s="15">
        <f>IFERROR(SUM('Data Sheet'!H43:K43),0)</f>
        <v>278868.53000000003</v>
      </c>
    </row>
    <row r="10" spans="1:13" x14ac:dyDescent="0.25">
      <c r="B10" s="18" t="s">
        <v>63</v>
      </c>
      <c r="C10" s="20">
        <f>C9/C6</f>
        <v>0.75341232756416565</v>
      </c>
      <c r="D10" s="20">
        <f t="shared" ref="D10:M10" si="1">D9/D6</f>
        <v>0.77364698901353024</v>
      </c>
      <c r="E10" s="20">
        <f t="shared" si="1"/>
        <v>0.77085296500237244</v>
      </c>
      <c r="F10" s="20">
        <f t="shared" si="1"/>
        <v>0.75265475803309057</v>
      </c>
      <c r="G10" s="20">
        <f t="shared" si="1"/>
        <v>0.76180921746770036</v>
      </c>
      <c r="H10" s="20">
        <f t="shared" si="1"/>
        <v>0.78350009919380004</v>
      </c>
      <c r="I10" s="20">
        <f t="shared" si="1"/>
        <v>0.80428832503583503</v>
      </c>
      <c r="J10" s="20">
        <f t="shared" si="1"/>
        <v>0.80582872728508226</v>
      </c>
      <c r="K10" s="20">
        <f t="shared" si="1"/>
        <v>0.7819461377791167</v>
      </c>
      <c r="L10" s="20">
        <f t="shared" si="1"/>
        <v>0.80192891728252624</v>
      </c>
      <c r="M10" s="20">
        <f t="shared" si="1"/>
        <v>0.92275069770008966</v>
      </c>
    </row>
    <row r="12" spans="1:13" x14ac:dyDescent="0.25">
      <c r="B12" s="30" t="s">
        <v>64</v>
      </c>
      <c r="C12" s="31">
        <f>C6-C9</f>
        <v>46553.950000000012</v>
      </c>
      <c r="D12" s="31">
        <f t="shared" ref="D12:M12" si="2">D6-D9</f>
        <v>52702.599999999977</v>
      </c>
      <c r="E12" s="31">
        <f t="shared" si="2"/>
        <v>60302.099999999977</v>
      </c>
      <c r="F12" s="31">
        <f t="shared" si="2"/>
        <v>67536.52999999997</v>
      </c>
      <c r="G12" s="31">
        <f t="shared" si="2"/>
        <v>64238.270000000048</v>
      </c>
      <c r="H12" s="31">
        <f t="shared" si="2"/>
        <v>63120.649999999994</v>
      </c>
      <c r="I12" s="31">
        <f t="shared" si="2"/>
        <v>59092.870000000024</v>
      </c>
      <c r="J12" s="31">
        <f t="shared" si="2"/>
        <v>50691.899999999965</v>
      </c>
      <c r="K12" s="31">
        <f t="shared" si="2"/>
        <v>54468.709999999992</v>
      </c>
      <c r="L12" s="31">
        <f t="shared" si="2"/>
        <v>55153.610000000015</v>
      </c>
      <c r="M12" s="31">
        <f t="shared" si="2"/>
        <v>23345.849999999977</v>
      </c>
    </row>
    <row r="13" spans="1:13" x14ac:dyDescent="0.25">
      <c r="B13" s="18" t="s">
        <v>70</v>
      </c>
      <c r="C13" s="20">
        <f>C12/C6</f>
        <v>0.24658767243583429</v>
      </c>
      <c r="D13" s="20">
        <f t="shared" ref="D13:M13" si="3">D12/D6</f>
        <v>0.22635301098646982</v>
      </c>
      <c r="E13" s="20">
        <f t="shared" si="3"/>
        <v>0.22914703499762759</v>
      </c>
      <c r="F13" s="20">
        <f t="shared" si="3"/>
        <v>0.24734524196690946</v>
      </c>
      <c r="G13" s="20">
        <f t="shared" si="3"/>
        <v>0.23819078253229964</v>
      </c>
      <c r="H13" s="20">
        <f t="shared" si="3"/>
        <v>0.21649990080619999</v>
      </c>
      <c r="I13" s="20">
        <f t="shared" si="3"/>
        <v>0.19571167496416494</v>
      </c>
      <c r="J13" s="20">
        <f t="shared" si="3"/>
        <v>0.19417127271491774</v>
      </c>
      <c r="K13" s="20">
        <f t="shared" si="3"/>
        <v>0.2180538622208833</v>
      </c>
      <c r="L13" s="20">
        <f t="shared" si="3"/>
        <v>0.19807108271747378</v>
      </c>
      <c r="M13" s="20">
        <f t="shared" si="3"/>
        <v>7.7249302299910338E-2</v>
      </c>
    </row>
    <row r="15" spans="1:13" x14ac:dyDescent="0.25">
      <c r="B15" t="s">
        <v>65</v>
      </c>
      <c r="C15" s="21">
        <f>IFERROR(SUM('Data Sheet'!B23:B24),0)</f>
        <v>21957.97</v>
      </c>
      <c r="D15" s="21">
        <f>IFERROR(SUM('Data Sheet'!C23:C24),0)</f>
        <v>17849.240000000002</v>
      </c>
      <c r="E15" s="21">
        <f>IFERROR(SUM('Data Sheet'!D23:D24),0)</f>
        <v>21063.449999999997</v>
      </c>
      <c r="F15" s="21">
        <f>IFERROR(SUM('Data Sheet'!E23:E24),0)</f>
        <v>29141.280000000002</v>
      </c>
      <c r="G15" s="21">
        <f>IFERROR(SUM('Data Sheet'!F23:F24),0)</f>
        <v>34649.58</v>
      </c>
      <c r="H15" s="21">
        <f>IFERROR(SUM('Data Sheet'!G23:G24),0)</f>
        <v>31662.97</v>
      </c>
      <c r="I15" s="21">
        <f>IFERROR(SUM('Data Sheet'!H23:H24),0)</f>
        <v>34428.54</v>
      </c>
      <c r="J15" s="21">
        <f>IFERROR(SUM('Data Sheet'!I23:I24),0)</f>
        <v>32704.83</v>
      </c>
      <c r="K15" s="21">
        <f>IFERROR(SUM('Data Sheet'!J23:J24),0)</f>
        <v>22181.280000000002</v>
      </c>
      <c r="L15" s="21">
        <f>IFERROR(SUM('Data Sheet'!K23:K24),0)</f>
        <v>30433.52</v>
      </c>
      <c r="M15" s="21"/>
    </row>
    <row r="16" spans="1:13" x14ac:dyDescent="0.25">
      <c r="B16" s="18" t="s">
        <v>66</v>
      </c>
      <c r="C16" s="20">
        <f>C15/C6</f>
        <v>0.11630731041546154</v>
      </c>
      <c r="D16" s="20">
        <f t="shared" ref="D16:M16" si="4">D15/D6</f>
        <v>7.6660908908102038E-2</v>
      </c>
      <c r="E16" s="20">
        <f t="shared" si="4"/>
        <v>8.0040779911823637E-2</v>
      </c>
      <c r="F16" s="20">
        <f t="shared" si="4"/>
        <v>0.10672678849247161</v>
      </c>
      <c r="G16" s="20">
        <f t="shared" si="4"/>
        <v>0.12847809529452636</v>
      </c>
      <c r="H16" s="20">
        <f t="shared" si="4"/>
        <v>0.10860201636437025</v>
      </c>
      <c r="I16" s="20">
        <f t="shared" si="4"/>
        <v>0.11402504616835751</v>
      </c>
      <c r="J16" s="20">
        <f t="shared" si="4"/>
        <v>0.12527323822987554</v>
      </c>
      <c r="K16" s="20">
        <f t="shared" si="4"/>
        <v>8.8798023177028354E-2</v>
      </c>
      <c r="L16" s="20">
        <f t="shared" si="4"/>
        <v>0.10929475436519734</v>
      </c>
      <c r="M16" s="20">
        <f t="shared" si="4"/>
        <v>0</v>
      </c>
    </row>
    <row r="18" spans="2:13" x14ac:dyDescent="0.25">
      <c r="B18" s="30" t="s">
        <v>28</v>
      </c>
      <c r="C18" s="31">
        <f t="shared" ref="C18:L18" si="5">C12-C15</f>
        <v>24595.98000000001</v>
      </c>
      <c r="D18" s="31">
        <f t="shared" si="5"/>
        <v>34853.359999999971</v>
      </c>
      <c r="E18" s="31">
        <f t="shared" si="5"/>
        <v>39238.64999999998</v>
      </c>
      <c r="F18" s="31">
        <f t="shared" si="5"/>
        <v>38395.249999999971</v>
      </c>
      <c r="G18" s="31">
        <f t="shared" si="5"/>
        <v>29588.690000000046</v>
      </c>
      <c r="H18" s="31">
        <f t="shared" si="5"/>
        <v>31457.679999999993</v>
      </c>
      <c r="I18" s="31">
        <f t="shared" si="5"/>
        <v>24664.330000000024</v>
      </c>
      <c r="J18" s="31">
        <f t="shared" si="5"/>
        <v>17987.069999999963</v>
      </c>
      <c r="K18" s="31">
        <f t="shared" si="5"/>
        <v>32287.429999999989</v>
      </c>
      <c r="L18" s="31">
        <f t="shared" si="5"/>
        <v>24720.090000000015</v>
      </c>
      <c r="M18" s="31">
        <f>IFERROR(SUM('Data Sheet'!H51:K51),0)</f>
        <v>27983.82</v>
      </c>
    </row>
    <row r="19" spans="2:13" x14ac:dyDescent="0.25">
      <c r="B19" s="18" t="s">
        <v>67</v>
      </c>
      <c r="C19" s="20">
        <f>C18/C6</f>
        <v>0.13028036202037277</v>
      </c>
      <c r="D19" s="20">
        <f t="shared" ref="D19:M19" si="6">D18/D6</f>
        <v>0.14969210207836775</v>
      </c>
      <c r="E19" s="20">
        <f t="shared" si="6"/>
        <v>0.14910625508580397</v>
      </c>
      <c r="F19" s="20">
        <f t="shared" si="6"/>
        <v>0.14061845347443788</v>
      </c>
      <c r="G19" s="20">
        <f t="shared" si="6"/>
        <v>0.10971268723777329</v>
      </c>
      <c r="H19" s="20">
        <f t="shared" si="6"/>
        <v>0.10789788444182975</v>
      </c>
      <c r="I19" s="20">
        <f t="shared" si="6"/>
        <v>8.1686628795807431E-2</v>
      </c>
      <c r="J19" s="20">
        <f t="shared" si="6"/>
        <v>6.8898034485042198E-2</v>
      </c>
      <c r="K19" s="20">
        <f t="shared" si="6"/>
        <v>0.12925583904385496</v>
      </c>
      <c r="L19" s="20">
        <f t="shared" si="6"/>
        <v>8.877632835227646E-2</v>
      </c>
      <c r="M19" s="20">
        <f t="shared" si="6"/>
        <v>9.2595924786901276E-2</v>
      </c>
    </row>
    <row r="21" spans="2:13" x14ac:dyDescent="0.25">
      <c r="B21" t="s">
        <v>22</v>
      </c>
      <c r="C21" s="21">
        <f>IFERROR('Data Sheet'!B27,0)</f>
        <v>3560.25</v>
      </c>
      <c r="D21" s="21">
        <f>IFERROR('Data Sheet'!C27,0)</f>
        <v>4749.4399999999996</v>
      </c>
      <c r="E21" s="21">
        <f>IFERROR('Data Sheet'!D27,0)</f>
        <v>4861.49</v>
      </c>
      <c r="F21" s="21">
        <f>IFERROR('Data Sheet'!E27,0)</f>
        <v>4889.08</v>
      </c>
      <c r="G21" s="21">
        <f>IFERROR('Data Sheet'!F27,0)</f>
        <v>4238.01</v>
      </c>
      <c r="H21" s="21">
        <f>IFERROR('Data Sheet'!G27,0)</f>
        <v>4681.79</v>
      </c>
      <c r="I21" s="21">
        <f>IFERROR('Data Sheet'!H27,0)</f>
        <v>5758.6</v>
      </c>
      <c r="J21" s="21">
        <f>IFERROR('Data Sheet'!I27,0)</f>
        <v>7243.33</v>
      </c>
      <c r="K21" s="21">
        <f>IFERROR('Data Sheet'!J27,0)</f>
        <v>8097.17</v>
      </c>
      <c r="L21" s="21">
        <f>IFERROR('Data Sheet'!K27,0)</f>
        <v>9311.86</v>
      </c>
      <c r="M21" s="21">
        <f>IFERROR(SUM('Data Sheet'!H46:K46),0)</f>
        <v>9689.24</v>
      </c>
    </row>
    <row r="22" spans="2:13" x14ac:dyDescent="0.25">
      <c r="B22" s="18" t="s">
        <v>68</v>
      </c>
      <c r="C22" s="20">
        <f>C21/C6</f>
        <v>1.8857986503608801E-2</v>
      </c>
      <c r="D22" s="20">
        <f t="shared" ref="D22:M22" si="7">D21/D6</f>
        <v>2.0398425210512945E-2</v>
      </c>
      <c r="E22" s="20">
        <f t="shared" si="7"/>
        <v>1.8473585814932098E-2</v>
      </c>
      <c r="F22" s="20">
        <f t="shared" si="7"/>
        <v>1.7905727101993223E-2</v>
      </c>
      <c r="G22" s="20">
        <f t="shared" si="7"/>
        <v>1.5714229512714312E-2</v>
      </c>
      <c r="H22" s="20">
        <f t="shared" si="7"/>
        <v>1.605824830060304E-2</v>
      </c>
      <c r="I22" s="20">
        <f t="shared" si="7"/>
        <v>1.9072102124141878E-2</v>
      </c>
      <c r="J22" s="20">
        <f t="shared" si="7"/>
        <v>2.7744996829752802E-2</v>
      </c>
      <c r="K22" s="20">
        <f t="shared" si="7"/>
        <v>3.2415292955516477E-2</v>
      </c>
      <c r="L22" s="20">
        <f t="shared" si="7"/>
        <v>3.3441332168710897E-2</v>
      </c>
      <c r="M22" s="20">
        <f t="shared" si="7"/>
        <v>3.2060817225176376E-2</v>
      </c>
    </row>
    <row r="24" spans="2:13" x14ac:dyDescent="0.25">
      <c r="B24" t="s">
        <v>21</v>
      </c>
      <c r="C24" s="21">
        <f>IFERROR('Data Sheet'!B26,0)</f>
        <v>7601.28</v>
      </c>
      <c r="D24" s="21">
        <f>IFERROR('Data Sheet'!C26,0)</f>
        <v>11078.16</v>
      </c>
      <c r="E24" s="21">
        <f>IFERROR('Data Sheet'!D26,0)</f>
        <v>13388.63</v>
      </c>
      <c r="F24" s="21">
        <f>IFERROR('Data Sheet'!E26,0)</f>
        <v>16710.78</v>
      </c>
      <c r="G24" s="21">
        <f>IFERROR('Data Sheet'!F26,0)</f>
        <v>17904.990000000002</v>
      </c>
      <c r="H24" s="21">
        <f>IFERROR('Data Sheet'!G26,0)</f>
        <v>21553.59</v>
      </c>
      <c r="I24" s="21">
        <f>IFERROR('Data Sheet'!H26,0)</f>
        <v>23590.63</v>
      </c>
      <c r="J24" s="21">
        <f>IFERROR('Data Sheet'!I26,0)</f>
        <v>21425.43</v>
      </c>
      <c r="K24" s="21">
        <f>IFERROR('Data Sheet'!J26,0)</f>
        <v>23546.71</v>
      </c>
      <c r="L24" s="21">
        <f>IFERROR('Data Sheet'!K26,0)</f>
        <v>24835.69</v>
      </c>
      <c r="M24" s="21">
        <f>IFERROR(SUM('Data Sheet'!H45:K45),0)</f>
        <v>24248.62</v>
      </c>
    </row>
    <row r="25" spans="2:13" x14ac:dyDescent="0.25">
      <c r="B25" s="18" t="s">
        <v>69</v>
      </c>
      <c r="C25" s="20">
        <f>C24/C6</f>
        <v>4.0262575844435503E-2</v>
      </c>
      <c r="D25" s="20">
        <f t="shared" ref="D25:M25" si="8">D24/D6</f>
        <v>4.757971849946438E-2</v>
      </c>
      <c r="E25" s="20">
        <f t="shared" si="8"/>
        <v>5.0876584184966822E-2</v>
      </c>
      <c r="F25" s="20">
        <f t="shared" si="8"/>
        <v>6.1201425695927715E-2</v>
      </c>
      <c r="G25" s="20">
        <f t="shared" si="8"/>
        <v>6.63903865924938E-2</v>
      </c>
      <c r="H25" s="20">
        <f t="shared" si="8"/>
        <v>7.3927472182518786E-2</v>
      </c>
      <c r="I25" s="20">
        <f t="shared" si="8"/>
        <v>7.8130605447998658E-2</v>
      </c>
      <c r="J25" s="20">
        <f t="shared" si="8"/>
        <v>8.206839774331566E-2</v>
      </c>
      <c r="K25" s="20">
        <f t="shared" si="8"/>
        <v>9.4264230933596482E-2</v>
      </c>
      <c r="L25" s="20">
        <f t="shared" si="8"/>
        <v>8.9191478279219347E-2</v>
      </c>
      <c r="M25" s="20">
        <f t="shared" si="8"/>
        <v>8.0236486430592738E-2</v>
      </c>
    </row>
    <row r="27" spans="2:13" x14ac:dyDescent="0.25">
      <c r="B27" s="30" t="s">
        <v>71</v>
      </c>
      <c r="C27" s="31">
        <f>IFERROR(C18-SUM(C24,C21),0)</f>
        <v>13434.450000000012</v>
      </c>
      <c r="D27" s="31">
        <f t="shared" ref="D27:M27" si="9">IFERROR(D18-SUM(D24,D21),0)</f>
        <v>19025.759999999973</v>
      </c>
      <c r="E27" s="31">
        <f t="shared" si="9"/>
        <v>20988.529999999981</v>
      </c>
      <c r="F27" s="31">
        <f t="shared" si="9"/>
        <v>16795.38999999997</v>
      </c>
      <c r="G27" s="31">
        <f t="shared" si="9"/>
        <v>7445.690000000046</v>
      </c>
      <c r="H27" s="31">
        <f t="shared" si="9"/>
        <v>5222.299999999992</v>
      </c>
      <c r="I27" s="32">
        <f t="shared" si="9"/>
        <v>-4684.8999999999796</v>
      </c>
      <c r="J27" s="32">
        <f t="shared" si="9"/>
        <v>-10681.690000000039</v>
      </c>
      <c r="K27" s="32">
        <f t="shared" si="9"/>
        <v>643.549999999992</v>
      </c>
      <c r="L27" s="32">
        <f t="shared" si="9"/>
        <v>-9427.4599999999882</v>
      </c>
      <c r="M27" s="32">
        <f t="shared" si="9"/>
        <v>-5954.0400000000009</v>
      </c>
    </row>
    <row r="28" spans="2:13" x14ac:dyDescent="0.25">
      <c r="B28" s="18" t="s">
        <v>72</v>
      </c>
      <c r="C28" s="20">
        <f>C27/C6</f>
        <v>7.115979967232848E-2</v>
      </c>
      <c r="D28" s="20">
        <f t="shared" ref="D28:M28" si="10">D27/D6</f>
        <v>8.1713958368390432E-2</v>
      </c>
      <c r="E28" s="20">
        <f t="shared" si="10"/>
        <v>7.9756085085905037E-2</v>
      </c>
      <c r="F28" s="20">
        <f t="shared" si="10"/>
        <v>6.1511300676516931E-2</v>
      </c>
      <c r="G28" s="20">
        <f t="shared" si="10"/>
        <v>2.7608071132565179E-2</v>
      </c>
      <c r="H28" s="20">
        <f t="shared" si="10"/>
        <v>1.7912163958707913E-2</v>
      </c>
      <c r="I28" s="20">
        <f t="shared" si="10"/>
        <v>-1.5516078776333117E-2</v>
      </c>
      <c r="J28" s="20">
        <f t="shared" si="10"/>
        <v>-4.0915360088026265E-2</v>
      </c>
      <c r="K28" s="20">
        <f t="shared" si="10"/>
        <v>2.5763151547420113E-3</v>
      </c>
      <c r="L28" s="20">
        <f t="shared" si="10"/>
        <v>-3.3856482095653805E-2</v>
      </c>
      <c r="M28" s="20">
        <f t="shared" si="10"/>
        <v>-1.9701378868867858E-2</v>
      </c>
    </row>
    <row r="30" spans="2:13" x14ac:dyDescent="0.25">
      <c r="B30" t="s">
        <v>24</v>
      </c>
      <c r="C30" s="15">
        <f>IFERROR('Data Sheet'!B29,0)</f>
        <v>3776.66</v>
      </c>
      <c r="D30" s="15">
        <f>IFERROR('Data Sheet'!C29,0)</f>
        <v>4764.79</v>
      </c>
      <c r="E30" s="15">
        <f>IFERROR('Data Sheet'!D29,0)</f>
        <v>7642.91</v>
      </c>
      <c r="F30" s="15">
        <f>IFERROR('Data Sheet'!E29,0)</f>
        <v>3025.05</v>
      </c>
      <c r="G30" s="15">
        <f>IFERROR('Data Sheet'!F29,0)</f>
        <v>3251.23</v>
      </c>
      <c r="H30" s="15">
        <f>IFERROR('Data Sheet'!G29,0)</f>
        <v>4341.93</v>
      </c>
      <c r="I30" s="15">
        <f>IFERROR('Data Sheet'!H29,0)</f>
        <v>-2437.4499999999998</v>
      </c>
      <c r="J30" s="15">
        <f>IFERROR('Data Sheet'!I29,0)</f>
        <v>395.25</v>
      </c>
      <c r="K30" s="15">
        <f>IFERROR('Data Sheet'!J29,0)</f>
        <v>2541.86</v>
      </c>
      <c r="L30" s="15">
        <f>IFERROR('Data Sheet'!K29,0)</f>
        <v>4231.29</v>
      </c>
      <c r="M30" s="15">
        <f>IFERROR(SUM('Data Sheet'!H48:K48),0)</f>
        <v>2546.15</v>
      </c>
    </row>
    <row r="31" spans="2:13" x14ac:dyDescent="0.25">
      <c r="B31" s="18" t="s">
        <v>27</v>
      </c>
      <c r="C31" s="20">
        <f>C30/C27</f>
        <v>0.28111757459367498</v>
      </c>
      <c r="D31" s="20">
        <f t="shared" ref="D31:M31" si="11">D30/D27</f>
        <v>0.25043887865714731</v>
      </c>
      <c r="E31" s="20">
        <f t="shared" si="11"/>
        <v>0.3641469888553418</v>
      </c>
      <c r="F31" s="20">
        <f t="shared" si="11"/>
        <v>0.18011192356950362</v>
      </c>
      <c r="G31" s="20">
        <f t="shared" si="11"/>
        <v>0.43665932908836924</v>
      </c>
      <c r="H31" s="20">
        <f t="shared" si="11"/>
        <v>0.8314210213890445</v>
      </c>
      <c r="I31" s="20">
        <f t="shared" si="11"/>
        <v>0.52027791414971725</v>
      </c>
      <c r="J31" s="20">
        <f t="shared" si="11"/>
        <v>-3.7002571690434617E-2</v>
      </c>
      <c r="K31" s="20">
        <f t="shared" si="11"/>
        <v>3.9497474943672315</v>
      </c>
      <c r="L31" s="20">
        <f t="shared" si="11"/>
        <v>-0.4488260888935095</v>
      </c>
      <c r="M31" s="20">
        <f t="shared" si="11"/>
        <v>-0.42763400984877492</v>
      </c>
    </row>
    <row r="33" spans="1:13" x14ac:dyDescent="0.25">
      <c r="B33" s="30" t="s">
        <v>73</v>
      </c>
      <c r="C33" s="32">
        <f>IFERROR(C27-C30,0)</f>
        <v>9657.7900000000118</v>
      </c>
      <c r="D33" s="32">
        <f t="shared" ref="D33:M33" si="12">IFERROR(D27-D30,0)</f>
        <v>14260.969999999972</v>
      </c>
      <c r="E33" s="32">
        <f t="shared" si="12"/>
        <v>13345.619999999981</v>
      </c>
      <c r="F33" s="32">
        <f t="shared" si="12"/>
        <v>13770.339999999971</v>
      </c>
      <c r="G33" s="32">
        <f t="shared" si="12"/>
        <v>4194.4600000000464</v>
      </c>
      <c r="H33" s="32">
        <f t="shared" si="12"/>
        <v>880.36999999999171</v>
      </c>
      <c r="I33" s="32">
        <f t="shared" si="12"/>
        <v>-2247.4499999999798</v>
      </c>
      <c r="J33" s="32">
        <f t="shared" si="12"/>
        <v>-11076.940000000039</v>
      </c>
      <c r="K33" s="32">
        <f t="shared" si="12"/>
        <v>-1898.3100000000081</v>
      </c>
      <c r="L33" s="32">
        <f t="shared" si="12"/>
        <v>-13658.749999999989</v>
      </c>
      <c r="M33" s="32">
        <f t="shared" si="12"/>
        <v>-8500.19</v>
      </c>
    </row>
    <row r="34" spans="1:13" x14ac:dyDescent="0.25">
      <c r="B34" s="18" t="s">
        <v>74</v>
      </c>
      <c r="C34" s="20">
        <f>C33/C6</f>
        <v>5.1155529379871709E-2</v>
      </c>
      <c r="D34" s="20">
        <f t="shared" ref="D34:M34" si="13">D33/D6</f>
        <v>6.124960626397391E-2</v>
      </c>
      <c r="E34" s="20">
        <f t="shared" si="13"/>
        <v>5.0713146858982282E-2</v>
      </c>
      <c r="F34" s="20">
        <f t="shared" si="13"/>
        <v>5.0432381990407359E-2</v>
      </c>
      <c r="G34" s="20">
        <f t="shared" si="13"/>
        <v>1.5552749314395296E-2</v>
      </c>
      <c r="H34" s="20">
        <f t="shared" si="13"/>
        <v>3.01961430487095E-3</v>
      </c>
      <c r="I34" s="20">
        <f t="shared" si="13"/>
        <v>-7.4434056747998256E-3</v>
      </c>
      <c r="J34" s="20">
        <f t="shared" si="13"/>
        <v>-4.2429333632923408E-2</v>
      </c>
      <c r="K34" s="20">
        <f t="shared" si="13"/>
        <v>-7.5994791724005731E-3</v>
      </c>
      <c r="L34" s="20">
        <f t="shared" si="13"/>
        <v>-4.9052154538339235E-2</v>
      </c>
      <c r="M34" s="20">
        <f t="shared" si="13"/>
        <v>-2.812635851411174E-2</v>
      </c>
    </row>
    <row r="36" spans="1:13" x14ac:dyDescent="0.25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2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B38" t="s">
        <v>77</v>
      </c>
      <c r="C38" s="21">
        <f>IFERROR(C33/C36,0)</f>
        <v>33.80158896822067</v>
      </c>
      <c r="D38" s="21">
        <f t="shared" ref="D38:M38" si="14">IFERROR(D33/D36,0)</f>
        <v>49.390351180993186</v>
      </c>
      <c r="E38" s="21">
        <f t="shared" si="14"/>
        <v>46.220198102098706</v>
      </c>
      <c r="F38" s="21">
        <f t="shared" si="14"/>
        <v>47.694444444444336</v>
      </c>
      <c r="G38" s="21">
        <f t="shared" si="14"/>
        <v>14.527274616423808</v>
      </c>
      <c r="H38" s="21">
        <f t="shared" si="14"/>
        <v>3.049111626779315</v>
      </c>
      <c r="I38" s="21">
        <f t="shared" si="14"/>
        <v>-7.7839157690575265</v>
      </c>
      <c r="J38" s="21">
        <f t="shared" si="14"/>
        <v>-35.859307219164904</v>
      </c>
      <c r="K38" s="21">
        <f t="shared" si="14"/>
        <v>-5.7172845827184542</v>
      </c>
      <c r="L38" s="21">
        <f t="shared" si="14"/>
        <v>-41.132140813683833</v>
      </c>
      <c r="M38" s="21">
        <f t="shared" si="14"/>
        <v>-25.597584846568498</v>
      </c>
    </row>
    <row r="39" spans="1:13" x14ac:dyDescent="0.25">
      <c r="B39" s="18" t="s">
        <v>78</v>
      </c>
      <c r="C39" s="20"/>
      <c r="D39" s="20">
        <f>IFERROR(D38/C38-1,0)</f>
        <v>0.46118430194002547</v>
      </c>
      <c r="E39" s="20">
        <f t="shared" ref="E39:M39" si="15">IFERROR(E38/D38-1,0)</f>
        <v>-6.4185676009415493E-2</v>
      </c>
      <c r="F39" s="20">
        <f t="shared" si="15"/>
        <v>3.189614936502605E-2</v>
      </c>
      <c r="G39" s="20">
        <f t="shared" si="15"/>
        <v>-0.69540950134463697</v>
      </c>
      <c r="H39" s="20">
        <f t="shared" si="15"/>
        <v>-0.79011124197155724</v>
      </c>
      <c r="I39" s="20">
        <f t="shared" si="15"/>
        <v>-3.5528470983790919</v>
      </c>
      <c r="J39" s="20">
        <f t="shared" si="15"/>
        <v>3.6068467700681115</v>
      </c>
      <c r="K39" s="20">
        <f t="shared" si="15"/>
        <v>-0.84056344011958861</v>
      </c>
      <c r="L39" s="20">
        <f t="shared" si="15"/>
        <v>6.194349033807641</v>
      </c>
      <c r="M39" s="20">
        <f t="shared" si="15"/>
        <v>-0.37767438455202651</v>
      </c>
    </row>
    <row r="41" spans="1:13" x14ac:dyDescent="0.25">
      <c r="B41" t="s">
        <v>76</v>
      </c>
      <c r="C41" s="33">
        <f>IFERROR('Data Sheet'!B31/HistoricalFS!C36,0)</f>
        <v>2.2332003359932799</v>
      </c>
      <c r="D41" s="33">
        <f>IFERROR('Data Sheet'!C31/HistoricalFS!D36,0)</f>
        <v>2.2296183417607534</v>
      </c>
      <c r="E41" s="15">
        <f>IFERROR('Data Sheet'!D31/HistoricalFS!E36,0)</f>
        <v>0</v>
      </c>
      <c r="F41" s="15">
        <f>IFERROR('Data Sheet'!E31/HistoricalFS!F36,0)</f>
        <v>0.23524522028262676</v>
      </c>
      <c r="G41" s="15">
        <f>IFERROR('Data Sheet'!F31/HistoricalFS!G36,0)</f>
        <v>0</v>
      </c>
      <c r="H41" s="15">
        <f>IFERROR('Data Sheet'!G31/HistoricalFS!H36,0)</f>
        <v>0</v>
      </c>
      <c r="I41" s="15">
        <f>IFERROR('Data Sheet'!H31/HistoricalFS!I36,0)</f>
        <v>0</v>
      </c>
      <c r="J41" s="15">
        <f>IFERROR('Data Sheet'!I31/HistoricalFS!J36,0)</f>
        <v>0</v>
      </c>
      <c r="K41" s="15">
        <f>IFERROR('Data Sheet'!J31/HistoricalFS!K36,0)</f>
        <v>0</v>
      </c>
      <c r="L41" s="15">
        <f>IFERROR('Data Sheet'!K31/HistoricalFS!L36,0)</f>
        <v>0</v>
      </c>
      <c r="M41" s="15">
        <f>IFERROR('Data Sheet'!L31/HistoricalFS!M36,0)</f>
        <v>0</v>
      </c>
    </row>
    <row r="42" spans="1:13" x14ac:dyDescent="0.25">
      <c r="B42" s="18" t="s">
        <v>79</v>
      </c>
      <c r="C42" s="20">
        <f>IFERROR(C41/C38,0)</f>
        <v>6.6067909946271278E-2</v>
      </c>
      <c r="D42" s="20">
        <f t="shared" ref="D42:M42" si="16">IFERROR(D41/D38,0)</f>
        <v>4.5142791829728357E-2</v>
      </c>
      <c r="E42" s="20">
        <f t="shared" si="16"/>
        <v>0</v>
      </c>
      <c r="F42" s="20">
        <f t="shared" si="16"/>
        <v>4.9323400874633563E-3</v>
      </c>
      <c r="G42" s="20">
        <f t="shared" si="16"/>
        <v>0</v>
      </c>
      <c r="H42" s="20">
        <f t="shared" si="16"/>
        <v>0</v>
      </c>
      <c r="I42" s="20">
        <f t="shared" si="16"/>
        <v>0</v>
      </c>
      <c r="J42" s="20">
        <f t="shared" si="16"/>
        <v>0</v>
      </c>
      <c r="K42" s="20">
        <f t="shared" si="16"/>
        <v>0</v>
      </c>
      <c r="L42" s="20">
        <f t="shared" si="16"/>
        <v>0</v>
      </c>
      <c r="M42" s="20">
        <f t="shared" si="16"/>
        <v>0</v>
      </c>
    </row>
    <row r="44" spans="1:13" x14ac:dyDescent="0.25">
      <c r="B44" t="s">
        <v>80</v>
      </c>
      <c r="C44" s="16">
        <f>IFERROR(IF(C38&gt;C41,1-C42,0),0)</f>
        <v>0.93393209005372868</v>
      </c>
      <c r="D44" s="16">
        <f t="shared" ref="D44:M44" si="17">IFERROR(IF(D38&gt;D41,1-D42,0),0)</f>
        <v>0.95485720817027164</v>
      </c>
      <c r="E44" s="16">
        <f t="shared" si="17"/>
        <v>1</v>
      </c>
      <c r="F44" s="16">
        <f t="shared" si="17"/>
        <v>0.99506765991253665</v>
      </c>
      <c r="G44" s="16">
        <f t="shared" si="17"/>
        <v>1</v>
      </c>
      <c r="H44" s="16">
        <f t="shared" si="17"/>
        <v>1</v>
      </c>
      <c r="I44" s="16">
        <f t="shared" si="17"/>
        <v>0</v>
      </c>
      <c r="J44" s="16">
        <f t="shared" si="17"/>
        <v>0</v>
      </c>
      <c r="K44" s="16">
        <f t="shared" si="17"/>
        <v>0</v>
      </c>
      <c r="L44" s="16">
        <f t="shared" si="17"/>
        <v>0</v>
      </c>
      <c r="M44" s="16">
        <f t="shared" si="17"/>
        <v>0</v>
      </c>
    </row>
    <row r="46" spans="1:13" x14ac:dyDescent="0.25">
      <c r="A46" t="s">
        <v>59</v>
      </c>
      <c r="B46" s="25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 x14ac:dyDescent="0.25">
      <c r="B47" t="s">
        <v>33</v>
      </c>
      <c r="C47" s="15">
        <f>IFERROR('Data Sheet'!B57,0)</f>
        <v>638.07000000000005</v>
      </c>
      <c r="D47" s="15">
        <f>IFERROR('Data Sheet'!C57,0)</f>
        <v>643.78</v>
      </c>
      <c r="E47" s="15">
        <f>IFERROR('Data Sheet'!D57,0)</f>
        <v>643.78</v>
      </c>
      <c r="F47" s="15">
        <f>IFERROR('Data Sheet'!E57,0)</f>
        <v>679.18</v>
      </c>
      <c r="G47" s="15">
        <f>IFERROR('Data Sheet'!F57,0)</f>
        <v>679.22</v>
      </c>
      <c r="H47" s="15">
        <f>IFERROR('Data Sheet'!G57,0)</f>
        <v>679.22</v>
      </c>
      <c r="I47" s="15">
        <f>IFERROR('Data Sheet'!H57,0)</f>
        <v>679.22</v>
      </c>
      <c r="J47" s="15">
        <f>IFERROR('Data Sheet'!I57,0)</f>
        <v>719.54</v>
      </c>
      <c r="K47" s="15">
        <f>IFERROR('Data Sheet'!J57,0)</f>
        <v>765.81</v>
      </c>
      <c r="L47" s="15">
        <f>IFERROR('Data Sheet'!K57,0)</f>
        <v>765.88</v>
      </c>
    </row>
    <row r="48" spans="1:13" x14ac:dyDescent="0.25">
      <c r="B48" t="s">
        <v>34</v>
      </c>
      <c r="C48" s="15">
        <f>IFERROR('Data Sheet'!B58,0)</f>
        <v>36999.230000000003</v>
      </c>
      <c r="D48" s="15">
        <f>IFERROR('Data Sheet'!C58,0)</f>
        <v>64959.67</v>
      </c>
      <c r="E48" s="15">
        <f>IFERROR('Data Sheet'!D58,0)</f>
        <v>55618.14</v>
      </c>
      <c r="F48" s="15">
        <f>IFERROR('Data Sheet'!E58,0)</f>
        <v>78273.23</v>
      </c>
      <c r="G48" s="15">
        <f>IFERROR('Data Sheet'!F58,0)</f>
        <v>57382.67</v>
      </c>
      <c r="H48" s="15">
        <f>IFERROR('Data Sheet'!G58,0)</f>
        <v>94748.69</v>
      </c>
      <c r="I48" s="15">
        <f>IFERROR('Data Sheet'!H58,0)</f>
        <v>59500.34</v>
      </c>
      <c r="J48" s="15">
        <f>IFERROR('Data Sheet'!I58,0)</f>
        <v>61491.49</v>
      </c>
      <c r="K48" s="15">
        <f>IFERROR('Data Sheet'!J58,0)</f>
        <v>54480.91</v>
      </c>
      <c r="L48" s="15">
        <f>IFERROR('Data Sheet'!K58,0)</f>
        <v>43795.360000000001</v>
      </c>
    </row>
    <row r="49" spans="2:13" x14ac:dyDescent="0.25">
      <c r="B49" t="s">
        <v>35</v>
      </c>
      <c r="C49" s="15">
        <f>IFERROR('Data Sheet'!B59,0)</f>
        <v>53715.71</v>
      </c>
      <c r="D49" s="15">
        <f>IFERROR('Data Sheet'!C59,0)</f>
        <v>60642.28</v>
      </c>
      <c r="E49" s="15">
        <f>IFERROR('Data Sheet'!D59,0)</f>
        <v>73610.39</v>
      </c>
      <c r="F49" s="15">
        <f>IFERROR('Data Sheet'!E59,0)</f>
        <v>69359.960000000006</v>
      </c>
      <c r="G49" s="15">
        <f>IFERROR('Data Sheet'!F59,0)</f>
        <v>78603.98</v>
      </c>
      <c r="H49" s="15">
        <f>IFERROR('Data Sheet'!G59,0)</f>
        <v>88950.47</v>
      </c>
      <c r="I49" s="15">
        <f>IFERROR('Data Sheet'!H59,0)</f>
        <v>106175.34</v>
      </c>
      <c r="J49" s="15">
        <f>IFERROR('Data Sheet'!I59,0)</f>
        <v>124787.64</v>
      </c>
      <c r="K49" s="15">
        <f>IFERROR('Data Sheet'!J59,0)</f>
        <v>142130.57</v>
      </c>
      <c r="L49" s="15">
        <f>IFERROR('Data Sheet'!K59,0)</f>
        <v>146449.03</v>
      </c>
    </row>
    <row r="50" spans="2:13" x14ac:dyDescent="0.25">
      <c r="B50" t="s">
        <v>36</v>
      </c>
      <c r="C50" s="15">
        <f>IFERROR('Data Sheet'!B60,0)</f>
        <v>76977.02</v>
      </c>
      <c r="D50" s="15">
        <f>IFERROR('Data Sheet'!C60,0)</f>
        <v>92180.26</v>
      </c>
      <c r="E50" s="15">
        <f>IFERROR('Data Sheet'!D60,0)</f>
        <v>107442.48</v>
      </c>
      <c r="F50" s="15">
        <f>IFERROR('Data Sheet'!E60,0)</f>
        <v>114871.75</v>
      </c>
      <c r="G50" s="15">
        <f>IFERROR('Data Sheet'!F60,0)</f>
        <v>135914.49</v>
      </c>
      <c r="H50" s="15">
        <f>IFERROR('Data Sheet'!G60,0)</f>
        <v>142813.43</v>
      </c>
      <c r="I50" s="15">
        <f>IFERROR('Data Sheet'!H60,0)</f>
        <v>139348.59</v>
      </c>
      <c r="J50" s="15">
        <f>IFERROR('Data Sheet'!I60,0)</f>
        <v>133180.72</v>
      </c>
      <c r="K50" s="15">
        <f>IFERROR('Data Sheet'!J60,0)</f>
        <v>144192.62</v>
      </c>
      <c r="L50" s="15">
        <f>IFERROR('Data Sheet'!K60,0)</f>
        <v>138051.22</v>
      </c>
    </row>
    <row r="51" spans="2:13" x14ac:dyDescent="0.25">
      <c r="B51" s="30" t="s">
        <v>82</v>
      </c>
      <c r="C51" s="32">
        <f>IFERROR('Data Sheet'!B61,0)</f>
        <v>168330.03</v>
      </c>
      <c r="D51" s="32">
        <f>IFERROR('Data Sheet'!C61,0)</f>
        <v>218425.99</v>
      </c>
      <c r="E51" s="32">
        <f>IFERROR('Data Sheet'!D61,0)</f>
        <v>237314.79</v>
      </c>
      <c r="F51" s="32">
        <f>IFERROR('Data Sheet'!E61,0)</f>
        <v>263184.12</v>
      </c>
      <c r="G51" s="32">
        <f>IFERROR('Data Sheet'!F61,0)</f>
        <v>272580.36</v>
      </c>
      <c r="H51" s="32">
        <f>IFERROR('Data Sheet'!G61,0)</f>
        <v>327191.81</v>
      </c>
      <c r="I51" s="32">
        <f>IFERROR('Data Sheet'!H61,0)</f>
        <v>305703.49</v>
      </c>
      <c r="J51" s="32">
        <f>IFERROR('Data Sheet'!I61,0)</f>
        <v>320179.39</v>
      </c>
      <c r="K51" s="32">
        <f>IFERROR('Data Sheet'!J61,0)</f>
        <v>341569.91</v>
      </c>
      <c r="L51" s="32">
        <f>IFERROR('Data Sheet'!K61,0)</f>
        <v>329061.49</v>
      </c>
      <c r="M51" s="14"/>
    </row>
    <row r="53" spans="2:13" x14ac:dyDescent="0.25">
      <c r="B53" t="s">
        <v>83</v>
      </c>
      <c r="C53" s="15">
        <f>IFERROR('Data Sheet'!B62,0)</f>
        <v>55511.73</v>
      </c>
      <c r="D53" s="15">
        <f>IFERROR('Data Sheet'!C62,0)</f>
        <v>69091.67</v>
      </c>
      <c r="E53" s="15">
        <f>IFERROR('Data Sheet'!D62,0)</f>
        <v>88479.49</v>
      </c>
      <c r="F53" s="15">
        <f>IFERROR('Data Sheet'!E62,0)</f>
        <v>107231.76</v>
      </c>
      <c r="G53" s="15">
        <f>IFERROR('Data Sheet'!F62,0)</f>
        <v>95944.08</v>
      </c>
      <c r="H53" s="15">
        <f>IFERROR('Data Sheet'!G62,0)</f>
        <v>121413.86</v>
      </c>
      <c r="I53" s="15">
        <f>IFERROR('Data Sheet'!H62,0)</f>
        <v>111234.47</v>
      </c>
      <c r="J53" s="15">
        <f>IFERROR('Data Sheet'!I62,0)</f>
        <v>127107.14</v>
      </c>
      <c r="K53" s="15">
        <f>IFERROR('Data Sheet'!J62,0)</f>
        <v>138707.60999999999</v>
      </c>
      <c r="L53" s="15">
        <f>IFERROR('Data Sheet'!K62,0)</f>
        <v>138855.45000000001</v>
      </c>
    </row>
    <row r="54" spans="2:13" x14ac:dyDescent="0.25">
      <c r="B54" t="s">
        <v>39</v>
      </c>
      <c r="C54" s="15">
        <f>IFERROR('Data Sheet'!B63,0)</f>
        <v>18453.55</v>
      </c>
      <c r="D54" s="15">
        <f>IFERROR('Data Sheet'!C63,0)</f>
        <v>33262.559999999998</v>
      </c>
      <c r="E54" s="15">
        <f>IFERROR('Data Sheet'!D63,0)</f>
        <v>28640.09</v>
      </c>
      <c r="F54" s="15">
        <f>IFERROR('Data Sheet'!E63,0)</f>
        <v>25918.94</v>
      </c>
      <c r="G54" s="15">
        <f>IFERROR('Data Sheet'!F63,0)</f>
        <v>33698.839999999997</v>
      </c>
      <c r="H54" s="15">
        <f>IFERROR('Data Sheet'!G63,0)</f>
        <v>40033.5</v>
      </c>
      <c r="I54" s="15">
        <f>IFERROR('Data Sheet'!H63,0)</f>
        <v>31883.84</v>
      </c>
      <c r="J54" s="15">
        <f>IFERROR('Data Sheet'!I63,0)</f>
        <v>35622.29</v>
      </c>
      <c r="K54" s="15">
        <f>IFERROR('Data Sheet'!J63,0)</f>
        <v>20963.93</v>
      </c>
      <c r="L54" s="15">
        <f>IFERROR('Data Sheet'!K63,0)</f>
        <v>10251.09</v>
      </c>
    </row>
    <row r="55" spans="2:13" x14ac:dyDescent="0.25">
      <c r="B55" t="s">
        <v>40</v>
      </c>
      <c r="C55" s="15">
        <f>IFERROR('Data Sheet'!B64,0)</f>
        <v>8764.73</v>
      </c>
      <c r="D55" s="15">
        <f>IFERROR('Data Sheet'!C64,0)</f>
        <v>10686.67</v>
      </c>
      <c r="E55" s="15">
        <f>IFERROR('Data Sheet'!D64,0)</f>
        <v>15336.74</v>
      </c>
      <c r="F55" s="15">
        <f>IFERROR('Data Sheet'!E64,0)</f>
        <v>23767.02</v>
      </c>
      <c r="G55" s="15">
        <f>IFERROR('Data Sheet'!F64,0)</f>
        <v>20337.919999999998</v>
      </c>
      <c r="H55" s="15">
        <f>IFERROR('Data Sheet'!G64,0)</f>
        <v>20812.75</v>
      </c>
      <c r="I55" s="15">
        <f>IFERROR('Data Sheet'!H64,0)</f>
        <v>15770.72</v>
      </c>
      <c r="J55" s="15">
        <f>IFERROR('Data Sheet'!I64,0)</f>
        <v>16308.48</v>
      </c>
      <c r="K55" s="15">
        <f>IFERROR('Data Sheet'!J64,0)</f>
        <v>24620.28</v>
      </c>
      <c r="L55" s="15">
        <f>IFERROR('Data Sheet'!K64,0)</f>
        <v>29379.53</v>
      </c>
    </row>
    <row r="56" spans="2:13" x14ac:dyDescent="0.25">
      <c r="B56" t="s">
        <v>41</v>
      </c>
      <c r="C56" s="15">
        <f>IFERROR('Data Sheet'!B65-SUM('Data Sheet'!B67:B69),0)</f>
        <v>32488.780000000006</v>
      </c>
      <c r="D56" s="15">
        <f>IFERROR('Data Sheet'!C65-SUM('Data Sheet'!C67:C69),0)</f>
        <v>37828.179999999993</v>
      </c>
      <c r="E56" s="15">
        <f>IFERROR('Data Sheet'!D65-SUM('Data Sheet'!D67:D69),0)</f>
        <v>30891.17</v>
      </c>
      <c r="F56" s="15">
        <f>IFERROR('Data Sheet'!E65-SUM('Data Sheet'!E67:E69),0)</f>
        <v>29579.359999999986</v>
      </c>
      <c r="G56" s="15">
        <f>IFERROR('Data Sheet'!F65-SUM('Data Sheet'!F67:F69),0)</f>
        <v>37360.780000000013</v>
      </c>
      <c r="H56" s="15">
        <f>IFERROR('Data Sheet'!G65-SUM('Data Sheet'!G67:G69),0)</f>
        <v>48286.860000000015</v>
      </c>
      <c r="I56" s="15">
        <f>IFERROR('Data Sheet'!H65-SUM('Data Sheet'!H67:H69),0)</f>
        <v>56155.739999999991</v>
      </c>
      <c r="J56" s="15">
        <f>IFERROR('Data Sheet'!I65-SUM('Data Sheet'!I67:I69),0)</f>
        <v>58784.94</v>
      </c>
      <c r="K56" s="15">
        <f>IFERROR('Data Sheet'!J65-SUM('Data Sheet'!J67:J69),0)</f>
        <v>61717.959999999992</v>
      </c>
      <c r="L56" s="15">
        <f>IFERROR('Data Sheet'!K65-SUM('Data Sheet'!K67:K69),0)</f>
        <v>62223.770000000019</v>
      </c>
    </row>
    <row r="57" spans="2:13" x14ac:dyDescent="0.25">
      <c r="B57" s="30" t="s">
        <v>84</v>
      </c>
      <c r="C57" s="32">
        <f>SUM(C53:C56)</f>
        <v>115218.79000000001</v>
      </c>
      <c r="D57" s="32">
        <f t="shared" ref="D57:L57" si="18">SUM(D53:D56)</f>
        <v>150869.07999999999</v>
      </c>
      <c r="E57" s="32">
        <f t="shared" si="18"/>
        <v>163347.49</v>
      </c>
      <c r="F57" s="32">
        <f t="shared" si="18"/>
        <v>186497.07999999996</v>
      </c>
      <c r="G57" s="32">
        <f t="shared" si="18"/>
        <v>187341.62</v>
      </c>
      <c r="H57" s="32">
        <f t="shared" si="18"/>
        <v>230546.97</v>
      </c>
      <c r="I57" s="32">
        <f t="shared" si="18"/>
        <v>215044.77</v>
      </c>
      <c r="J57" s="32">
        <f t="shared" si="18"/>
        <v>237822.85</v>
      </c>
      <c r="K57" s="32">
        <f t="shared" si="18"/>
        <v>246009.77999999997</v>
      </c>
      <c r="L57" s="32">
        <f t="shared" si="18"/>
        <v>240709.84000000003</v>
      </c>
    </row>
    <row r="58" spans="2:13" x14ac:dyDescent="0.25">
      <c r="B58" s="14"/>
    </row>
    <row r="59" spans="2:13" x14ac:dyDescent="0.25">
      <c r="B59" t="s">
        <v>42</v>
      </c>
      <c r="C59" s="15">
        <f>IFERROR('Data Sheet'!B67,0)</f>
        <v>10959.6</v>
      </c>
      <c r="D59" s="15">
        <f>IFERROR('Data Sheet'!C67,0)</f>
        <v>10574.23</v>
      </c>
      <c r="E59" s="15">
        <f>IFERROR('Data Sheet'!D67,0)</f>
        <v>12579.2</v>
      </c>
      <c r="F59" s="15">
        <f>IFERROR('Data Sheet'!E67,0)</f>
        <v>13570.91</v>
      </c>
      <c r="G59" s="15">
        <f>IFERROR('Data Sheet'!F67,0)</f>
        <v>14075.55</v>
      </c>
      <c r="H59" s="15">
        <f>IFERROR('Data Sheet'!G67,0)</f>
        <v>19893.3</v>
      </c>
      <c r="I59" s="15">
        <f>IFERROR('Data Sheet'!H67,0)</f>
        <v>18996.169999999998</v>
      </c>
      <c r="J59" s="15">
        <f>IFERROR('Data Sheet'!I67,0)</f>
        <v>11172.69</v>
      </c>
      <c r="K59" s="15">
        <f>IFERROR('Data Sheet'!J67,0)</f>
        <v>12679.08</v>
      </c>
      <c r="L59" s="15">
        <f>IFERROR('Data Sheet'!K67,0)</f>
        <v>12442.12</v>
      </c>
    </row>
    <row r="60" spans="2:13" x14ac:dyDescent="0.25">
      <c r="B60" t="s">
        <v>43</v>
      </c>
      <c r="C60" s="15">
        <f>IFERROR('Data Sheet'!B68,0)</f>
        <v>21036.82</v>
      </c>
      <c r="D60" s="15">
        <f>IFERROR('Data Sheet'!C68,0)</f>
        <v>27270.89</v>
      </c>
      <c r="E60" s="15">
        <f>IFERROR('Data Sheet'!D68,0)</f>
        <v>29272.34</v>
      </c>
      <c r="F60" s="15">
        <f>IFERROR('Data Sheet'!E68,0)</f>
        <v>32655.73</v>
      </c>
      <c r="G60" s="15">
        <f>IFERROR('Data Sheet'!F68,0)</f>
        <v>35085.31</v>
      </c>
      <c r="H60" s="15">
        <f>IFERROR('Data Sheet'!G68,0)</f>
        <v>42137.63</v>
      </c>
      <c r="I60" s="15">
        <f>IFERROR('Data Sheet'!H68,0)</f>
        <v>39013.730000000003</v>
      </c>
      <c r="J60" s="15">
        <f>IFERROR('Data Sheet'!I68,0)</f>
        <v>37456.879999999997</v>
      </c>
      <c r="K60" s="15">
        <f>IFERROR('Data Sheet'!J68,0)</f>
        <v>36088.589999999997</v>
      </c>
      <c r="L60" s="15">
        <f>IFERROR('Data Sheet'!K68,0)</f>
        <v>35240.339999999997</v>
      </c>
    </row>
    <row r="61" spans="2:13" x14ac:dyDescent="0.25">
      <c r="B61" t="s">
        <v>44</v>
      </c>
      <c r="C61" s="15">
        <f>IFERROR('Data Sheet'!B69,0)</f>
        <v>21114.82</v>
      </c>
      <c r="D61" s="15">
        <f>IFERROR('Data Sheet'!C69,0)</f>
        <v>29711.79</v>
      </c>
      <c r="E61" s="15">
        <f>IFERROR('Data Sheet'!D69,0)</f>
        <v>32115.759999999998</v>
      </c>
      <c r="F61" s="15">
        <f>IFERROR('Data Sheet'!E69,0)</f>
        <v>30460.400000000001</v>
      </c>
      <c r="G61" s="15">
        <f>IFERROR('Data Sheet'!F69,0)</f>
        <v>36077.879999999997</v>
      </c>
      <c r="H61" s="15">
        <f>IFERROR('Data Sheet'!G69,0)</f>
        <v>34613.910000000003</v>
      </c>
      <c r="I61" s="15">
        <f>IFERROR('Data Sheet'!H69,0)</f>
        <v>32648.82</v>
      </c>
      <c r="J61" s="15">
        <f>IFERROR('Data Sheet'!I69,0)</f>
        <v>33726.97</v>
      </c>
      <c r="K61" s="15">
        <f>IFERROR('Data Sheet'!J69,0)</f>
        <v>46792.46</v>
      </c>
      <c r="L61" s="15">
        <f>IFERROR('Data Sheet'!K69,0)</f>
        <v>40669.19</v>
      </c>
    </row>
    <row r="62" spans="2:13" x14ac:dyDescent="0.25">
      <c r="B62" s="30" t="s">
        <v>85</v>
      </c>
      <c r="C62" s="32">
        <f>IFERROR(SUM(C59:C61),0)</f>
        <v>53111.24</v>
      </c>
      <c r="D62" s="32">
        <f t="shared" ref="D62:L62" si="19">IFERROR(SUM(D59:D61),0)</f>
        <v>67556.91</v>
      </c>
      <c r="E62" s="32">
        <f t="shared" si="19"/>
        <v>73967.3</v>
      </c>
      <c r="F62" s="32">
        <f t="shared" si="19"/>
        <v>76687.040000000008</v>
      </c>
      <c r="G62" s="32">
        <f t="shared" si="19"/>
        <v>85238.739999999991</v>
      </c>
      <c r="H62" s="32">
        <f t="shared" si="19"/>
        <v>96644.84</v>
      </c>
      <c r="I62" s="32">
        <f t="shared" si="19"/>
        <v>90658.72</v>
      </c>
      <c r="J62" s="32">
        <f t="shared" si="19"/>
        <v>82356.540000000008</v>
      </c>
      <c r="K62" s="32">
        <f t="shared" si="19"/>
        <v>95560.13</v>
      </c>
      <c r="L62" s="32">
        <f t="shared" si="19"/>
        <v>88351.65</v>
      </c>
    </row>
    <row r="64" spans="2:13" x14ac:dyDescent="0.25">
      <c r="B64" s="30" t="s">
        <v>86</v>
      </c>
      <c r="C64" s="32">
        <f>IFERROR(C62+C57,0)</f>
        <v>168330.03</v>
      </c>
      <c r="D64" s="32">
        <f t="shared" ref="D64:L64" si="20">IFERROR(D62+D57,0)</f>
        <v>218425.99</v>
      </c>
      <c r="E64" s="32">
        <f t="shared" si="20"/>
        <v>237314.78999999998</v>
      </c>
      <c r="F64" s="32">
        <f t="shared" si="20"/>
        <v>263184.12</v>
      </c>
      <c r="G64" s="32">
        <f t="shared" si="20"/>
        <v>272580.36</v>
      </c>
      <c r="H64" s="32">
        <f t="shared" si="20"/>
        <v>327191.81</v>
      </c>
      <c r="I64" s="32">
        <f t="shared" si="20"/>
        <v>305703.49</v>
      </c>
      <c r="J64" s="32">
        <f t="shared" si="20"/>
        <v>320179.39</v>
      </c>
      <c r="K64" s="32">
        <f t="shared" si="20"/>
        <v>341569.91</v>
      </c>
      <c r="L64" s="32">
        <f t="shared" si="20"/>
        <v>329061.49</v>
      </c>
    </row>
    <row r="66" spans="1:13" x14ac:dyDescent="0.25">
      <c r="B66" s="17" t="s">
        <v>87</v>
      </c>
      <c r="C66" s="17" t="b">
        <f>C64=C51</f>
        <v>1</v>
      </c>
      <c r="D66" s="17" t="b">
        <f t="shared" ref="D66:L66" si="21">D64=D51</f>
        <v>1</v>
      </c>
      <c r="E66" s="17" t="b">
        <f t="shared" si="21"/>
        <v>1</v>
      </c>
      <c r="F66" s="17" t="b">
        <f t="shared" si="21"/>
        <v>1</v>
      </c>
      <c r="G66" s="17" t="b">
        <f t="shared" si="21"/>
        <v>1</v>
      </c>
      <c r="H66" s="17" t="b">
        <f t="shared" si="21"/>
        <v>1</v>
      </c>
      <c r="I66" s="17" t="b">
        <f t="shared" si="21"/>
        <v>1</v>
      </c>
      <c r="J66" s="17" t="b">
        <f t="shared" si="21"/>
        <v>1</v>
      </c>
      <c r="K66" s="17" t="b">
        <f t="shared" si="21"/>
        <v>1</v>
      </c>
      <c r="L66" s="17" t="b">
        <f t="shared" si="21"/>
        <v>1</v>
      </c>
    </row>
    <row r="68" spans="1:13" x14ac:dyDescent="0.25">
      <c r="A68" t="s">
        <v>59</v>
      </c>
      <c r="B68" s="25" t="s">
        <v>88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x14ac:dyDescent="0.25">
      <c r="B69" s="14"/>
    </row>
    <row r="70" spans="1:13" x14ac:dyDescent="0.25">
      <c r="B70" s="28" t="s">
        <v>89</v>
      </c>
      <c r="C70" s="29">
        <f>'Data Sheet'!B82</f>
        <v>22162.61</v>
      </c>
      <c r="D70" s="29">
        <f>'Data Sheet'!C82</f>
        <v>36151.160000000003</v>
      </c>
      <c r="E70" s="29">
        <f>'Data Sheet'!D82</f>
        <v>35531.26</v>
      </c>
      <c r="F70" s="29">
        <f>'Data Sheet'!E82</f>
        <v>37899.54</v>
      </c>
      <c r="G70" s="29">
        <f>'Data Sheet'!F82</f>
        <v>30199.25</v>
      </c>
      <c r="H70" s="29">
        <f>'Data Sheet'!G82</f>
        <v>23857.42</v>
      </c>
      <c r="I70" s="29">
        <f>'Data Sheet'!H82</f>
        <v>18890.75</v>
      </c>
      <c r="J70" s="29">
        <f>'Data Sheet'!I82</f>
        <v>26632.94</v>
      </c>
      <c r="K70" s="29">
        <f>'Data Sheet'!J82</f>
        <v>29000.51</v>
      </c>
      <c r="L70" s="29">
        <f>'Data Sheet'!K82</f>
        <v>14282.83</v>
      </c>
    </row>
    <row r="71" spans="1:13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3" x14ac:dyDescent="0.25">
      <c r="B72" s="28" t="s">
        <v>90</v>
      </c>
      <c r="C72" s="29">
        <f>'Data Sheet'!B83</f>
        <v>-22969.45</v>
      </c>
      <c r="D72" s="29">
        <f>'Data Sheet'!C83</f>
        <v>-27990.91</v>
      </c>
      <c r="E72" s="29">
        <f>'Data Sheet'!D83</f>
        <v>-36232.35</v>
      </c>
      <c r="F72" s="29">
        <f>'Data Sheet'!E83</f>
        <v>-36693.9</v>
      </c>
      <c r="G72" s="29">
        <f>'Data Sheet'!F83</f>
        <v>-39571.4</v>
      </c>
      <c r="H72" s="29">
        <f>'Data Sheet'!G83</f>
        <v>-25139.14</v>
      </c>
      <c r="I72" s="29">
        <f>'Data Sheet'!H83</f>
        <v>-20878.07</v>
      </c>
      <c r="J72" s="29">
        <f>'Data Sheet'!I83</f>
        <v>-33114.550000000003</v>
      </c>
      <c r="K72" s="29">
        <f>'Data Sheet'!J83</f>
        <v>-25672.5</v>
      </c>
      <c r="L72" s="29">
        <f>'Data Sheet'!K83</f>
        <v>-4443.66</v>
      </c>
    </row>
    <row r="73" spans="1:13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3" x14ac:dyDescent="0.25">
      <c r="B74" s="28" t="s">
        <v>91</v>
      </c>
      <c r="C74" s="29">
        <f>'Data Sheet'!B84</f>
        <v>-1692.08</v>
      </c>
      <c r="D74" s="29">
        <f>'Data Sheet'!C84</f>
        <v>-3883.24</v>
      </c>
      <c r="E74" s="29">
        <f>'Data Sheet'!D84</f>
        <v>5201.4399999999996</v>
      </c>
      <c r="F74" s="29">
        <f>'Data Sheet'!E84</f>
        <v>-3795.12</v>
      </c>
      <c r="G74" s="29">
        <f>'Data Sheet'!F84</f>
        <v>6205.3</v>
      </c>
      <c r="H74" s="29">
        <f>'Data Sheet'!G84</f>
        <v>2011.71</v>
      </c>
      <c r="I74" s="29">
        <f>'Data Sheet'!H84</f>
        <v>8830.3700000000008</v>
      </c>
      <c r="J74" s="29">
        <f>'Data Sheet'!I84</f>
        <v>3389.61</v>
      </c>
      <c r="K74" s="29">
        <f>'Data Sheet'!J84</f>
        <v>9904.2000000000007</v>
      </c>
      <c r="L74" s="29">
        <f>'Data Sheet'!K84</f>
        <v>-3380.17</v>
      </c>
    </row>
    <row r="76" spans="1:13" x14ac:dyDescent="0.25">
      <c r="B76" s="14" t="s">
        <v>52</v>
      </c>
      <c r="C76" s="27">
        <f t="shared" ref="C76:L76" si="22">IFERROR(C70+C72+C74,0)</f>
        <v>-2498.92</v>
      </c>
      <c r="D76" s="27">
        <f t="shared" si="22"/>
        <v>4277.0100000000039</v>
      </c>
      <c r="E76" s="27">
        <f t="shared" si="22"/>
        <v>4500.3500000000031</v>
      </c>
      <c r="F76" s="27">
        <f t="shared" si="22"/>
        <v>-2589.4800000000005</v>
      </c>
      <c r="G76" s="27">
        <f t="shared" si="22"/>
        <v>-3166.8500000000013</v>
      </c>
      <c r="H76" s="27">
        <f t="shared" si="22"/>
        <v>729.98999999999887</v>
      </c>
      <c r="I76" s="27">
        <f t="shared" si="22"/>
        <v>6843.0500000000011</v>
      </c>
      <c r="J76" s="27">
        <f t="shared" si="22"/>
        <v>-3092.0000000000041</v>
      </c>
      <c r="K76" s="27">
        <f t="shared" si="22"/>
        <v>13232.21</v>
      </c>
      <c r="L76" s="27">
        <f t="shared" si="22"/>
        <v>6459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showGridLines="0" zoomScale="110" zoomScaleNormal="110" workbookViewId="0">
      <pane ySplit="3" topLeftCell="A4" activePane="bottomLeft" state="frozen"/>
      <selection pane="bottomLeft" activeCell="W24" sqref="W24"/>
    </sheetView>
  </sheetViews>
  <sheetFormatPr defaultRowHeight="15" x14ac:dyDescent="0.25"/>
  <cols>
    <col min="1" max="1" width="1.85546875" customWidth="1"/>
    <col min="2" max="2" width="29.28515625" bestFit="1" customWidth="1"/>
    <col min="3" max="3" width="12.7109375" bestFit="1" customWidth="1"/>
    <col min="11" max="12" width="10" bestFit="1" customWidth="1"/>
    <col min="13" max="13" width="12.85546875" customWidth="1"/>
    <col min="14" max="14" width="8.85546875" bestFit="1" customWidth="1"/>
    <col min="15" max="15" width="7.85546875" bestFit="1" customWidth="1"/>
  </cols>
  <sheetData>
    <row r="2" spans="2:15" x14ac:dyDescent="0.25">
      <c r="B2" s="48" t="str">
        <f>"Ratio Analysis of - "&amp;'Data Sheet'!B1</f>
        <v>Ratio Analysis of - TATA MOTORS LTD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2:15" x14ac:dyDescent="0.25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2">
        <f>'Data Sheet'!K16</f>
        <v>44651</v>
      </c>
      <c r="M3" s="47" t="s">
        <v>123</v>
      </c>
      <c r="N3" s="13" t="s">
        <v>121</v>
      </c>
      <c r="O3" s="13" t="s">
        <v>122</v>
      </c>
    </row>
    <row r="5" spans="2:15" x14ac:dyDescent="0.25">
      <c r="B5" s="34" t="s">
        <v>96</v>
      </c>
      <c r="C5" s="34"/>
      <c r="D5" s="35">
        <f>IFERROR(HistoricalFS!D7,0)</f>
        <v>0.23327688164197458</v>
      </c>
      <c r="E5" s="35">
        <f>IFERROR(HistoricalFS!E7,0)</f>
        <v>0.13024457030826198</v>
      </c>
      <c r="F5" s="35">
        <f>IFERROR(HistoricalFS!F7,0)</f>
        <v>3.75690010654397E-2</v>
      </c>
      <c r="G5" s="35">
        <f>IFERROR(HistoricalFS!G7,0)</f>
        <v>-1.2280329732469508E-2</v>
      </c>
      <c r="H5" s="35">
        <f>IFERROR(HistoricalFS!H7,0)</f>
        <v>8.104774581985974E-2</v>
      </c>
      <c r="I5" s="35">
        <f>IFERROR(HistoricalFS!I7,0)</f>
        <v>3.5629919045237157E-2</v>
      </c>
      <c r="J5" s="35">
        <f>IFERROR(HistoricalFS!J7,0)</f>
        <v>-0.135360159555724</v>
      </c>
      <c r="K5" s="35">
        <f>IFERROR(HistoricalFS!K7,0)</f>
        <v>-4.3181168490336042E-2</v>
      </c>
      <c r="L5" s="35">
        <f>IFERROR(HistoricalFS!L7,0)</f>
        <v>0.11472967306158344</v>
      </c>
      <c r="M5" s="34"/>
      <c r="N5" s="35">
        <f>IFERROR(AVERAGE(D5:L5),0)</f>
        <v>4.9075125907091892E-2</v>
      </c>
      <c r="O5" s="35">
        <f>IFERROR(MEDIAN(C5:L5),0)</f>
        <v>3.75690010654397E-2</v>
      </c>
    </row>
    <row r="6" spans="2:15" x14ac:dyDescent="0.25">
      <c r="B6" s="36" t="s">
        <v>102</v>
      </c>
      <c r="C6" s="36"/>
      <c r="D6" s="37">
        <f>IFERROR(HistoricalFS!D18/HistoricalFS!C18-1,0)</f>
        <v>0.41703481625859018</v>
      </c>
      <c r="E6" s="37">
        <f>IFERROR(HistoricalFS!E18/HistoricalFS!D18-1,0)</f>
        <v>0.12582115468924693</v>
      </c>
      <c r="F6" s="37">
        <f>IFERROR(HistoricalFS!F18/HistoricalFS!E18-1,0)</f>
        <v>-2.1494113584437979E-2</v>
      </c>
      <c r="G6" s="37">
        <f>IFERROR(HistoricalFS!G18/HistoricalFS!F18-1,0)</f>
        <v>-0.22936587208052905</v>
      </c>
      <c r="H6" s="37">
        <f>IFERROR(HistoricalFS!H18/HistoricalFS!G18-1,0)</f>
        <v>6.3165689322506102E-2</v>
      </c>
      <c r="I6" s="37">
        <f>IFERROR(HistoricalFS!I18/HistoricalFS!H18-1,0)</f>
        <v>-0.21595203460649259</v>
      </c>
      <c r="J6" s="37">
        <f>IFERROR(HistoricalFS!J18/HistoricalFS!I18-1,0)</f>
        <v>-0.27072537547138131</v>
      </c>
      <c r="K6" s="37">
        <f>IFERROR(HistoricalFS!K18/HistoricalFS!J18-1,0)</f>
        <v>0.79503554497758966</v>
      </c>
      <c r="L6" s="37">
        <f>IFERROR(HistoricalFS!L18/HistoricalFS!K18-1,0)</f>
        <v>-0.234374182150762</v>
      </c>
      <c r="M6" s="36"/>
      <c r="N6" s="37">
        <f t="shared" ref="N6:N9" si="0">IFERROR(AVERAGE(D6:L6),0)</f>
        <v>4.7682847483814433E-2</v>
      </c>
      <c r="O6" s="37">
        <f t="shared" ref="O6:O9" si="1">IFERROR(MEDIAN(C6:L6),0)</f>
        <v>-2.1494113584437979E-2</v>
      </c>
    </row>
    <row r="7" spans="2:15" x14ac:dyDescent="0.25">
      <c r="B7" s="36" t="s">
        <v>97</v>
      </c>
      <c r="C7" s="36"/>
      <c r="D7" s="37">
        <f>IFERROR(HistoricalFS!D27/HistoricalFS!C27-1,0)</f>
        <v>0.41619195426682576</v>
      </c>
      <c r="E7" s="37">
        <f>IFERROR(HistoricalFS!E27/HistoricalFS!D27-1,0)</f>
        <v>0.103163815795007</v>
      </c>
      <c r="F7" s="37">
        <f>IFERROR(HistoricalFS!F27/HistoricalFS!E27-1,0)</f>
        <v>-0.19978245260625749</v>
      </c>
      <c r="G7" s="37">
        <f>IFERROR(HistoricalFS!G27/HistoricalFS!F27-1,0)</f>
        <v>-0.55668251823863213</v>
      </c>
      <c r="H7" s="37">
        <f>IFERROR(HistoricalFS!H27/HistoricalFS!G27-1,0)</f>
        <v>-0.29861436616351744</v>
      </c>
      <c r="I7" s="37">
        <f>IFERROR(HistoricalFS!I27/HistoricalFS!H27-1,0)</f>
        <v>-1.897095149646705</v>
      </c>
      <c r="J7" s="37">
        <f>IFERROR(HistoricalFS!J27/HistoricalFS!I27-1,0)</f>
        <v>1.2800251873039095</v>
      </c>
      <c r="K7" s="37">
        <f>IFERROR(HistoricalFS!K27/HistoricalFS!J27-1,0)</f>
        <v>-1.0602479570180365</v>
      </c>
      <c r="L7" s="37">
        <f>IFERROR(HistoricalFS!L27/HistoricalFS!K27-1,0)</f>
        <v>-15.64914925025267</v>
      </c>
      <c r="M7" s="36"/>
      <c r="N7" s="37">
        <f t="shared" si="0"/>
        <v>-1.9846878596177864</v>
      </c>
      <c r="O7" s="37">
        <f t="shared" si="1"/>
        <v>-0.29861436616351744</v>
      </c>
    </row>
    <row r="8" spans="2:15" x14ac:dyDescent="0.25">
      <c r="B8" s="36" t="s">
        <v>101</v>
      </c>
      <c r="C8" s="36"/>
      <c r="D8" s="37">
        <f>IFERROR(HistoricalFS!D33/HistoricalFS!C33-1,0)</f>
        <v>0.47662871112334759</v>
      </c>
      <c r="E8" s="37">
        <f>IFERROR(HistoricalFS!E33/HistoricalFS!D33-1,0)</f>
        <v>-6.4185676009415382E-2</v>
      </c>
      <c r="F8" s="37">
        <f>IFERROR(HistoricalFS!F33/HistoricalFS!E33-1,0)</f>
        <v>3.1824673563310757E-2</v>
      </c>
      <c r="G8" s="37">
        <f>IFERROR(HistoricalFS!G33/HistoricalFS!F33-1,0)</f>
        <v>-0.69539895165986787</v>
      </c>
      <c r="H8" s="37">
        <f>IFERROR(HistoricalFS!H33/HistoricalFS!G33-1,0)</f>
        <v>-0.79011124197155724</v>
      </c>
      <c r="I8" s="37">
        <f>IFERROR(HistoricalFS!I33/HistoricalFS!H33-1,0)</f>
        <v>-3.5528470983790919</v>
      </c>
      <c r="J8" s="37">
        <f>IFERROR(HistoricalFS!J33/HistoricalFS!I33-1,0)</f>
        <v>3.9286702707513577</v>
      </c>
      <c r="K8" s="37">
        <f>IFERROR(HistoricalFS!K33/HistoricalFS!J33-1,0)</f>
        <v>-0.82862505348950144</v>
      </c>
      <c r="L8" s="37">
        <f>IFERROR(HistoricalFS!L33/HistoricalFS!K33-1,0)</f>
        <v>6.1952157445306248</v>
      </c>
      <c r="M8" s="36"/>
      <c r="N8" s="37">
        <f t="shared" si="0"/>
        <v>0.52235237538435642</v>
      </c>
      <c r="O8" s="37">
        <f t="shared" si="1"/>
        <v>-6.4185676009415382E-2</v>
      </c>
    </row>
    <row r="9" spans="2:15" x14ac:dyDescent="0.25">
      <c r="B9" s="38" t="s">
        <v>100</v>
      </c>
      <c r="C9" s="38"/>
      <c r="D9" s="39">
        <f>IFERROR(HistoricalFS!D41/HistoricalFS!C41-1,0)</f>
        <v>-1.6039735328686744E-3</v>
      </c>
      <c r="E9" s="39">
        <f>IFERROR(HistoricalFS!E41/HistoricalFS!D41-1,0)</f>
        <v>-1</v>
      </c>
      <c r="F9" s="39">
        <f>IFERROR(HistoricalFS!F41/HistoricalFS!E41-1,0)</f>
        <v>0</v>
      </c>
      <c r="G9" s="39">
        <f>IFERROR(HistoricalFS!G41/HistoricalFS!F41-1,0)</f>
        <v>-1</v>
      </c>
      <c r="H9" s="39">
        <f>IFERROR(HistoricalFS!H41/HistoricalFS!G41-1,0)</f>
        <v>0</v>
      </c>
      <c r="I9" s="39">
        <f>IFERROR(HistoricalFS!I41/HistoricalFS!H41-1,0)</f>
        <v>0</v>
      </c>
      <c r="J9" s="39">
        <f>IFERROR(HistoricalFS!J41/HistoricalFS!I41-1,0)</f>
        <v>0</v>
      </c>
      <c r="K9" s="39">
        <f>IFERROR(HistoricalFS!K41/HistoricalFS!J41-1,0)</f>
        <v>0</v>
      </c>
      <c r="L9" s="39">
        <f>IFERROR(HistoricalFS!L41/HistoricalFS!K41-1,0)</f>
        <v>0</v>
      </c>
      <c r="M9" s="38"/>
      <c r="N9" s="39">
        <f t="shared" si="0"/>
        <v>-0.2224004415036521</v>
      </c>
      <c r="O9" s="39">
        <f t="shared" si="1"/>
        <v>0</v>
      </c>
    </row>
    <row r="11" spans="2:15" x14ac:dyDescent="0.25">
      <c r="B11" s="34" t="s">
        <v>92</v>
      </c>
      <c r="C11" s="35">
        <f>IFERROR(HistoricalFS!C13,0)</f>
        <v>0.24658767243583429</v>
      </c>
      <c r="D11" s="35">
        <f>IFERROR(HistoricalFS!D13,0)</f>
        <v>0.22635301098646982</v>
      </c>
      <c r="E11" s="35">
        <f>IFERROR(HistoricalFS!E13,0)</f>
        <v>0.22914703499762759</v>
      </c>
      <c r="F11" s="35">
        <f>IFERROR(HistoricalFS!F13,0)</f>
        <v>0.24734524196690946</v>
      </c>
      <c r="G11" s="35">
        <f>IFERROR(HistoricalFS!G13,0)</f>
        <v>0.23819078253229964</v>
      </c>
      <c r="H11" s="35">
        <f>IFERROR(HistoricalFS!H13,0)</f>
        <v>0.21649990080619999</v>
      </c>
      <c r="I11" s="35">
        <f>IFERROR(HistoricalFS!I13,0)</f>
        <v>0.19571167496416494</v>
      </c>
      <c r="J11" s="35">
        <f>IFERROR(HistoricalFS!J13,0)</f>
        <v>0.19417127271491774</v>
      </c>
      <c r="K11" s="35">
        <f>IFERROR(HistoricalFS!K13,0)</f>
        <v>0.2180538622208833</v>
      </c>
      <c r="L11" s="35">
        <f>IFERROR(HistoricalFS!L13,0)</f>
        <v>0.19807108271747378</v>
      </c>
      <c r="M11" s="34"/>
      <c r="N11" s="35">
        <f>IFERROR(AVERAGE(C11:L11),0)</f>
        <v>0.22101315363427809</v>
      </c>
      <c r="O11" s="35">
        <f t="shared" ref="O11:O15" si="2">IFERROR(MEDIAN(C11:L11),0)</f>
        <v>0.22220343660367656</v>
      </c>
    </row>
    <row r="12" spans="2:15" x14ac:dyDescent="0.25">
      <c r="B12" s="36" t="s">
        <v>93</v>
      </c>
      <c r="C12" s="37">
        <f>IFERROR(HistoricalFS!C19,0)</f>
        <v>0.13028036202037277</v>
      </c>
      <c r="D12" s="37">
        <f>IFERROR(HistoricalFS!D19,0)</f>
        <v>0.14969210207836775</v>
      </c>
      <c r="E12" s="37">
        <f>IFERROR(HistoricalFS!E19,0)</f>
        <v>0.14910625508580397</v>
      </c>
      <c r="F12" s="37">
        <f>IFERROR(HistoricalFS!F19,0)</f>
        <v>0.14061845347443788</v>
      </c>
      <c r="G12" s="37">
        <f>IFERROR(HistoricalFS!G19,0)</f>
        <v>0.10971268723777329</v>
      </c>
      <c r="H12" s="37">
        <f>IFERROR(HistoricalFS!H19,0)</f>
        <v>0.10789788444182975</v>
      </c>
      <c r="I12" s="37">
        <f>IFERROR(HistoricalFS!I19,0)</f>
        <v>8.1686628795807431E-2</v>
      </c>
      <c r="J12" s="37">
        <f>IFERROR(HistoricalFS!J19,0)</f>
        <v>6.8898034485042198E-2</v>
      </c>
      <c r="K12" s="37">
        <f>IFERROR(HistoricalFS!K19,0)</f>
        <v>0.12925583904385496</v>
      </c>
      <c r="L12" s="37">
        <f>IFERROR(HistoricalFS!L19,0)</f>
        <v>8.877632835227646E-2</v>
      </c>
      <c r="M12" s="36"/>
      <c r="N12" s="37">
        <f t="shared" ref="N12:N40" si="3">IFERROR(AVERAGE(C12:L12),0)</f>
        <v>0.11559245750155667</v>
      </c>
      <c r="O12" s="37">
        <f t="shared" si="2"/>
        <v>0.11948426314081412</v>
      </c>
    </row>
    <row r="13" spans="2:15" x14ac:dyDescent="0.25">
      <c r="B13" s="36" t="s">
        <v>103</v>
      </c>
      <c r="C13" s="37">
        <f>IFERROR((HistoricalFS!C18-HistoricalFS!C24)/HistoricalFS!C6,0)</f>
        <v>9.0017786175937281E-2</v>
      </c>
      <c r="D13" s="37">
        <f>IFERROR((HistoricalFS!D18-HistoricalFS!D24)/HistoricalFS!D6,0)</f>
        <v>0.10211238357890337</v>
      </c>
      <c r="E13" s="37">
        <f>IFERROR((HistoricalFS!E18-HistoricalFS!E24)/HistoricalFS!E6,0)</f>
        <v>9.8229670900837146E-2</v>
      </c>
      <c r="F13" s="37">
        <f>IFERROR((HistoricalFS!F18-HistoricalFS!F24)/HistoricalFS!F6,0)</f>
        <v>7.941702777851016E-2</v>
      </c>
      <c r="G13" s="37">
        <f>IFERROR((HistoricalFS!G18-HistoricalFS!G24)/HistoricalFS!G6,0)</f>
        <v>4.3322300645279484E-2</v>
      </c>
      <c r="H13" s="37">
        <f>IFERROR((HistoricalFS!H18-HistoricalFS!H24)/HistoricalFS!H6,0)</f>
        <v>3.3970412259310953E-2</v>
      </c>
      <c r="I13" s="37">
        <f>IFERROR((HistoricalFS!I18-HistoricalFS!I24)/HistoricalFS!I6,0)</f>
        <v>3.5560233478087663E-3</v>
      </c>
      <c r="J13" s="37">
        <f>IFERROR((HistoricalFS!J18-HistoricalFS!J24)/HistoricalFS!J6,0)</f>
        <v>-1.3170363258273456E-2</v>
      </c>
      <c r="K13" s="37">
        <f>IFERROR((HistoricalFS!K18-HistoricalFS!K24)/HistoricalFS!K6,0)</f>
        <v>3.4991608110258483E-2</v>
      </c>
      <c r="L13" s="37">
        <f>IFERROR((HistoricalFS!L18-HistoricalFS!L24)/HistoricalFS!L6,0)</f>
        <v>-4.1514992694289269E-4</v>
      </c>
      <c r="M13" s="36"/>
      <c r="N13" s="37">
        <f t="shared" si="3"/>
        <v>4.7203169961162923E-2</v>
      </c>
      <c r="O13" s="37">
        <f t="shared" si="2"/>
        <v>3.9156954377768984E-2</v>
      </c>
    </row>
    <row r="14" spans="2:15" x14ac:dyDescent="0.25">
      <c r="B14" s="36" t="s">
        <v>104</v>
      </c>
      <c r="C14" s="37">
        <f>IFERROR(HistoricalFS!C28,0)</f>
        <v>7.115979967232848E-2</v>
      </c>
      <c r="D14" s="37">
        <f>IFERROR(HistoricalFS!D28,0)</f>
        <v>8.1713958368390432E-2</v>
      </c>
      <c r="E14" s="37">
        <f>IFERROR(HistoricalFS!E28,0)</f>
        <v>7.9756085085905037E-2</v>
      </c>
      <c r="F14" s="37">
        <f>IFERROR(HistoricalFS!F28,0)</f>
        <v>6.1511300676516931E-2</v>
      </c>
      <c r="G14" s="37">
        <f>IFERROR(HistoricalFS!G28,0)</f>
        <v>2.7608071132565179E-2</v>
      </c>
      <c r="H14" s="37">
        <f>IFERROR(HistoricalFS!H28,0)</f>
        <v>1.7912163958707913E-2</v>
      </c>
      <c r="I14" s="37">
        <f>IFERROR(HistoricalFS!I28,0)</f>
        <v>-1.5516078776333117E-2</v>
      </c>
      <c r="J14" s="37">
        <f>IFERROR(HistoricalFS!J28,0)</f>
        <v>-4.0915360088026265E-2</v>
      </c>
      <c r="K14" s="37">
        <f>IFERROR(HistoricalFS!K28,0)</f>
        <v>2.5763151547420113E-3</v>
      </c>
      <c r="L14" s="37">
        <f>IFERROR(HistoricalFS!L28,0)</f>
        <v>-3.3856482095653805E-2</v>
      </c>
      <c r="M14" s="36"/>
      <c r="N14" s="37">
        <f t="shared" si="3"/>
        <v>2.5194977308914283E-2</v>
      </c>
      <c r="O14" s="37">
        <f t="shared" si="2"/>
        <v>2.2760117545636546E-2</v>
      </c>
    </row>
    <row r="15" spans="2:15" x14ac:dyDescent="0.25">
      <c r="B15" s="38" t="s">
        <v>105</v>
      </c>
      <c r="C15" s="39">
        <f>IFERROR(HistoricalFS!C34,0)</f>
        <v>5.1155529379871709E-2</v>
      </c>
      <c r="D15" s="39">
        <f>IFERROR(HistoricalFS!D34,0)</f>
        <v>6.124960626397391E-2</v>
      </c>
      <c r="E15" s="39">
        <f>IFERROR(HistoricalFS!E34,0)</f>
        <v>5.0713146858982282E-2</v>
      </c>
      <c r="F15" s="39">
        <f>IFERROR(HistoricalFS!F34,0)</f>
        <v>5.0432381990407359E-2</v>
      </c>
      <c r="G15" s="39">
        <f>IFERROR(HistoricalFS!G34,0)</f>
        <v>1.5552749314395296E-2</v>
      </c>
      <c r="H15" s="39">
        <f>IFERROR(HistoricalFS!H34,0)</f>
        <v>3.01961430487095E-3</v>
      </c>
      <c r="I15" s="39">
        <f>IFERROR(HistoricalFS!I34,0)</f>
        <v>-7.4434056747998256E-3</v>
      </c>
      <c r="J15" s="39">
        <f>IFERROR(HistoricalFS!J34,0)</f>
        <v>-4.2429333632923408E-2</v>
      </c>
      <c r="K15" s="39">
        <f>IFERROR(HistoricalFS!K34,0)</f>
        <v>-7.5994791724005731E-3</v>
      </c>
      <c r="L15" s="39">
        <f>IFERROR(HistoricalFS!L34,0)</f>
        <v>-4.9052154538339235E-2</v>
      </c>
      <c r="M15" s="38"/>
      <c r="N15" s="39">
        <f t="shared" si="3"/>
        <v>1.2559865509403845E-2</v>
      </c>
      <c r="O15" s="39">
        <f t="shared" si="2"/>
        <v>9.286181809633122E-3</v>
      </c>
    </row>
    <row r="17" spans="2:15" x14ac:dyDescent="0.25">
      <c r="B17" s="34" t="s">
        <v>95</v>
      </c>
      <c r="C17" s="35">
        <f>IFERROR(HistoricalFS!C16,0)</f>
        <v>0.11630731041546154</v>
      </c>
      <c r="D17" s="35">
        <f>IFERROR(HistoricalFS!D16,0)</f>
        <v>7.6660908908102038E-2</v>
      </c>
      <c r="E17" s="35">
        <f>IFERROR(HistoricalFS!E16,0)</f>
        <v>8.0040779911823637E-2</v>
      </c>
      <c r="F17" s="35">
        <f>IFERROR(HistoricalFS!F16,0)</f>
        <v>0.10672678849247161</v>
      </c>
      <c r="G17" s="35">
        <f>IFERROR(HistoricalFS!G16,0)</f>
        <v>0.12847809529452636</v>
      </c>
      <c r="H17" s="35">
        <f>IFERROR(HistoricalFS!H16,0)</f>
        <v>0.10860201636437025</v>
      </c>
      <c r="I17" s="35">
        <f>IFERROR(HistoricalFS!I16,0)</f>
        <v>0.11402504616835751</v>
      </c>
      <c r="J17" s="35">
        <f>IFERROR(HistoricalFS!J16,0)</f>
        <v>0.12527323822987554</v>
      </c>
      <c r="K17" s="35">
        <f>IFERROR(HistoricalFS!K16,0)</f>
        <v>8.8798023177028354E-2</v>
      </c>
      <c r="L17" s="35">
        <f>IFERROR(HistoricalFS!L16,0)</f>
        <v>0.10929475436519734</v>
      </c>
      <c r="M17" s="34"/>
      <c r="N17" s="35">
        <f t="shared" si="3"/>
        <v>0.10542069613272143</v>
      </c>
      <c r="O17" s="35">
        <f t="shared" ref="O17:O19" si="4">IFERROR(MEDIAN(C17:L17),0)</f>
        <v>0.1089483853647838</v>
      </c>
    </row>
    <row r="18" spans="2:15" x14ac:dyDescent="0.25">
      <c r="B18" s="36" t="s">
        <v>69</v>
      </c>
      <c r="C18" s="37">
        <f>IFERROR(HistoricalFS!C25,0)</f>
        <v>4.0262575844435503E-2</v>
      </c>
      <c r="D18" s="37">
        <f>IFERROR(HistoricalFS!D25,0)</f>
        <v>4.757971849946438E-2</v>
      </c>
      <c r="E18" s="37">
        <f>IFERROR(HistoricalFS!E25,0)</f>
        <v>5.0876584184966822E-2</v>
      </c>
      <c r="F18" s="37">
        <f>IFERROR(HistoricalFS!F25,0)</f>
        <v>6.1201425695927715E-2</v>
      </c>
      <c r="G18" s="37">
        <f>IFERROR(HistoricalFS!G25,0)</f>
        <v>6.63903865924938E-2</v>
      </c>
      <c r="H18" s="37">
        <f>IFERROR(HistoricalFS!H25,0)</f>
        <v>7.3927472182518786E-2</v>
      </c>
      <c r="I18" s="37">
        <f>IFERROR(HistoricalFS!I25,0)</f>
        <v>7.8130605447998658E-2</v>
      </c>
      <c r="J18" s="37">
        <f>IFERROR(HistoricalFS!J25,0)</f>
        <v>8.206839774331566E-2</v>
      </c>
      <c r="K18" s="37">
        <f>IFERROR(HistoricalFS!K25,0)</f>
        <v>9.4264230933596482E-2</v>
      </c>
      <c r="L18" s="37">
        <f>IFERROR(HistoricalFS!L25,0)</f>
        <v>8.9191478279219347E-2</v>
      </c>
      <c r="M18" s="36"/>
      <c r="N18" s="37">
        <f t="shared" si="3"/>
        <v>6.8389287540393723E-2</v>
      </c>
      <c r="O18" s="37">
        <f t="shared" si="4"/>
        <v>7.0158929387506286E-2</v>
      </c>
    </row>
    <row r="19" spans="2:15" x14ac:dyDescent="0.25">
      <c r="B19" s="38" t="s">
        <v>94</v>
      </c>
      <c r="C19" s="40">
        <f>C13</f>
        <v>9.0017786175937281E-2</v>
      </c>
      <c r="D19" s="40">
        <f t="shared" ref="D19:L19" si="5">D13</f>
        <v>0.10211238357890337</v>
      </c>
      <c r="E19" s="40">
        <f t="shared" si="5"/>
        <v>9.8229670900837146E-2</v>
      </c>
      <c r="F19" s="40">
        <f t="shared" si="5"/>
        <v>7.941702777851016E-2</v>
      </c>
      <c r="G19" s="40">
        <f t="shared" si="5"/>
        <v>4.3322300645279484E-2</v>
      </c>
      <c r="H19" s="40">
        <f t="shared" si="5"/>
        <v>3.3970412259310953E-2</v>
      </c>
      <c r="I19" s="40">
        <f t="shared" si="5"/>
        <v>3.5560233478087663E-3</v>
      </c>
      <c r="J19" s="40">
        <f t="shared" si="5"/>
        <v>-1.3170363258273456E-2</v>
      </c>
      <c r="K19" s="40">
        <f t="shared" si="5"/>
        <v>3.4991608110258483E-2</v>
      </c>
      <c r="L19" s="40">
        <f t="shared" si="5"/>
        <v>-4.1514992694289269E-4</v>
      </c>
      <c r="M19" s="38"/>
      <c r="N19" s="39">
        <f t="shared" si="3"/>
        <v>4.7203169961162923E-2</v>
      </c>
      <c r="O19" s="39">
        <f t="shared" si="4"/>
        <v>3.9156954377768984E-2</v>
      </c>
    </row>
    <row r="21" spans="2:15" x14ac:dyDescent="0.25">
      <c r="B21" s="34" t="s">
        <v>116</v>
      </c>
      <c r="C21" s="35">
        <f>IFERROR((HistoricalFS!C18-HistoricalFS!C24)/(SUM(HistoricalFS!C47:C49)),0)</f>
        <v>0.18603327903481243</v>
      </c>
      <c r="D21" s="35">
        <f>IFERROR((HistoricalFS!D18-HistoricalFS!D24)/(SUM(HistoricalFS!D47:D49)),0)</f>
        <v>0.18832478532145183</v>
      </c>
      <c r="E21" s="35">
        <f>IFERROR((HistoricalFS!E18-HistoricalFS!E24)/(SUM(HistoricalFS!E47:E49)),0)</f>
        <v>0.19904181268509033</v>
      </c>
      <c r="F21" s="35">
        <f>IFERROR((HistoricalFS!F18-HistoricalFS!F24)/(SUM(HistoricalFS!F47:F49)),0)</f>
        <v>0.1462081011853561</v>
      </c>
      <c r="G21" s="35">
        <f>IFERROR((HistoricalFS!G18-HistoricalFS!G24)/(SUM(HistoricalFS!G47:G49)),0)</f>
        <v>8.5490986154773282E-2</v>
      </c>
      <c r="H21" s="35">
        <f>IFERROR((HistoricalFS!H18-HistoricalFS!H24)/(SUM(HistoricalFS!H47:H49)),0)</f>
        <v>5.3716113570365424E-2</v>
      </c>
      <c r="I21" s="35">
        <f>IFERROR((HistoricalFS!I18-HistoricalFS!I24)/(SUM(HistoricalFS!I47:I49)),0)</f>
        <v>6.4542733637543747E-3</v>
      </c>
      <c r="J21" s="35">
        <f>IFERROR((HistoricalFS!J18-HistoricalFS!J24)/(SUM(HistoricalFS!J47:J49)),0)</f>
        <v>-1.8387082646096023E-2</v>
      </c>
      <c r="K21" s="35">
        <f>IFERROR((HistoricalFS!K18-HistoricalFS!K24)/(SUM(HistoricalFS!K47:K49)),0)</f>
        <v>4.4284324706251613E-2</v>
      </c>
      <c r="L21" s="35">
        <f>IFERROR((HistoricalFS!L18-HistoricalFS!L24)/(SUM(HistoricalFS!L47:L49)),0)</f>
        <v>-6.0520306054739361E-4</v>
      </c>
      <c r="M21" s="34"/>
      <c r="N21" s="35">
        <f t="shared" si="3"/>
        <v>8.9056139031521209E-2</v>
      </c>
      <c r="O21" s="35">
        <f t="shared" ref="O21:O25" si="6">IFERROR(MEDIAN(C21:L21),0)</f>
        <v>6.960354986256935E-2</v>
      </c>
    </row>
    <row r="22" spans="2:15" x14ac:dyDescent="0.25">
      <c r="B22" s="36" t="s">
        <v>99</v>
      </c>
      <c r="C22" s="37">
        <f>IFERROR(HistoricalFS!C44,0)</f>
        <v>0.93393209005372868</v>
      </c>
      <c r="D22" s="37">
        <f>IFERROR(HistoricalFS!D44,0)</f>
        <v>0.95485720817027164</v>
      </c>
      <c r="E22" s="37">
        <f>IFERROR(HistoricalFS!E44,0)</f>
        <v>1</v>
      </c>
      <c r="F22" s="37">
        <f>IFERROR(HistoricalFS!F44,0)</f>
        <v>0.99506765991253665</v>
      </c>
      <c r="G22" s="37">
        <f>IFERROR(HistoricalFS!G44,0)</f>
        <v>1</v>
      </c>
      <c r="H22" s="37">
        <f>IFERROR(HistoricalFS!H44,0)</f>
        <v>1</v>
      </c>
      <c r="I22" s="37">
        <f>IFERROR(HistoricalFS!I44,0)</f>
        <v>0</v>
      </c>
      <c r="J22" s="37">
        <f>IFERROR(HistoricalFS!J44,0)</f>
        <v>0</v>
      </c>
      <c r="K22" s="37">
        <f>IFERROR(HistoricalFS!K44,0)</f>
        <v>0</v>
      </c>
      <c r="L22" s="37">
        <f>IFERROR(HistoricalFS!L44,0)</f>
        <v>0</v>
      </c>
      <c r="M22" s="36"/>
      <c r="N22" s="37">
        <f t="shared" si="3"/>
        <v>0.58838569581365374</v>
      </c>
      <c r="O22" s="37">
        <f t="shared" si="6"/>
        <v>0.94439464911200011</v>
      </c>
    </row>
    <row r="23" spans="2:15" x14ac:dyDescent="0.25">
      <c r="B23" s="36" t="s">
        <v>115</v>
      </c>
      <c r="C23" s="37">
        <f>IFERROR(HistoricalFS!C33/SUM(HistoricalFS!C47:C48),0)</f>
        <v>0.25660156281136032</v>
      </c>
      <c r="D23" s="37">
        <f>IFERROR(HistoricalFS!D33/SUM(HistoricalFS!D47:D48),0)</f>
        <v>0.21738140295975247</v>
      </c>
      <c r="E23" s="37">
        <f>IFERROR(HistoricalFS!E33/SUM(HistoricalFS!E47:E48),0)</f>
        <v>0.2372052002491202</v>
      </c>
      <c r="F23" s="37">
        <f>IFERROR(HistoricalFS!F33/SUM(HistoricalFS!F47:F48),0)</f>
        <v>0.17441316864171685</v>
      </c>
      <c r="G23" s="37">
        <f>IFERROR(HistoricalFS!G33/SUM(HistoricalFS!G47:G48),0)</f>
        <v>7.2241189530689517E-2</v>
      </c>
      <c r="H23" s="37">
        <f>IFERROR(HistoricalFS!H33/SUM(HistoricalFS!H47:H48),0)</f>
        <v>9.2254980749341738E-3</v>
      </c>
      <c r="I23" s="37">
        <f>IFERROR(HistoricalFS!I33/SUM(HistoricalFS!I47:I48),0)</f>
        <v>-3.7345736658758885E-2</v>
      </c>
      <c r="J23" s="37">
        <f>IFERROR(HistoricalFS!J33/SUM(HistoricalFS!J47:J48),0)</f>
        <v>-0.1780542775131683</v>
      </c>
      <c r="K23" s="37">
        <f>IFERROR(HistoricalFS!K33/SUM(HistoricalFS!K47:K48),0)</f>
        <v>-3.4360591904822733E-2</v>
      </c>
      <c r="L23" s="37">
        <f>IFERROR(HistoricalFS!L33/SUM(HistoricalFS!L47:L48),0)</f>
        <v>-0.30651638060341208</v>
      </c>
      <c r="M23" s="36"/>
      <c r="N23" s="37">
        <f t="shared" si="3"/>
        <v>4.1079103558741156E-2</v>
      </c>
      <c r="O23" s="37">
        <f t="shared" si="6"/>
        <v>4.073334380281185E-2</v>
      </c>
    </row>
    <row r="24" spans="2:15" x14ac:dyDescent="0.25">
      <c r="B24" s="36" t="s">
        <v>98</v>
      </c>
      <c r="C24" s="37">
        <f>IFERROR(C22*C23,0)</f>
        <v>0.23964843386746687</v>
      </c>
      <c r="D24" s="37">
        <f t="shared" ref="D24:L24" si="7">IFERROR(D22*D23,0)</f>
        <v>0.20756819953828606</v>
      </c>
      <c r="E24" s="37">
        <f t="shared" si="7"/>
        <v>0.2372052002491202</v>
      </c>
      <c r="F24" s="37">
        <f t="shared" si="7"/>
        <v>0.17355290357824379</v>
      </c>
      <c r="G24" s="37">
        <f t="shared" si="7"/>
        <v>7.2241189530689517E-2</v>
      </c>
      <c r="H24" s="37">
        <f t="shared" si="7"/>
        <v>9.2254980749341738E-3</v>
      </c>
      <c r="I24" s="37">
        <f>IFERROR(I22*I23,0)</f>
        <v>0</v>
      </c>
      <c r="J24" s="37">
        <f t="shared" si="7"/>
        <v>0</v>
      </c>
      <c r="K24" s="37">
        <f t="shared" si="7"/>
        <v>0</v>
      </c>
      <c r="L24" s="37">
        <f t="shared" si="7"/>
        <v>0</v>
      </c>
      <c r="M24" s="36"/>
      <c r="N24" s="37">
        <f t="shared" si="3"/>
        <v>9.394414248387406E-2</v>
      </c>
      <c r="O24" s="37">
        <f t="shared" si="6"/>
        <v>4.073334380281185E-2</v>
      </c>
    </row>
    <row r="25" spans="2:15" x14ac:dyDescent="0.25">
      <c r="B25" s="38" t="s">
        <v>106</v>
      </c>
      <c r="C25" s="41">
        <f>((HistoricalFS!C18-HistoricalFS!C24)/HistoricalFS!C21)</f>
        <v>4.773456920160104</v>
      </c>
      <c r="D25" s="41">
        <f>((HistoricalFS!D18-HistoricalFS!D24)/HistoricalFS!D21)</f>
        <v>5.0058954318824904</v>
      </c>
      <c r="E25" s="41">
        <f>((HistoricalFS!E18-HistoricalFS!E24)/HistoricalFS!E21)</f>
        <v>5.3173039541375138</v>
      </c>
      <c r="F25" s="41">
        <f>((HistoricalFS!F18-HistoricalFS!F24)/HistoricalFS!F21)</f>
        <v>4.4352863933500721</v>
      </c>
      <c r="G25" s="41">
        <f>((HistoricalFS!G18-HistoricalFS!G24)/HistoricalFS!G21)</f>
        <v>2.7568835373205922</v>
      </c>
      <c r="H25" s="41">
        <f>((HistoricalFS!H18-HistoricalFS!H24)/HistoricalFS!H21)</f>
        <v>2.1154494328024094</v>
      </c>
      <c r="I25" s="41">
        <f>((HistoricalFS!I18-HistoricalFS!I24)/HistoricalFS!I21)</f>
        <v>0.18645156808947008</v>
      </c>
      <c r="J25" s="41">
        <f>((HistoricalFS!J18-HistoricalFS!J24)/HistoricalFS!J21)</f>
        <v>-0.47469326953211261</v>
      </c>
      <c r="K25" s="41">
        <f>((HistoricalFS!K18-HistoricalFS!K24)/HistoricalFS!K21)</f>
        <v>1.079478385658198</v>
      </c>
      <c r="L25" s="41">
        <f>((HistoricalFS!L18-HistoricalFS!L24)/HistoricalFS!L21)</f>
        <v>-1.2414275987824557E-2</v>
      </c>
      <c r="M25" s="38"/>
      <c r="N25" s="41">
        <f t="shared" si="3"/>
        <v>2.5183098077880914</v>
      </c>
      <c r="O25" s="41">
        <f t="shared" si="6"/>
        <v>2.4361664850615008</v>
      </c>
    </row>
    <row r="27" spans="2:15" x14ac:dyDescent="0.25">
      <c r="B27" s="34" t="s">
        <v>107</v>
      </c>
      <c r="C27" s="42">
        <f>HistoricalFS!C6/HistoricalFS!C59</f>
        <v>17.226239096317382</v>
      </c>
      <c r="D27" s="42">
        <f>HistoricalFS!D6/HistoricalFS!D59</f>
        <v>22.018970648453838</v>
      </c>
      <c r="E27" s="42">
        <f>HistoricalFS!E6/HistoricalFS!E59</f>
        <v>20.92016821419486</v>
      </c>
      <c r="F27" s="42">
        <f>HistoricalFS!F6/HistoricalFS!F59</f>
        <v>20.119918266350599</v>
      </c>
      <c r="G27" s="42">
        <f>HistoricalFS!G6/HistoricalFS!G59</f>
        <v>19.160353236640844</v>
      </c>
      <c r="H27" s="42">
        <f>HistoricalFS!H6/HistoricalFS!H59</f>
        <v>14.655712224718874</v>
      </c>
      <c r="I27" s="42">
        <f>HistoricalFS!I6/HistoricalFS!I59</f>
        <v>15.894698773489607</v>
      </c>
      <c r="J27" s="42">
        <f>HistoricalFS!J6/HistoricalFS!J59</f>
        <v>23.366617170976728</v>
      </c>
      <c r="K27" s="42">
        <f>HistoricalFS!K6/HistoricalFS!K59</f>
        <v>19.701330853658153</v>
      </c>
      <c r="L27" s="42">
        <f>HistoricalFS!L6/HistoricalFS!L59</f>
        <v>22.379917570317598</v>
      </c>
      <c r="M27" s="34"/>
      <c r="N27" s="42">
        <f t="shared" si="3"/>
        <v>19.544392605511845</v>
      </c>
      <c r="O27" s="42">
        <f t="shared" ref="O27:O31" si="8">IFERROR(MEDIAN(C27:L27),0)</f>
        <v>19.910624560004376</v>
      </c>
    </row>
    <row r="28" spans="2:15" x14ac:dyDescent="0.25">
      <c r="B28" s="36" t="s">
        <v>111</v>
      </c>
      <c r="C28" s="43">
        <f>IFERROR(HistoricalFS!C6/HistoricalFS!C50,0)</f>
        <v>2.4525850701936758</v>
      </c>
      <c r="D28" s="43">
        <f>IFERROR(HistoricalFS!D6/HistoricalFS!D50,0)</f>
        <v>2.5258516302731193</v>
      </c>
      <c r="E28" s="43">
        <f>IFERROR(HistoricalFS!E6/HistoricalFS!E50,0)</f>
        <v>2.4493010585757142</v>
      </c>
      <c r="F28" s="43">
        <f>IFERROR(HistoricalFS!F6/HistoricalFS!F50,0)</f>
        <v>2.3769603927858673</v>
      </c>
      <c r="G28" s="43">
        <f>IFERROR(HistoricalFS!G6/HistoricalFS!G50,0)</f>
        <v>1.9842807783040648</v>
      </c>
      <c r="H28" s="43">
        <f>IFERROR(HistoricalFS!H6/HistoricalFS!H50,0)</f>
        <v>2.0414780318629697</v>
      </c>
      <c r="I28" s="43">
        <f>IFERROR(HistoricalFS!I6/HistoricalFS!I50,0)</f>
        <v>2.1667847518227492</v>
      </c>
      <c r="J28" s="43">
        <f>IFERROR(HistoricalFS!J6/HistoricalFS!J50,0)</f>
        <v>1.9602534811345065</v>
      </c>
      <c r="K28" s="43">
        <f>IFERROR(HistoricalFS!K6/HistoricalFS!K50,0)</f>
        <v>1.7323684804395676</v>
      </c>
      <c r="L28" s="43">
        <f>IFERROR(HistoricalFS!L6/HistoricalFS!L50,0)</f>
        <v>2.0170312149360217</v>
      </c>
      <c r="M28" s="36"/>
      <c r="N28" s="43">
        <f t="shared" si="3"/>
        <v>2.1706894890328257</v>
      </c>
      <c r="O28" s="43">
        <f t="shared" si="8"/>
        <v>2.1041313918428592</v>
      </c>
    </row>
    <row r="29" spans="2:15" x14ac:dyDescent="0.25">
      <c r="B29" s="36" t="s">
        <v>108</v>
      </c>
      <c r="C29" s="43">
        <f>IFERROR(HistoricalFS!C6/HistoricalFS!C60,0)</f>
        <v>8.9743929928572861</v>
      </c>
      <c r="D29" s="43">
        <f>IFERROR(HistoricalFS!D6/HistoricalFS!D60,0)</f>
        <v>8.5378093637574715</v>
      </c>
      <c r="E29" s="43">
        <f>IFERROR(HistoricalFS!E6/HistoricalFS!E60,0)</f>
        <v>8.9900219797938927</v>
      </c>
      <c r="F29" s="43">
        <f>IFERROR(HistoricalFS!F6/HistoricalFS!F60,0)</f>
        <v>8.3613381173839922</v>
      </c>
      <c r="G29" s="43">
        <f>IFERROR(HistoricalFS!G6/HistoricalFS!G60,0)</f>
        <v>7.6867643466738649</v>
      </c>
      <c r="H29" s="43">
        <f>IFERROR(HistoricalFS!H6/HistoricalFS!H60,0)</f>
        <v>6.9190051742350009</v>
      </c>
      <c r="I29" s="43">
        <f>IFERROR(HistoricalFS!I6/HistoricalFS!I60,0)</f>
        <v>7.7392856309817084</v>
      </c>
      <c r="J29" s="43">
        <f>IFERROR(HistoricalFS!J6/HistoricalFS!J60,0)</f>
        <v>6.9698269049637886</v>
      </c>
      <c r="K29" s="43">
        <f>IFERROR(HistoricalFS!K6/HistoricalFS!K60,0)</f>
        <v>6.9217098811563442</v>
      </c>
      <c r="L29" s="43">
        <f>IFERROR(HistoricalFS!L6/HistoricalFS!L60,0)</f>
        <v>7.9015588385356104</v>
      </c>
      <c r="M29" s="36"/>
      <c r="N29" s="43">
        <f t="shared" si="3"/>
        <v>7.9001713230338968</v>
      </c>
      <c r="O29" s="43">
        <f t="shared" si="8"/>
        <v>7.8204222347586594</v>
      </c>
    </row>
    <row r="30" spans="2:15" x14ac:dyDescent="0.25">
      <c r="B30" s="36" t="s">
        <v>109</v>
      </c>
      <c r="C30" s="43">
        <f>IFERROR(HistoricalFS!C6/HistoricalFS!C53,0)</f>
        <v>3.4009512944381304</v>
      </c>
      <c r="D30" s="43">
        <f>IFERROR(HistoricalFS!D6/HistoricalFS!D53,0)</f>
        <v>3.3699237549186467</v>
      </c>
      <c r="E30" s="43">
        <f>IFERROR(HistoricalFS!E6/HistoricalFS!E53,0)</f>
        <v>2.9742370802544178</v>
      </c>
      <c r="F30" s="43">
        <f>IFERROR(HistoricalFS!F6/HistoricalFS!F53,0)</f>
        <v>2.546312771514708</v>
      </c>
      <c r="G30" s="43">
        <f>IFERROR(HistoricalFS!G6/HistoricalFS!G53,0)</f>
        <v>2.8109343484246239</v>
      </c>
      <c r="H30" s="43">
        <f>IFERROR(HistoricalFS!H6/HistoricalFS!H53,0)</f>
        <v>2.4012948768781421</v>
      </c>
      <c r="I30" s="43">
        <f>IFERROR(HistoricalFS!I6/HistoricalFS!I53,0)</f>
        <v>2.7144319562092578</v>
      </c>
      <c r="J30" s="43">
        <f>IFERROR(HistoricalFS!J6/HistoricalFS!J53,0)</f>
        <v>2.0539205744067566</v>
      </c>
      <c r="K30" s="43">
        <f>IFERROR(HistoricalFS!K6/HistoricalFS!K53,0)</f>
        <v>1.8008727134726064</v>
      </c>
      <c r="L30" s="43">
        <f>IFERROR(HistoricalFS!L6/HistoricalFS!L53,0)</f>
        <v>2.0053488717943728</v>
      </c>
      <c r="M30" s="36"/>
      <c r="N30" s="43">
        <f t="shared" si="3"/>
        <v>2.6078228242311661</v>
      </c>
      <c r="O30" s="43">
        <f t="shared" si="8"/>
        <v>2.6303723638619827</v>
      </c>
    </row>
    <row r="31" spans="2:15" x14ac:dyDescent="0.25">
      <c r="B31" s="38" t="s">
        <v>113</v>
      </c>
      <c r="C31" s="41">
        <f>IFERROR(HistoricalFS!C6/SUM(HistoricalFS!C47:C48),0)</f>
        <v>5.0161060968772997</v>
      </c>
      <c r="D31" s="41">
        <f>IFERROR(HistoricalFS!D6/SUM(HistoricalFS!D47:D48),0)</f>
        <v>3.549106944832932</v>
      </c>
      <c r="E31" s="41">
        <f>IFERROR(HistoricalFS!E6/SUM(HistoricalFS!E47:E48),0)</f>
        <v>4.6773906756114965</v>
      </c>
      <c r="F31" s="41">
        <f>IFERROR(HistoricalFS!F6/SUM(HistoricalFS!F47:F48),0)</f>
        <v>3.4583567493379874</v>
      </c>
      <c r="G31" s="41">
        <f>IFERROR(HistoricalFS!G6/SUM(HistoricalFS!G47:G48),0)</f>
        <v>4.6449144180459854</v>
      </c>
      <c r="H31" s="41">
        <f>IFERROR(HistoricalFS!H6/SUM(HistoricalFS!H47:H48),0)</f>
        <v>3.0551908765475422</v>
      </c>
      <c r="I31" s="41">
        <f>IFERROR(HistoricalFS!I6/SUM(HistoricalFS!I47:I48),0)</f>
        <v>5.0172915853821474</v>
      </c>
      <c r="J31" s="41">
        <f>IFERROR(HistoricalFS!J6/SUM(HistoricalFS!J47:J48),0)</f>
        <v>4.196490075795241</v>
      </c>
      <c r="K31" s="41">
        <f>IFERROR(HistoricalFS!K6/SUM(HistoricalFS!K47:K48),0)</f>
        <v>4.5214403678625628</v>
      </c>
      <c r="L31" s="41">
        <f>IFERROR(HistoricalFS!L6/SUM(HistoricalFS!L47:L48),0)</f>
        <v>6.2487852671963351</v>
      </c>
      <c r="M31" s="38"/>
      <c r="N31" s="41">
        <f t="shared" si="3"/>
        <v>4.4385073057489519</v>
      </c>
      <c r="O31" s="41">
        <f t="shared" si="8"/>
        <v>4.5831773929542745</v>
      </c>
    </row>
    <row r="33" spans="2:15" x14ac:dyDescent="0.25">
      <c r="B33" s="34" t="s">
        <v>110</v>
      </c>
      <c r="C33" s="44">
        <f>IFERROR(365/C27,0)</f>
        <v>21.188606402080506</v>
      </c>
      <c r="D33" s="44">
        <f t="shared" ref="D33:L33" si="9">IFERROR(365/D27,0)</f>
        <v>16.576615039251624</v>
      </c>
      <c r="E33" s="44">
        <f t="shared" si="9"/>
        <v>17.447278447423685</v>
      </c>
      <c r="F33" s="44">
        <f t="shared" si="9"/>
        <v>18.141226776772818</v>
      </c>
      <c r="G33" s="44">
        <f t="shared" si="9"/>
        <v>19.049753180019717</v>
      </c>
      <c r="H33" s="44">
        <f t="shared" si="9"/>
        <v>24.904964999543136</v>
      </c>
      <c r="I33" s="44">
        <f t="shared" si="9"/>
        <v>22.963631157878556</v>
      </c>
      <c r="J33" s="44">
        <f t="shared" si="9"/>
        <v>15.620575170519771</v>
      </c>
      <c r="K33" s="44">
        <f t="shared" si="9"/>
        <v>18.52666719376608</v>
      </c>
      <c r="L33" s="44">
        <f t="shared" si="9"/>
        <v>16.309264717046954</v>
      </c>
      <c r="M33" s="34"/>
      <c r="N33" s="44">
        <f t="shared" si="3"/>
        <v>19.072858308430284</v>
      </c>
      <c r="O33" s="44">
        <f t="shared" ref="O33:O40" si="10">IFERROR(MEDIAN(C33:L33),0)</f>
        <v>18.333946985269449</v>
      </c>
    </row>
    <row r="34" spans="2:15" x14ac:dyDescent="0.25">
      <c r="B34" s="36" t="s">
        <v>112</v>
      </c>
      <c r="C34" s="45">
        <f>IFERROR(365/C28,0)</f>
        <v>148.82256458128757</v>
      </c>
      <c r="D34" s="45">
        <f t="shared" ref="D34:L34" si="11">IFERROR(365/D28,0)</f>
        <v>144.50571665626009</v>
      </c>
      <c r="E34" s="45">
        <f t="shared" si="11"/>
        <v>149.02210519283818</v>
      </c>
      <c r="F34" s="45">
        <f t="shared" si="11"/>
        <v>153.55745981623585</v>
      </c>
      <c r="G34" s="45">
        <f t="shared" si="11"/>
        <v>183.94574194885871</v>
      </c>
      <c r="H34" s="45">
        <f t="shared" si="11"/>
        <v>178.79202925682029</v>
      </c>
      <c r="I34" s="45">
        <f t="shared" si="11"/>
        <v>168.45235766633192</v>
      </c>
      <c r="J34" s="45">
        <f t="shared" si="11"/>
        <v>186.20040903524091</v>
      </c>
      <c r="K34" s="45">
        <f t="shared" si="11"/>
        <v>210.69420514242194</v>
      </c>
      <c r="L34" s="45">
        <f t="shared" si="11"/>
        <v>180.95902398395825</v>
      </c>
      <c r="M34" s="36"/>
      <c r="N34" s="45">
        <f t="shared" si="3"/>
        <v>170.49516132802538</v>
      </c>
      <c r="O34" s="45">
        <f t="shared" si="10"/>
        <v>173.6221934615761</v>
      </c>
    </row>
    <row r="35" spans="2:15" x14ac:dyDescent="0.25">
      <c r="B35" s="36" t="s">
        <v>114</v>
      </c>
      <c r="C35" s="45">
        <f>IFERROR(365/C29,0)</f>
        <v>40.671274401567132</v>
      </c>
      <c r="D35" s="45">
        <f t="shared" ref="D35:L35" si="12">IFERROR(365/D29,0)</f>
        <v>42.751013105235728</v>
      </c>
      <c r="E35" s="45">
        <f t="shared" si="12"/>
        <v>40.600568143256986</v>
      </c>
      <c r="F35" s="45">
        <f t="shared" si="12"/>
        <v>43.653299851746382</v>
      </c>
      <c r="G35" s="45">
        <f t="shared" si="12"/>
        <v>47.484218786795374</v>
      </c>
      <c r="H35" s="45">
        <f t="shared" si="12"/>
        <v>52.753248596949661</v>
      </c>
      <c r="I35" s="45">
        <f t="shared" si="12"/>
        <v>47.161975588398164</v>
      </c>
      <c r="J35" s="45">
        <f t="shared" si="12"/>
        <v>52.368588915752468</v>
      </c>
      <c r="K35" s="45">
        <f t="shared" si="12"/>
        <v>52.732634893247351</v>
      </c>
      <c r="L35" s="45">
        <f t="shared" si="12"/>
        <v>46.193416698982041</v>
      </c>
      <c r="M35" s="36"/>
      <c r="N35" s="45">
        <f t="shared" si="3"/>
        <v>46.637023898193128</v>
      </c>
      <c r="O35" s="45">
        <f t="shared" si="10"/>
        <v>46.677696143690099</v>
      </c>
    </row>
    <row r="36" spans="2:15" x14ac:dyDescent="0.25">
      <c r="B36" s="38" t="s">
        <v>120</v>
      </c>
      <c r="C36" s="46">
        <f>SUM(C33,C35)-C34</f>
        <v>-86.962683777639924</v>
      </c>
      <c r="D36" s="46">
        <f t="shared" ref="D36:L36" si="13">SUM(D33,D35)-D34</f>
        <v>-85.178088511772742</v>
      </c>
      <c r="E36" s="46">
        <f t="shared" si="13"/>
        <v>-90.974258602157505</v>
      </c>
      <c r="F36" s="46">
        <f t="shared" si="13"/>
        <v>-91.762933187716641</v>
      </c>
      <c r="G36" s="46">
        <f t="shared" si="13"/>
        <v>-117.41176998204362</v>
      </c>
      <c r="H36" s="46">
        <f t="shared" si="13"/>
        <v>-101.13381566032749</v>
      </c>
      <c r="I36" s="46">
        <f t="shared" si="13"/>
        <v>-98.326750920055204</v>
      </c>
      <c r="J36" s="46">
        <f t="shared" si="13"/>
        <v>-118.21124494896867</v>
      </c>
      <c r="K36" s="46">
        <f t="shared" si="13"/>
        <v>-139.43490305540851</v>
      </c>
      <c r="L36" s="46">
        <f t="shared" si="13"/>
        <v>-118.45634256792925</v>
      </c>
      <c r="M36" s="38"/>
      <c r="N36" s="46">
        <f t="shared" si="3"/>
        <v>-104.78527912140196</v>
      </c>
      <c r="O36" s="46">
        <f t="shared" si="10"/>
        <v>-99.730283290191352</v>
      </c>
    </row>
    <row r="38" spans="2:15" x14ac:dyDescent="0.25">
      <c r="B38" s="34" t="s">
        <v>117</v>
      </c>
      <c r="C38" s="35">
        <f>IFERROR(HistoricalFS!C70/HistoricalFS!C6,0)</f>
        <v>0.11739125068878462</v>
      </c>
      <c r="D38" s="35">
        <f>IFERROR(HistoricalFS!D70/HistoricalFS!D6,0)</f>
        <v>0.15526603842416944</v>
      </c>
      <c r="E38" s="35">
        <f>IFERROR(HistoricalFS!E70/HistoricalFS!E6,0)</f>
        <v>0.13501823118481462</v>
      </c>
      <c r="F38" s="35">
        <f>IFERROR(HistoricalFS!F70/HistoricalFS!F6,0)</f>
        <v>0.13880296917437968</v>
      </c>
      <c r="G38" s="35">
        <f>IFERROR(HistoricalFS!G70/HistoricalFS!G6,0)</f>
        <v>0.11197659883101685</v>
      </c>
      <c r="H38" s="35">
        <f>IFERROR(HistoricalFS!H70/HistoricalFS!H6,0)</f>
        <v>8.1829465689783804E-2</v>
      </c>
      <c r="I38" s="35">
        <f>IFERROR(HistoricalFS!I70/HistoricalFS!I6,0)</f>
        <v>6.2564913902968283E-2</v>
      </c>
      <c r="J38" s="35">
        <f>IFERROR(HistoricalFS!J70/HistoricalFS!J6,0)</f>
        <v>0.10201534872316967</v>
      </c>
      <c r="K38" s="35">
        <f>IFERROR(HistoricalFS!K70/HistoricalFS!K6,0)</f>
        <v>0.11609735592921788</v>
      </c>
      <c r="L38" s="35">
        <f>IFERROR(HistoricalFS!L70/HistoricalFS!L6,0)</f>
        <v>5.1293389541856201E-2</v>
      </c>
      <c r="M38" s="34"/>
      <c r="N38" s="35">
        <f t="shared" si="3"/>
        <v>0.10722555620901611</v>
      </c>
      <c r="O38" s="35">
        <f t="shared" si="10"/>
        <v>0.11403697738011737</v>
      </c>
    </row>
    <row r="39" spans="2:15" x14ac:dyDescent="0.25">
      <c r="B39" s="36" t="s">
        <v>118</v>
      </c>
      <c r="C39" s="37">
        <f>IFERROR(HistoricalFS!C70/HistoricalFS!C64,HistoricalFS!B52)</f>
        <v>0.1316616530039233</v>
      </c>
      <c r="D39" s="37">
        <f>IFERROR(HistoricalFS!D70/HistoricalFS!D64,HistoricalFS!C52)</f>
        <v>0.16550759367051515</v>
      </c>
      <c r="E39" s="37">
        <f>IFERROR(HistoricalFS!E70/HistoricalFS!E64,HistoricalFS!D52)</f>
        <v>0.14972206325615023</v>
      </c>
      <c r="F39" s="37">
        <f>IFERROR(HistoricalFS!F70/HistoricalFS!F64,HistoricalFS!E52)</f>
        <v>0.14400390114722728</v>
      </c>
      <c r="G39" s="37">
        <f>IFERROR(HistoricalFS!G70/HistoricalFS!G64,HistoricalFS!F52)</f>
        <v>0.11079026383265471</v>
      </c>
      <c r="H39" s="37">
        <f>IFERROR(HistoricalFS!H70/HistoricalFS!H64,HistoricalFS!G52)</f>
        <v>7.2915700426609081E-2</v>
      </c>
      <c r="I39" s="37">
        <f>IFERROR(HistoricalFS!I70/HistoricalFS!I64,HistoricalFS!H52)</f>
        <v>6.1794355046453676E-2</v>
      </c>
      <c r="J39" s="37">
        <f>IFERROR(HistoricalFS!J70/HistoricalFS!J64,HistoricalFS!I52)</f>
        <v>8.3181306579414735E-2</v>
      </c>
      <c r="K39" s="37">
        <f>IFERROR(HistoricalFS!K70/HistoricalFS!K64,HistoricalFS!J52)</f>
        <v>8.4903585330452558E-2</v>
      </c>
      <c r="L39" s="37">
        <f>IFERROR(HistoricalFS!L70/HistoricalFS!L64,HistoricalFS!K52)</f>
        <v>4.3404744809245228E-2</v>
      </c>
      <c r="M39" s="36"/>
      <c r="N39" s="37">
        <f t="shared" si="3"/>
        <v>0.1047885167102646</v>
      </c>
      <c r="O39" s="37">
        <f t="shared" si="10"/>
        <v>9.784692458155364E-2</v>
      </c>
    </row>
    <row r="40" spans="2:15" x14ac:dyDescent="0.25">
      <c r="B40" s="38" t="s">
        <v>119</v>
      </c>
      <c r="C40" s="39">
        <f>IFERROR(HistoricalFS!C70/HistoricalFS!C49,0)</f>
        <v>0.41259084167369287</v>
      </c>
      <c r="D40" s="39">
        <f>IFERROR(HistoricalFS!D70/HistoricalFS!D49,0)</f>
        <v>0.59613787608249569</v>
      </c>
      <c r="E40" s="39">
        <f>IFERROR(HistoricalFS!E70/HistoricalFS!E49,0)</f>
        <v>0.48269354366958256</v>
      </c>
      <c r="F40" s="39">
        <f>IFERROR(HistoricalFS!F70/HistoricalFS!F49,0)</f>
        <v>0.54641813518923599</v>
      </c>
      <c r="G40" s="39">
        <f>IFERROR(HistoricalFS!G70/HistoricalFS!G49,0)</f>
        <v>0.38419492244540293</v>
      </c>
      <c r="H40" s="39">
        <f>IFERROR(HistoricalFS!H70/HistoricalFS!H49,0)</f>
        <v>0.26821016235214945</v>
      </c>
      <c r="I40" s="39">
        <f>IFERROR(HistoricalFS!I70/HistoricalFS!I49,0)</f>
        <v>0.17792031558363741</v>
      </c>
      <c r="J40" s="39">
        <f>IFERROR(HistoricalFS!J70/HistoricalFS!J49,0)</f>
        <v>0.21342610534184314</v>
      </c>
      <c r="K40" s="39">
        <f>IFERROR(HistoricalFS!K70/HistoricalFS!K49,0)</f>
        <v>0.20404132622559662</v>
      </c>
      <c r="L40" s="39">
        <f>IFERROR(HistoricalFS!L70/HistoricalFS!L49,0)</f>
        <v>9.7527651770721868E-2</v>
      </c>
      <c r="M40" s="38"/>
      <c r="N40" s="39">
        <f t="shared" si="3"/>
        <v>0.33831608803343582</v>
      </c>
      <c r="O40" s="39">
        <f t="shared" si="10"/>
        <v>0.32620254239877622</v>
      </c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  <x14:sparklineGroup displayEmptyCellsAs="gap" markers="1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3"/>
  <sheetViews>
    <sheetView workbookViewId="0">
      <pane xSplit="1" ySplit="1" topLeftCell="B63" activePane="bottomRight" state="frozen"/>
      <selection activeCell="C4" sqref="C4"/>
      <selection pane="topRight" activeCell="C4" sqref="C4"/>
      <selection pane="bottomLeft" activeCell="C4" sqref="C4"/>
      <selection pane="bottomRight" activeCell="I79" sqref="I79"/>
    </sheetView>
  </sheetViews>
  <sheetFormatPr defaultColWidth="10.42578125" defaultRowHeight="12.75" x14ac:dyDescent="0.2"/>
  <cols>
    <col min="1" max="1" width="26.7109375" style="2" bestFit="1" customWidth="1"/>
    <col min="2" max="11" width="11.42578125" style="2" bestFit="1" customWidth="1"/>
    <col min="12" max="16384" width="10.42578125" style="2"/>
  </cols>
  <sheetData>
    <row r="1" spans="1:11" s="1" customFormat="1" x14ac:dyDescent="0.2">
      <c r="A1" s="1" t="s">
        <v>0</v>
      </c>
      <c r="B1" s="1" t="s">
        <v>1</v>
      </c>
      <c r="E1" s="49" t="str">
        <f>IF(B2&lt;&gt;B3, "A NEW VERSION OF THE WORKSHEET IS AVAILABLE", "")</f>
        <v/>
      </c>
      <c r="F1" s="49"/>
      <c r="G1" s="49"/>
      <c r="H1" s="49"/>
      <c r="I1" s="49"/>
      <c r="J1" s="49"/>
      <c r="K1" s="49"/>
    </row>
    <row r="2" spans="1:11" x14ac:dyDescent="0.2">
      <c r="A2" s="1" t="s">
        <v>2</v>
      </c>
      <c r="B2" s="2">
        <v>2.1</v>
      </c>
      <c r="E2" s="50" t="s">
        <v>3</v>
      </c>
      <c r="F2" s="50"/>
      <c r="G2" s="50"/>
      <c r="H2" s="50"/>
      <c r="I2" s="50"/>
      <c r="J2" s="50"/>
      <c r="K2" s="50"/>
    </row>
    <row r="3" spans="1:11" x14ac:dyDescent="0.2">
      <c r="A3" s="1" t="s">
        <v>4</v>
      </c>
      <c r="B3" s="2">
        <v>2.1</v>
      </c>
    </row>
    <row r="4" spans="1:11" x14ac:dyDescent="0.2">
      <c r="A4" s="1"/>
    </row>
    <row r="5" spans="1:11" x14ac:dyDescent="0.2">
      <c r="A5" s="1" t="s">
        <v>5</v>
      </c>
    </row>
    <row r="6" spans="1:11" x14ac:dyDescent="0.2">
      <c r="A6" s="2" t="s">
        <v>6</v>
      </c>
      <c r="B6" s="2">
        <f>IF(B9&gt;0, B9/B8, 0)</f>
        <v>358.58908869987852</v>
      </c>
    </row>
    <row r="7" spans="1:11" x14ac:dyDescent="0.2">
      <c r="A7" s="2" t="s">
        <v>7</v>
      </c>
      <c r="B7" s="3">
        <v>2</v>
      </c>
    </row>
    <row r="8" spans="1:11" x14ac:dyDescent="0.2">
      <c r="A8" s="2" t="s">
        <v>8</v>
      </c>
      <c r="B8" s="3">
        <v>411.5</v>
      </c>
    </row>
    <row r="9" spans="1:11" x14ac:dyDescent="0.2">
      <c r="A9" s="2" t="s">
        <v>9</v>
      </c>
      <c r="B9" s="3">
        <v>147559.41</v>
      </c>
    </row>
    <row r="15" spans="1:11" x14ac:dyDescent="0.2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2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2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5" x14ac:dyDescent="0.25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5" x14ac:dyDescent="0.25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2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2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2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2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2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2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2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5" x14ac:dyDescent="0.25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2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2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2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2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2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2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x14ac:dyDescent="0.2">
      <c r="A40" s="1" t="s">
        <v>29</v>
      </c>
    </row>
    <row r="41" spans="1:11" s="6" customFormat="1" x14ac:dyDescent="0.2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2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2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2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2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5" x14ac:dyDescent="0.25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2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2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2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2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2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2">
      <c r="A55" s="1" t="s">
        <v>32</v>
      </c>
    </row>
    <row r="56" spans="1:11" s="6" customFormat="1" x14ac:dyDescent="0.2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2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2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5" x14ac:dyDescent="0.25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2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2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2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2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5" x14ac:dyDescent="0.25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2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2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2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5" x14ac:dyDescent="0.25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2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2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6.5" x14ac:dyDescent="0.3">
      <c r="A71" s="2" t="s">
        <v>46</v>
      </c>
      <c r="B71" s="9"/>
      <c r="C71" s="9"/>
      <c r="G71" s="9"/>
      <c r="H71" s="9"/>
    </row>
    <row r="72" spans="1:11" x14ac:dyDescent="0.2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2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x14ac:dyDescent="0.2">
      <c r="A80" s="1" t="s">
        <v>48</v>
      </c>
    </row>
    <row r="81" spans="1:12" s="6" customFormat="1" x14ac:dyDescent="0.2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2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2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2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2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2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2">
      <c r="A92" s="1" t="s">
        <v>54</v>
      </c>
    </row>
    <row r="93" spans="1:12" x14ac:dyDescent="0.2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HistoricalFS</vt:lpstr>
      <vt:lpstr>Ratio Analysis</vt:lpstr>
      <vt:lpstr>Data&gt;</vt:lpstr>
      <vt:lpstr>Data Sheet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rohit</cp:lastModifiedBy>
  <dcterms:created xsi:type="dcterms:W3CDTF">2023-01-14T08:22:33Z</dcterms:created>
  <dcterms:modified xsi:type="dcterms:W3CDTF">2025-03-16T05:37:39Z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