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 kumar\Downloads\"/>
    </mc:Choice>
  </mc:AlternateContent>
  <xr:revisionPtr revIDLastSave="0" documentId="13_ncr:1_{5E1C54C0-DD53-4F83-B6A0-4E6FA9A9BA2D}" xr6:coauthVersionLast="47" xr6:coauthVersionMax="47" xr10:uidLastSave="{00000000-0000-0000-0000-000000000000}"/>
  <bookViews>
    <workbookView xWindow="-108" yWindow="-108" windowWidth="23256" windowHeight="12456" activeTab="3" xr2:uid="{923FAD7A-9803-40B4-9DFF-8BD176EF3021}"/>
  </bookViews>
  <sheets>
    <sheet name="Data Sheet" sheetId="2" r:id="rId1"/>
    <sheet name="HistoricalFS" sheetId="3" r:id="rId2"/>
    <sheet name="Intrinsic Growth" sheetId="1" r:id="rId3"/>
    <sheet name="DCF" sheetId="4" r:id="rId4"/>
    <sheet name="Raw data" sheetId="5" r:id="rId5"/>
    <sheet name="Relative Valution" sheetId="6" r:id="rId6"/>
  </sheets>
  <externalReferences>
    <externalReference r:id="rId7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"04/29/2023 08:53:12"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" l="1"/>
  <c r="E40" i="4"/>
  <c r="E39" i="4"/>
  <c r="E38" i="4"/>
  <c r="E36" i="4"/>
  <c r="E35" i="4"/>
  <c r="E34" i="4"/>
  <c r="E29" i="4"/>
  <c r="E25" i="4"/>
  <c r="F17" i="4"/>
  <c r="G15" i="4"/>
  <c r="F15" i="4"/>
  <c r="F13" i="4"/>
  <c r="G5" i="4"/>
  <c r="H5" i="4" s="1"/>
  <c r="F5" i="4"/>
  <c r="G7" i="4"/>
  <c r="H7" i="4"/>
  <c r="I7" i="4"/>
  <c r="J7" i="4"/>
  <c r="K7" i="4"/>
  <c r="F9" i="4"/>
  <c r="G35" i="1"/>
  <c r="H32" i="1"/>
  <c r="I32" i="1"/>
  <c r="J32" i="1"/>
  <c r="K32" i="1"/>
  <c r="H33" i="1"/>
  <c r="I33" i="1"/>
  <c r="J33" i="1"/>
  <c r="K33" i="1"/>
  <c r="G33" i="1"/>
  <c r="G32" i="1"/>
  <c r="H30" i="1"/>
  <c r="I30" i="1"/>
  <c r="J30" i="1"/>
  <c r="K30" i="1"/>
  <c r="G30" i="1"/>
  <c r="K25" i="1"/>
  <c r="J25" i="1"/>
  <c r="I25" i="1"/>
  <c r="H23" i="1"/>
  <c r="H25" i="1" s="1"/>
  <c r="G25" i="1"/>
  <c r="G23" i="1"/>
  <c r="G22" i="1"/>
  <c r="G20" i="1"/>
  <c r="H19" i="1"/>
  <c r="I19" i="1"/>
  <c r="J19" i="1"/>
  <c r="K19" i="1"/>
  <c r="G19" i="1"/>
  <c r="H10" i="1"/>
  <c r="I10" i="1"/>
  <c r="J10" i="1"/>
  <c r="K10" i="1"/>
  <c r="G10" i="1"/>
  <c r="G6" i="1"/>
  <c r="H6" i="1"/>
  <c r="I6" i="1"/>
  <c r="J6" i="1"/>
  <c r="K6" i="1"/>
  <c r="F6" i="1"/>
  <c r="G4" i="1"/>
  <c r="H4" i="1"/>
  <c r="I4" i="1"/>
  <c r="J4" i="1"/>
  <c r="K4" i="1"/>
  <c r="F4" i="1"/>
  <c r="C42" i="3"/>
  <c r="C36" i="3"/>
  <c r="J5" i="6"/>
  <c r="J6" i="6"/>
  <c r="J7" i="6"/>
  <c r="J8" i="6"/>
  <c r="J9" i="6"/>
  <c r="J10" i="6"/>
  <c r="J11" i="6"/>
  <c r="J12" i="6"/>
  <c r="J13" i="6"/>
  <c r="J4" i="6"/>
  <c r="D18" i="3"/>
  <c r="E19" i="3" s="1"/>
  <c r="E18" i="3"/>
  <c r="F18" i="3"/>
  <c r="F19" i="3" s="1"/>
  <c r="G18" i="3"/>
  <c r="H18" i="3"/>
  <c r="H19" i="3" s="1"/>
  <c r="I18" i="3"/>
  <c r="J18" i="3"/>
  <c r="K18" i="3"/>
  <c r="K19" i="3" s="1"/>
  <c r="L18" i="3"/>
  <c r="L19" i="3" s="1"/>
  <c r="C18" i="3"/>
  <c r="D15" i="3"/>
  <c r="E15" i="3"/>
  <c r="F15" i="3"/>
  <c r="G15" i="3"/>
  <c r="H15" i="3"/>
  <c r="I15" i="3"/>
  <c r="J15" i="3"/>
  <c r="K15" i="3"/>
  <c r="L15" i="3"/>
  <c r="C15" i="3"/>
  <c r="C9" i="3"/>
  <c r="L47" i="3"/>
  <c r="D42" i="3"/>
  <c r="D47" i="3" s="1"/>
  <c r="E42" i="3"/>
  <c r="E47" i="3" s="1"/>
  <c r="F42" i="3"/>
  <c r="F47" i="3" s="1"/>
  <c r="G42" i="3"/>
  <c r="G47" i="3" s="1"/>
  <c r="H42" i="3"/>
  <c r="H47" i="3" s="1"/>
  <c r="I42" i="3"/>
  <c r="I47" i="3" s="1"/>
  <c r="J42" i="3"/>
  <c r="J47" i="3" s="1"/>
  <c r="K42" i="3"/>
  <c r="K47" i="3" s="1"/>
  <c r="L42" i="3"/>
  <c r="C47" i="3"/>
  <c r="D36" i="3"/>
  <c r="E36" i="3"/>
  <c r="F36" i="3"/>
  <c r="G36" i="3"/>
  <c r="H36" i="3"/>
  <c r="I36" i="3"/>
  <c r="J36" i="3"/>
  <c r="K36" i="3"/>
  <c r="L36" i="3"/>
  <c r="C30" i="3"/>
  <c r="D30" i="3"/>
  <c r="E30" i="3"/>
  <c r="F30" i="3"/>
  <c r="G30" i="3"/>
  <c r="H30" i="3"/>
  <c r="I30" i="3"/>
  <c r="J30" i="3"/>
  <c r="K30" i="3"/>
  <c r="L30" i="3"/>
  <c r="C3" i="3"/>
  <c r="D3" i="3"/>
  <c r="E3" i="3"/>
  <c r="F3" i="3"/>
  <c r="G3" i="3"/>
  <c r="H3" i="3"/>
  <c r="I3" i="3"/>
  <c r="J3" i="3"/>
  <c r="K3" i="3"/>
  <c r="L3" i="3"/>
  <c r="C6" i="3"/>
  <c r="D6" i="3"/>
  <c r="E6" i="3"/>
  <c r="F6" i="3"/>
  <c r="G6" i="3"/>
  <c r="H6" i="3"/>
  <c r="I6" i="3"/>
  <c r="J6" i="3"/>
  <c r="K6" i="3"/>
  <c r="L6" i="3"/>
  <c r="D9" i="3"/>
  <c r="E9" i="3"/>
  <c r="F9" i="3"/>
  <c r="G9" i="3"/>
  <c r="H9" i="3"/>
  <c r="I9" i="3"/>
  <c r="J9" i="3"/>
  <c r="K9" i="3"/>
  <c r="L9" i="3"/>
  <c r="C24" i="3"/>
  <c r="D24" i="3"/>
  <c r="E24" i="3"/>
  <c r="F24" i="3"/>
  <c r="G24" i="3"/>
  <c r="H24" i="3"/>
  <c r="I24" i="3"/>
  <c r="J24" i="3"/>
  <c r="K24" i="3"/>
  <c r="L24" i="3"/>
  <c r="G19" i="3" l="1"/>
  <c r="I19" i="3"/>
  <c r="J19" i="3"/>
  <c r="G31" i="3"/>
  <c r="D19" i="3"/>
  <c r="G7" i="3"/>
  <c r="I7" i="3"/>
  <c r="L31" i="3"/>
  <c r="J31" i="3"/>
  <c r="K31" i="3"/>
  <c r="F16" i="3"/>
  <c r="E16" i="3"/>
  <c r="K10" i="3"/>
  <c r="I31" i="3"/>
  <c r="H25" i="3"/>
  <c r="F25" i="3"/>
  <c r="E25" i="3"/>
  <c r="J7" i="3"/>
  <c r="H31" i="3"/>
  <c r="E7" i="3"/>
  <c r="E12" i="3"/>
  <c r="E21" i="3" s="1"/>
  <c r="E33" i="3" s="1"/>
  <c r="J10" i="3"/>
  <c r="K16" i="3"/>
  <c r="H10" i="3"/>
  <c r="F31" i="3"/>
  <c r="I12" i="3"/>
  <c r="I21" i="3" s="1"/>
  <c r="I33" i="3" s="1"/>
  <c r="J16" i="3"/>
  <c r="I16" i="3"/>
  <c r="E31" i="3"/>
  <c r="H16" i="3"/>
  <c r="F12" i="3"/>
  <c r="D31" i="3"/>
  <c r="L25" i="3"/>
  <c r="C31" i="3"/>
  <c r="K25" i="3"/>
  <c r="F7" i="3"/>
  <c r="J25" i="3"/>
  <c r="K7" i="3"/>
  <c r="K12" i="3"/>
  <c r="K21" i="3" s="1"/>
  <c r="K33" i="3" s="1"/>
  <c r="L7" i="3"/>
  <c r="I25" i="3"/>
  <c r="C12" i="3"/>
  <c r="D12" i="3"/>
  <c r="C10" i="3"/>
  <c r="G25" i="3"/>
  <c r="G16" i="3"/>
  <c r="D7" i="3"/>
  <c r="D25" i="3"/>
  <c r="D16" i="3"/>
  <c r="G12" i="3"/>
  <c r="C25" i="3"/>
  <c r="C16" i="3"/>
  <c r="L16" i="3"/>
  <c r="H12" i="3"/>
  <c r="J12" i="3"/>
  <c r="J21" i="3" s="1"/>
  <c r="J33" i="3" s="1"/>
  <c r="H7" i="3"/>
  <c r="I10" i="3"/>
  <c r="L10" i="3"/>
  <c r="D10" i="3"/>
  <c r="E13" i="3"/>
  <c r="L12" i="3"/>
  <c r="L21" i="3" s="1"/>
  <c r="L33" i="3" s="1"/>
  <c r="G10" i="3"/>
  <c r="F10" i="3"/>
  <c r="E10" i="3"/>
  <c r="D13" i="3" l="1"/>
  <c r="D21" i="3"/>
  <c r="D33" i="3" s="1"/>
  <c r="F13" i="3"/>
  <c r="F21" i="3"/>
  <c r="F33" i="3" s="1"/>
  <c r="C13" i="3"/>
  <c r="C21" i="3"/>
  <c r="H13" i="3"/>
  <c r="H21" i="3"/>
  <c r="H33" i="3" s="1"/>
  <c r="G13" i="3"/>
  <c r="G21" i="3"/>
  <c r="G33" i="3" s="1"/>
  <c r="K13" i="3"/>
  <c r="I13" i="3"/>
  <c r="I27" i="3"/>
  <c r="I34" i="3"/>
  <c r="E27" i="3"/>
  <c r="E28" i="3" s="1"/>
  <c r="K27" i="3"/>
  <c r="K37" i="3"/>
  <c r="J27" i="3"/>
  <c r="J37" i="3"/>
  <c r="J28" i="3"/>
  <c r="K22" i="3"/>
  <c r="J13" i="3"/>
  <c r="J22" i="3"/>
  <c r="I28" i="3"/>
  <c r="I22" i="3"/>
  <c r="L13" i="3"/>
  <c r="E22" i="3"/>
  <c r="K28" i="3" l="1"/>
  <c r="C33" i="3"/>
  <c r="C37" i="3" s="1"/>
  <c r="C27" i="3"/>
  <c r="H13" i="1"/>
  <c r="J39" i="3"/>
  <c r="J40" i="3" s="1"/>
  <c r="J34" i="3"/>
  <c r="I37" i="3"/>
  <c r="I39" i="3"/>
  <c r="I40" i="3" s="1"/>
  <c r="F27" i="3"/>
  <c r="F28" i="3" s="1"/>
  <c r="F34" i="3"/>
  <c r="H27" i="3"/>
  <c r="H37" i="3"/>
  <c r="G27" i="3"/>
  <c r="G28" i="3" s="1"/>
  <c r="G37" i="3"/>
  <c r="L27" i="3"/>
  <c r="C28" i="3"/>
  <c r="C34" i="3"/>
  <c r="D22" i="3"/>
  <c r="F22" i="3"/>
  <c r="K39" i="3"/>
  <c r="K44" i="3" s="1"/>
  <c r="K48" i="3" s="1"/>
  <c r="D27" i="3"/>
  <c r="D28" i="3" s="1"/>
  <c r="K34" i="3"/>
  <c r="G22" i="3"/>
  <c r="H22" i="3"/>
  <c r="H28" i="3"/>
  <c r="C22" i="3"/>
  <c r="D34" i="3"/>
  <c r="D39" i="3"/>
  <c r="D37" i="3"/>
  <c r="L22" i="3"/>
  <c r="E34" i="3"/>
  <c r="E39" i="3"/>
  <c r="E37" i="3"/>
  <c r="I13" i="1" s="1"/>
  <c r="J44" i="3" l="1"/>
  <c r="J48" i="3" s="1"/>
  <c r="L28" i="3"/>
  <c r="K13" i="1"/>
  <c r="G13" i="1"/>
  <c r="I44" i="3"/>
  <c r="I48" i="3" s="1"/>
  <c r="F39" i="3"/>
  <c r="F44" i="3" s="1"/>
  <c r="F48" i="3" s="1"/>
  <c r="F37" i="3"/>
  <c r="J13" i="1" s="1"/>
  <c r="K40" i="3"/>
  <c r="G34" i="3"/>
  <c r="C39" i="3"/>
  <c r="C40" i="3" s="1"/>
  <c r="G39" i="3"/>
  <c r="G44" i="3" s="1"/>
  <c r="G48" i="3" s="1"/>
  <c r="D44" i="3"/>
  <c r="D48" i="3" s="1"/>
  <c r="H34" i="3"/>
  <c r="H39" i="3"/>
  <c r="H40" i="3" s="1"/>
  <c r="D40" i="3"/>
  <c r="K45" i="3"/>
  <c r="K50" i="3"/>
  <c r="E40" i="3"/>
  <c r="E44" i="3"/>
  <c r="J45" i="3"/>
  <c r="J50" i="3"/>
  <c r="L39" i="3"/>
  <c r="L34" i="3"/>
  <c r="L37" i="3"/>
  <c r="I50" i="3" l="1"/>
  <c r="F40" i="3"/>
  <c r="C44" i="3"/>
  <c r="C48" i="3" s="1"/>
  <c r="H44" i="3"/>
  <c r="H48" i="3" s="1"/>
  <c r="G40" i="3"/>
  <c r="C50" i="3"/>
  <c r="E48" i="3"/>
  <c r="E50" i="3" s="1"/>
  <c r="E45" i="3"/>
  <c r="F45" i="3"/>
  <c r="F50" i="3"/>
  <c r="G50" i="3"/>
  <c r="G45" i="3"/>
  <c r="L44" i="3"/>
  <c r="L48" i="3" s="1"/>
  <c r="L40" i="3"/>
  <c r="D45" i="3"/>
  <c r="D50" i="3"/>
  <c r="H45" i="3" l="1"/>
  <c r="H50" i="3"/>
  <c r="I45" i="3"/>
  <c r="L45" i="3"/>
  <c r="L50" i="3"/>
  <c r="M23" i="6" l="1"/>
  <c r="N23" i="6" s="1"/>
  <c r="O23" i="6" s="1"/>
  <c r="P23" i="6" s="1"/>
  <c r="K5" i="6"/>
  <c r="K6" i="6"/>
  <c r="K7" i="6"/>
  <c r="K8" i="6"/>
  <c r="K9" i="6"/>
  <c r="K10" i="6"/>
  <c r="K11" i="6"/>
  <c r="K12" i="6"/>
  <c r="K13" i="6"/>
  <c r="K4" i="6"/>
  <c r="I5" i="6"/>
  <c r="I6" i="6"/>
  <c r="I7" i="6"/>
  <c r="I8" i="6"/>
  <c r="I9" i="6"/>
  <c r="I10" i="6"/>
  <c r="I11" i="6"/>
  <c r="I12" i="6"/>
  <c r="I13" i="6"/>
  <c r="I4" i="6"/>
  <c r="H5" i="6"/>
  <c r="H6" i="6"/>
  <c r="H7" i="6"/>
  <c r="H8" i="6"/>
  <c r="H9" i="6"/>
  <c r="H10" i="6"/>
  <c r="H11" i="6"/>
  <c r="H12" i="6"/>
  <c r="H13" i="6"/>
  <c r="H4" i="6"/>
  <c r="G5" i="6"/>
  <c r="G6" i="6"/>
  <c r="G7" i="6"/>
  <c r="G8" i="6"/>
  <c r="G9" i="6"/>
  <c r="G10" i="6"/>
  <c r="G11" i="6"/>
  <c r="G12" i="6"/>
  <c r="G13" i="6"/>
  <c r="G4" i="6"/>
  <c r="E5" i="6"/>
  <c r="E6" i="6"/>
  <c r="E7" i="6"/>
  <c r="E8" i="6"/>
  <c r="E9" i="6"/>
  <c r="E10" i="6"/>
  <c r="E11" i="6"/>
  <c r="E12" i="6"/>
  <c r="E13" i="6"/>
  <c r="E4" i="6"/>
  <c r="M21" i="6" s="1"/>
  <c r="D5" i="6"/>
  <c r="D6" i="6"/>
  <c r="D7" i="6"/>
  <c r="D8" i="6"/>
  <c r="D9" i="6"/>
  <c r="D10" i="6"/>
  <c r="D11" i="6"/>
  <c r="D12" i="6"/>
  <c r="D13" i="6"/>
  <c r="D4" i="6"/>
  <c r="B5" i="6"/>
  <c r="B6" i="6"/>
  <c r="B7" i="6"/>
  <c r="B8" i="6"/>
  <c r="B9" i="6"/>
  <c r="B10" i="6"/>
  <c r="B11" i="6"/>
  <c r="B12" i="6"/>
  <c r="B13" i="6"/>
  <c r="B4" i="6"/>
  <c r="P4" i="6"/>
  <c r="P5" i="6"/>
  <c r="P6" i="6"/>
  <c r="P7" i="6"/>
  <c r="P8" i="6"/>
  <c r="P9" i="6"/>
  <c r="P10" i="6"/>
  <c r="P11" i="6"/>
  <c r="P12" i="6"/>
  <c r="P13" i="6"/>
  <c r="N5" i="6"/>
  <c r="N6" i="6"/>
  <c r="N7" i="6"/>
  <c r="N8" i="6"/>
  <c r="N9" i="6"/>
  <c r="N10" i="6"/>
  <c r="N11" i="6"/>
  <c r="N12" i="6"/>
  <c r="N13" i="6"/>
  <c r="N4" i="6"/>
  <c r="F4" i="6" l="1"/>
  <c r="N16" i="6"/>
  <c r="N20" i="6" s="1"/>
  <c r="N21" i="6"/>
  <c r="P16" i="6"/>
  <c r="P22" i="6" s="1"/>
  <c r="O6" i="6"/>
  <c r="F10" i="6"/>
  <c r="O8" i="6"/>
  <c r="O7" i="6"/>
  <c r="P15" i="6"/>
  <c r="O5" i="6"/>
  <c r="M10" i="6"/>
  <c r="F5" i="6"/>
  <c r="O10" i="6"/>
  <c r="F12" i="6"/>
  <c r="O9" i="6"/>
  <c r="O4" i="6"/>
  <c r="F11" i="6"/>
  <c r="F9" i="6"/>
  <c r="F13" i="6"/>
  <c r="O13" i="6"/>
  <c r="O12" i="6"/>
  <c r="F6" i="6"/>
  <c r="O11" i="6"/>
  <c r="N15" i="6"/>
  <c r="F7" i="6"/>
  <c r="F8" i="6"/>
  <c r="M5" i="6" l="1"/>
  <c r="M4" i="6"/>
  <c r="N22" i="6"/>
  <c r="O15" i="6"/>
  <c r="M13" i="6"/>
  <c r="M11" i="6"/>
  <c r="M8" i="6"/>
  <c r="M9" i="6"/>
  <c r="M7" i="6"/>
  <c r="O16" i="6"/>
  <c r="M12" i="6"/>
  <c r="M6" i="6"/>
  <c r="M15" i="6" l="1"/>
  <c r="O22" i="6"/>
  <c r="M16" i="6"/>
  <c r="M20" i="6" s="1"/>
  <c r="M22" i="6" s="1"/>
  <c r="E43" i="4" l="1"/>
  <c r="H15" i="4"/>
  <c r="I15" i="4"/>
  <c r="J15" i="4"/>
  <c r="E27" i="4"/>
  <c r="G11" i="4"/>
  <c r="H11" i="4" s="1"/>
  <c r="I11" i="4" s="1"/>
  <c r="J11" i="4" s="1"/>
  <c r="K11" i="4" s="1"/>
  <c r="F8" i="1"/>
  <c r="D47" i="1"/>
  <c r="E47" i="1"/>
  <c r="F47" i="1"/>
  <c r="G47" i="1"/>
  <c r="C47" i="1"/>
  <c r="H17" i="1"/>
  <c r="I17" i="1"/>
  <c r="J17" i="1"/>
  <c r="K17" i="1"/>
  <c r="G17" i="1"/>
  <c r="G8" i="1"/>
  <c r="G12" i="1" s="1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N25" i="6" l="1"/>
  <c r="M25" i="6"/>
  <c r="K15" i="4"/>
  <c r="J8" i="1"/>
  <c r="H8" i="1"/>
  <c r="I8" i="1"/>
  <c r="K8" i="1"/>
  <c r="P25" i="6" l="1"/>
  <c r="O25" i="6"/>
  <c r="K12" i="1"/>
  <c r="K20" i="1"/>
  <c r="K23" i="1" s="1"/>
  <c r="I12" i="1"/>
  <c r="I20" i="1"/>
  <c r="I23" i="1" s="1"/>
  <c r="H12" i="1"/>
  <c r="H20" i="1"/>
  <c r="J12" i="1"/>
  <c r="J20" i="1"/>
  <c r="J23" i="1" s="1"/>
  <c r="M28" i="6" l="1"/>
  <c r="M27" i="6"/>
  <c r="H22" i="1"/>
  <c r="I22" i="1" l="1"/>
  <c r="H15" i="1"/>
  <c r="H35" i="1" s="1"/>
  <c r="K22" i="1"/>
  <c r="K15" i="1"/>
  <c r="J22" i="1"/>
  <c r="J15" i="1"/>
  <c r="G15" i="1"/>
  <c r="I15" i="1" l="1"/>
  <c r="I35" i="1" s="1"/>
  <c r="K27" i="1"/>
  <c r="K28" i="1"/>
  <c r="J35" i="1"/>
  <c r="K35" i="1"/>
  <c r="K38" i="1" l="1"/>
  <c r="K37" i="1"/>
  <c r="G9" i="4" l="1"/>
  <c r="G13" i="4" s="1"/>
  <c r="G17" i="4" s="1"/>
  <c r="H9" i="4" l="1"/>
  <c r="H13" i="4" s="1"/>
  <c r="H17" i="4" s="1"/>
  <c r="I5" i="4"/>
  <c r="J5" i="4" l="1"/>
  <c r="I9" i="4"/>
  <c r="I13" i="4"/>
  <c r="I17" i="4" s="1"/>
  <c r="J9" i="4" l="1"/>
  <c r="J13" i="4" s="1"/>
  <c r="J17" i="4" s="1"/>
  <c r="K5" i="4"/>
  <c r="K9" i="4" s="1"/>
  <c r="K13" i="4" s="1"/>
  <c r="K17" i="4" l="1"/>
  <c r="E42" i="4" l="1"/>
</calcChain>
</file>

<file path=xl/sharedStrings.xml><?xml version="1.0" encoding="utf-8"?>
<sst xmlns="http://schemas.openxmlformats.org/spreadsheetml/2006/main" count="219" uniqueCount="174">
  <si>
    <t>COMPANY NAME</t>
  </si>
  <si>
    <t>AVANTI FEEDS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</si>
  <si>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</si>
  <si>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</si>
  <si>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</si>
  <si>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</si>
  <si>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</si>
  <si>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</si>
  <si>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</si>
  <si>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</si>
  <si>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</si>
  <si>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</si>
  <si>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</si>
  <si>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</si>
  <si>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</si>
  <si>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</si>
  <si>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</si>
  <si>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</si>
  <si>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</si>
  <si>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</si>
  <si>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</si>
  <si>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</si>
  <si>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</si>
  <si>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</si>
  <si>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</si>
  <si>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</si>
  <si>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</si>
  <si>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</si>
  <si>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</si>
  <si>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</si>
  <si>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</si>
  <si>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</si>
  <si>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</si>
  <si>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</si>
  <si>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</si>
  <si>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</si>
  <si>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</si>
  <si>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</si>
  <si>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</si>
  <si>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</si>
  <si>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</si>
  <si>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</si>
  <si>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</si>
  <si>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</si>
  <si>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</si>
  <si>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</si>
  <si>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</si>
  <si>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</si>
  <si>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</si>
  <si>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</si>
  <si>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</si>
  <si>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</si>
  <si>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</si>
  <si>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</si>
  <si>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</si>
  <si>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</si>
  <si>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</si>
  <si>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#</t>
  </si>
  <si>
    <t>Income Statement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</si>
  <si>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</si>
  <si>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</si>
  <si>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</si>
  <si>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</si>
  <si>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</si>
  <si>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</si>
  <si>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</si>
  <si>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</si>
  <si>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 Margins</t>
  </si>
  <si>
    <t>Interest % Sales</t>
  </si>
  <si>
    <t>Earnings Before Tax</t>
  </si>
  <si>
    <t>EBT % Sales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</si>
  <si>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</si>
  <si>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</si>
  <si>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</si>
  <si>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</si>
  <si>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</si>
  <si>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</si>
  <si>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</si>
  <si>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</si>
  <si>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Total Current Assets</t>
  </si>
  <si>
    <t>Calculation of ROIC</t>
  </si>
  <si>
    <t>Total Current Liabilities</t>
  </si>
  <si>
    <t>Net Working Capital</t>
  </si>
  <si>
    <t>Net Non Current Assets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</si>
  <si>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</si>
  <si>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</si>
  <si>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</si>
  <si>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</si>
  <si>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</si>
  <si>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</si>
  <si>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Reinvestment</t>
  </si>
  <si>
    <t>Reinvestment Rate</t>
  </si>
  <si>
    <t>4 Year Average</t>
  </si>
  <si>
    <t>4 Year Median</t>
  </si>
  <si>
    <t>Calculation of Growth Rate</t>
  </si>
  <si>
    <t>Intrinsic Growth</t>
  </si>
  <si>
    <t>NOPAT</t>
  </si>
  <si>
    <t>Fixed assets purchased</t>
  </si>
  <si>
    <t>Fixed assets sold</t>
  </si>
  <si>
    <t>Particulars</t>
  </si>
  <si>
    <t>Calculation of PV of FCFF</t>
  </si>
  <si>
    <t>Tax Rate</t>
  </si>
  <si>
    <t>EBIT (1-T)</t>
  </si>
  <si>
    <t>Less: Reinvestment Rate</t>
  </si>
  <si>
    <t>Free Cash Flow to Firm</t>
  </si>
  <si>
    <t>Discounting Factor</t>
  </si>
  <si>
    <t>PV of FCFF</t>
  </si>
  <si>
    <t>Expected Growth</t>
  </si>
  <si>
    <t>Terminal Growth</t>
  </si>
  <si>
    <t>Calculation of Terminal Value</t>
  </si>
  <si>
    <t>FCFF (n+1)</t>
  </si>
  <si>
    <t>WACC</t>
  </si>
  <si>
    <t>Terminal Growth Rate</t>
  </si>
  <si>
    <t>Terminal Value</t>
  </si>
  <si>
    <t>Calculation of Enterprise Value</t>
  </si>
  <si>
    <t>PV of Terminal Value</t>
  </si>
  <si>
    <t>Value of Operating Asset</t>
  </si>
  <si>
    <t>Add: Cash</t>
  </si>
  <si>
    <t>Less: Debt</t>
  </si>
  <si>
    <t>Value of Equity</t>
  </si>
  <si>
    <t>No. of Shares</t>
  </si>
  <si>
    <t>Value per Share</t>
  </si>
  <si>
    <t>Alphaspread</t>
  </si>
  <si>
    <t>Current Share Price</t>
  </si>
  <si>
    <t xml:space="preserve">Comment </t>
  </si>
  <si>
    <t>Undervalued</t>
  </si>
  <si>
    <t>Companies</t>
  </si>
  <si>
    <t>Share Price</t>
  </si>
  <si>
    <t>O/S Shares</t>
  </si>
  <si>
    <t>Market Cap</t>
  </si>
  <si>
    <t>EV</t>
  </si>
  <si>
    <t>Eq Capital</t>
  </si>
  <si>
    <t>Debt</t>
  </si>
  <si>
    <t>Cash End</t>
  </si>
  <si>
    <t>PE Ratio</t>
  </si>
  <si>
    <t>EV/EBITDA</t>
  </si>
  <si>
    <t>P/B Book Value</t>
  </si>
  <si>
    <t>Shareholder Fund</t>
  </si>
  <si>
    <t>Company</t>
  </si>
  <si>
    <t>Equity Value</t>
  </si>
  <si>
    <t>Net Debt</t>
  </si>
  <si>
    <t>Enterprise Value</t>
  </si>
  <si>
    <t>Revenue</t>
  </si>
  <si>
    <t>Net Income</t>
  </si>
  <si>
    <t>EV/Revenue</t>
  </si>
  <si>
    <t>P/E</t>
  </si>
  <si>
    <t>Average</t>
  </si>
  <si>
    <t>Median</t>
  </si>
  <si>
    <t>Cipla Comparable Valuation</t>
  </si>
  <si>
    <t>Implied Enterprise Value</t>
  </si>
  <si>
    <t>Implied Market Value</t>
  </si>
  <si>
    <t>Shares Outstanding</t>
  </si>
  <si>
    <t>Implied Value per Share</t>
  </si>
  <si>
    <t>P/B</t>
  </si>
  <si>
    <t>Book Value of Shares</t>
  </si>
  <si>
    <t>Hatsun Agro</t>
  </si>
  <si>
    <t>Bikaji Foods</t>
  </si>
  <si>
    <t>L T Foods</t>
  </si>
  <si>
    <t>Zydus Wellness</t>
  </si>
  <si>
    <t>Mrs Bectors</t>
  </si>
  <si>
    <t>Avanti Feeds</t>
  </si>
  <si>
    <t>Dodla Dairy</t>
  </si>
  <si>
    <t>KRBL</t>
  </si>
  <si>
    <t>Heritage Foods</t>
  </si>
  <si>
    <t>Gopal Snacks</t>
  </si>
  <si>
    <t>Average Implied Value</t>
  </si>
  <si>
    <t>Median Implied Value</t>
  </si>
  <si>
    <t>Earnings Before Interest Tax</t>
  </si>
  <si>
    <t>Depreciation % Sales</t>
  </si>
  <si>
    <t xml:space="preserve">Interest </t>
  </si>
  <si>
    <t>Income Growth</t>
  </si>
  <si>
    <t>Historical Financial Statement- Avanti Feeds Ltd.</t>
  </si>
  <si>
    <t>NYU Stern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</si>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</sst>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#,##0.0;\(#,##0.0\);\-"/>
    <numFmt numFmtId="170" formatCode="#,##0.0"/>
    <numFmt numFmtId="171" formatCode="0.0"/>
    <numFmt numFmtId="172" formatCode="0.0\x"/>
    <numFmt numFmtId="173" formatCode="0.00\x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0" tint="-0.499984740745262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" fillId="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3" fillId="0" borderId="0"/>
  </cellStyleXfs>
  <cellXfs count="101">
    <xf numFmtId="0" fontId="0" fillId="0" borderId="0" xfId="0"/>
    <xf numFmtId="43" fontId="7" fillId="0" borderId="0" xfId="3" applyFont="1" applyBorder="1"/>
    <xf numFmtId="43" fontId="9" fillId="0" borderId="0" xfId="3" applyFont="1" applyBorder="1"/>
    <xf numFmtId="0" fontId="9" fillId="0" borderId="0" xfId="6" applyFont="1"/>
    <xf numFmtId="164" fontId="11" fillId="3" borderId="0" xfId="3" applyNumberFormat="1" applyFont="1" applyFill="1" applyBorder="1"/>
    <xf numFmtId="164" fontId="11" fillId="3" borderId="0" xfId="6" applyNumberFormat="1" applyFont="1" applyFill="1" applyAlignment="1">
      <alignment horizontal="center"/>
    </xf>
    <xf numFmtId="164" fontId="12" fillId="0" borderId="0" xfId="3" applyNumberFormat="1" applyFont="1" applyFill="1" applyBorder="1"/>
    <xf numFmtId="0" fontId="6" fillId="0" borderId="0" xfId="6"/>
    <xf numFmtId="9" fontId="9" fillId="0" borderId="0" xfId="7" applyFont="1" applyBorder="1"/>
    <xf numFmtId="0" fontId="13" fillId="0" borderId="0" xfId="8"/>
    <xf numFmtId="165" fontId="9" fillId="0" borderId="0" xfId="3" applyNumberFormat="1" applyFont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17" fontId="2" fillId="4" borderId="0" xfId="0" applyNumberFormat="1" applyFont="1" applyFill="1"/>
    <xf numFmtId="0" fontId="2" fillId="0" borderId="0" xfId="0" applyFont="1"/>
    <xf numFmtId="17" fontId="2" fillId="0" borderId="0" xfId="0" applyNumberFormat="1" applyFont="1"/>
    <xf numFmtId="0" fontId="3" fillId="5" borderId="0" xfId="0" applyFont="1" applyFill="1"/>
    <xf numFmtId="0" fontId="0" fillId="5" borderId="0" xfId="0" applyFill="1"/>
    <xf numFmtId="166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0" fontId="3" fillId="0" borderId="1" xfId="0" applyFont="1" applyBorder="1"/>
    <xf numFmtId="167" fontId="3" fillId="0" borderId="1" xfId="0" applyNumberFormat="1" applyFont="1" applyBorder="1"/>
    <xf numFmtId="167" fontId="0" fillId="0" borderId="0" xfId="0" applyNumberFormat="1"/>
    <xf numFmtId="166" fontId="3" fillId="0" borderId="1" xfId="0" applyNumberFormat="1" applyFont="1" applyBorder="1"/>
    <xf numFmtId="168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15" fillId="0" borderId="0" xfId="0" applyFont="1"/>
    <xf numFmtId="166" fontId="3" fillId="0" borderId="0" xfId="0" applyNumberFormat="1" applyFont="1"/>
    <xf numFmtId="0" fontId="4" fillId="4" borderId="0" xfId="0" applyFont="1" applyFill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0" fontId="3" fillId="0" borderId="2" xfId="0" applyFont="1" applyBorder="1"/>
    <xf numFmtId="169" fontId="3" fillId="0" borderId="2" xfId="0" applyNumberFormat="1" applyFont="1" applyBorder="1"/>
    <xf numFmtId="169" fontId="3" fillId="0" borderId="0" xfId="0" applyNumberFormat="1" applyFont="1"/>
    <xf numFmtId="0" fontId="0" fillId="0" borderId="2" xfId="0" applyBorder="1"/>
    <xf numFmtId="10" fontId="3" fillId="0" borderId="2" xfId="1" applyNumberFormat="1" applyFont="1" applyBorder="1"/>
    <xf numFmtId="3" fontId="0" fillId="0" borderId="0" xfId="0" applyNumberFormat="1"/>
    <xf numFmtId="0" fontId="3" fillId="6" borderId="0" xfId="0" applyFont="1" applyFill="1"/>
    <xf numFmtId="10" fontId="3" fillId="6" borderId="0" xfId="0" applyNumberFormat="1" applyFont="1" applyFill="1"/>
    <xf numFmtId="10" fontId="0" fillId="0" borderId="1" xfId="0" applyNumberFormat="1" applyBorder="1"/>
    <xf numFmtId="10" fontId="3" fillId="0" borderId="2" xfId="0" applyNumberFormat="1" applyFont="1" applyBorder="1"/>
    <xf numFmtId="4" fontId="3" fillId="0" borderId="2" xfId="0" applyNumberFormat="1" applyFont="1" applyBorder="1"/>
    <xf numFmtId="17" fontId="17" fillId="4" borderId="0" xfId="0" applyNumberFormat="1" applyFont="1" applyFill="1" applyAlignment="1">
      <alignment horizontal="right" vertical="center" wrapText="1"/>
    </xf>
    <xf numFmtId="43" fontId="0" fillId="0" borderId="0" xfId="0" applyNumberFormat="1"/>
    <xf numFmtId="10" fontId="0" fillId="0" borderId="0" xfId="0" applyNumberFormat="1"/>
    <xf numFmtId="43" fontId="3" fillId="0" borderId="2" xfId="0" applyNumberFormat="1" applyFont="1" applyBorder="1"/>
    <xf numFmtId="2" fontId="0" fillId="0" borderId="0" xfId="0" applyNumberFormat="1"/>
    <xf numFmtId="0" fontId="0" fillId="6" borderId="0" xfId="0" applyFill="1"/>
    <xf numFmtId="10" fontId="0" fillId="6" borderId="0" xfId="0" applyNumberFormat="1" applyFill="1"/>
    <xf numFmtId="10" fontId="3" fillId="0" borderId="0" xfId="0" applyNumberFormat="1" applyFont="1"/>
    <xf numFmtId="9" fontId="0" fillId="0" borderId="0" xfId="0" applyNumberFormat="1"/>
    <xf numFmtId="171" fontId="0" fillId="0" borderId="0" xfId="0" applyNumberFormat="1"/>
    <xf numFmtId="43" fontId="3" fillId="0" borderId="0" xfId="0" applyNumberFormat="1" applyFont="1"/>
    <xf numFmtId="0" fontId="4" fillId="0" borderId="0" xfId="0" applyFont="1"/>
    <xf numFmtId="43" fontId="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70" fontId="0" fillId="0" borderId="0" xfId="0" applyNumberFormat="1"/>
    <xf numFmtId="0" fontId="5" fillId="0" borderId="0" xfId="2"/>
    <xf numFmtId="171" fontId="3" fillId="0" borderId="0" xfId="0" applyNumberFormat="1" applyFo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 wrapText="1"/>
    </xf>
    <xf numFmtId="0" fontId="2" fillId="4" borderId="0" xfId="0" applyFont="1" applyFill="1" applyAlignment="1">
      <alignment horizontal="righ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 wrapText="1"/>
    </xf>
    <xf numFmtId="3" fontId="18" fillId="0" borderId="1" xfId="0" applyNumberFormat="1" applyFont="1" applyBorder="1" applyAlignment="1">
      <alignment horizontal="right" wrapText="1"/>
    </xf>
    <xf numFmtId="3" fontId="16" fillId="0" borderId="1" xfId="0" applyNumberFormat="1" applyFont="1" applyBorder="1" applyAlignment="1">
      <alignment horizontal="right"/>
    </xf>
    <xf numFmtId="172" fontId="16" fillId="0" borderId="1" xfId="0" applyNumberFormat="1" applyFont="1" applyBorder="1" applyAlignment="1">
      <alignment horizontal="right"/>
    </xf>
    <xf numFmtId="0" fontId="3" fillId="6" borderId="1" xfId="0" applyFont="1" applyFill="1" applyBorder="1"/>
    <xf numFmtId="172" fontId="3" fillId="6" borderId="1" xfId="0" applyNumberFormat="1" applyFont="1" applyFill="1" applyBorder="1"/>
    <xf numFmtId="0" fontId="2" fillId="4" borderId="3" xfId="0" applyFont="1" applyFill="1" applyBorder="1"/>
    <xf numFmtId="3" fontId="0" fillId="0" borderId="1" xfId="0" applyNumberFormat="1" applyBorder="1"/>
    <xf numFmtId="2" fontId="0" fillId="0" borderId="1" xfId="0" applyNumberFormat="1" applyBorder="1"/>
    <xf numFmtId="0" fontId="3" fillId="6" borderId="4" xfId="0" applyFont="1" applyFill="1" applyBorder="1"/>
    <xf numFmtId="173" fontId="16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2" fontId="18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18" fillId="0" borderId="1" xfId="0" applyNumberFormat="1" applyFont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172" fontId="18" fillId="0" borderId="1" xfId="0" applyNumberFormat="1" applyFont="1" applyBorder="1" applyAlignment="1">
      <alignment horizontal="right"/>
    </xf>
    <xf numFmtId="173" fontId="18" fillId="0" borderId="1" xfId="0" applyNumberFormat="1" applyFont="1" applyBorder="1" applyAlignment="1">
      <alignment horizontal="right"/>
    </xf>
    <xf numFmtId="170" fontId="3" fillId="0" borderId="0" xfId="0" applyNumberFormat="1" applyFont="1" applyAlignment="1">
      <alignment wrapText="1"/>
    </xf>
    <xf numFmtId="0" fontId="0" fillId="7" borderId="0" xfId="0" applyFill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3" fillId="6" borderId="4" xfId="0" applyNumberFormat="1" applyFont="1" applyFill="1" applyBorder="1"/>
    <xf numFmtId="3" fontId="3" fillId="6" borderId="4" xfId="0" applyNumberFormat="1" applyFont="1" applyFill="1" applyBorder="1"/>
    <xf numFmtId="43" fontId="8" fillId="0" borderId="0" xfId="4" applyNumberFormat="1" applyFont="1" applyBorder="1" applyAlignment="1" applyProtection="1">
      <alignment horizontal="center"/>
    </xf>
    <xf numFmtId="43" fontId="11" fillId="2" borderId="0" xfId="5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Font="1" applyBorder="1" applyAlignment="1">
      <alignment horizontal="right"/>
    </xf>
    <xf numFmtId="43" fontId="9" fillId="0" borderId="0" xfId="3" applyFont="1" applyFill="1" applyBorder="1"/>
    <xf numFmtId="10" fontId="5" fillId="0" borderId="0" xfId="2" applyNumberFormat="1"/>
  </cellXfs>
  <cellStyles count="9">
    <cellStyle name="Accent6 2" xfId="5" xr:uid="{80175D04-7419-417E-A1CA-5DE3106BC027}"/>
    <cellStyle name="Comma 2" xfId="3" xr:uid="{60C5D3FB-2487-47F7-86FF-253203AFD512}"/>
    <cellStyle name="Hyperlink" xfId="2" builtinId="8"/>
    <cellStyle name="Hyperlink 2" xfId="4" xr:uid="{8B5D22E9-4164-4AF9-938B-06545B1D9AA1}"/>
    <cellStyle name="Normal" xfId="0" builtinId="0"/>
    <cellStyle name="Normal 2" xfId="8" xr:uid="{CFC0051B-98BB-42F3-A90E-3691F7CA12BC}"/>
    <cellStyle name="Normal 3" xfId="6" xr:uid="{9AC10E45-DA6A-44A6-8FCF-50D172E18575}"/>
    <cellStyle name="Percent" xfId="1" builtinId="5"/>
    <cellStyle name="Percent 3" xfId="7" xr:uid="{7EFB1904-4A09-487C-B74F-88534104E1E3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%20kumar\Downloads\JK%20Paper.xlsx" TargetMode="External"/><Relationship Id="rId1" Type="http://schemas.openxmlformats.org/officeDocument/2006/relationships/externalLinkPath" Target="JK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&gt;"/>
      <sheetName val="WACC"/>
      <sheetName val="Data&gt;"/>
      <sheetName val="Beta - Regression"/>
      <sheetName val="Beta - Comps"/>
      <sheetName val="Rm"/>
      <sheetName val="Intrisic Growth"/>
      <sheetName val="DCF"/>
      <sheetName val="Comps_Val"/>
      <sheetName val="Football Field"/>
      <sheetName val="Dupont Analysis"/>
      <sheetName val="Altman Z Score"/>
      <sheetName val="Data Room&gt;"/>
      <sheetName val="HistoricalFS"/>
      <sheetName val="Data Sheet"/>
      <sheetName val="Raw FS"/>
      <sheetName val="List of Stocks"/>
      <sheetName val="Relativ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JK PAPER LTD</v>
          </cell>
        </row>
        <row r="16">
          <cell r="B16">
            <v>42094</v>
          </cell>
          <cell r="C16">
            <v>42460</v>
          </cell>
          <cell r="D16">
            <v>42825</v>
          </cell>
          <cell r="E16">
            <v>43190</v>
          </cell>
          <cell r="F16">
            <v>43555</v>
          </cell>
          <cell r="G16">
            <v>43921</v>
          </cell>
          <cell r="H16">
            <v>44286</v>
          </cell>
          <cell r="I16">
            <v>44651</v>
          </cell>
          <cell r="J16">
            <v>45016</v>
          </cell>
          <cell r="K16">
            <v>45382</v>
          </cell>
        </row>
      </sheetData>
      <sheetData sheetId="15">
        <row r="2">
          <cell r="J2">
            <v>43160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ages.stern.nyu.edu/~adamodar/New_Home_Page/datafile/fundgrEB.html" TargetMode="External"/><Relationship Id="rId2" Type="http://schemas.openxmlformats.org/officeDocument/2006/relationships/hyperlink" Target="https://pages.stern.nyu.edu/~adamodar/New_Home_Page/datafile/fundgrEB.html" TargetMode="External"/><Relationship Id="rId1" Type="http://schemas.openxmlformats.org/officeDocument/2006/relationships/hyperlink" Target="https://www.alphaspread.com/security/nse/avantifeed/discount-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A1-BC36-499C-A748-8D4AFE208BA7}">
  <dimension ref="A1:L101"/>
  <sheetViews>
    <sheetView zoomScale="86" workbookViewId="0">
      <pane xSplit="1" ySplit="1" topLeftCell="B47" activePane="bottomRight" state="frozen"/>
      <selection activeCell="C4" sqref="C4"/>
      <selection pane="topRight" activeCell="C4" sqref="C4"/>
      <selection pane="bottomLeft" activeCell="C4" sqref="C4"/>
      <selection pane="bottomRight" activeCell="G98" sqref="G98:K99"/>
    </sheetView>
  </sheetViews>
  <sheetFormatPr defaultColWidth="10.44140625" defaultRowHeight="13.2" x14ac:dyDescent="0.25"/>
  <cols>
    <col min="1" max="1" width="26.664062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1" t="s">
        <v>1</v>
      </c>
      <c r="E1" s="95" t="str">
        <f>IF(B2&lt;&gt;B3, "A NEW VERSION OF THE WORKSHEET IS AVAILABLE", "")</f>
        <v/>
      </c>
      <c r="F1" s="95"/>
      <c r="G1" s="95"/>
      <c r="H1" s="95"/>
      <c r="I1" s="95"/>
      <c r="J1" s="95"/>
      <c r="K1" s="95"/>
    </row>
    <row r="2" spans="1:11" x14ac:dyDescent="0.25">
      <c r="A2" s="1" t="s">
        <v>2</v>
      </c>
      <c r="B2" s="2">
        <v>2.1</v>
      </c>
      <c r="E2" s="96" t="s">
        <v>3</v>
      </c>
      <c r="F2" s="96"/>
      <c r="G2" s="96"/>
      <c r="H2" s="96"/>
      <c r="I2" s="96"/>
      <c r="J2" s="96"/>
      <c r="K2" s="96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13.624559315730755</v>
      </c>
    </row>
    <row r="7" spans="1:11" x14ac:dyDescent="0.25">
      <c r="A7" s="2" t="s">
        <v>7</v>
      </c>
      <c r="B7" s="3">
        <v>1</v>
      </c>
    </row>
    <row r="8" spans="1:11" x14ac:dyDescent="0.25">
      <c r="A8" s="2" t="s">
        <v>8</v>
      </c>
      <c r="B8" s="3">
        <v>672.25</v>
      </c>
    </row>
    <row r="9" spans="1:11" x14ac:dyDescent="0.25">
      <c r="A9" s="2" t="s">
        <v>9</v>
      </c>
      <c r="B9" s="3">
        <v>9159.11</v>
      </c>
    </row>
    <row r="15" spans="1:11" x14ac:dyDescent="0.25">
      <c r="A15" s="1" t="s">
        <v>10</v>
      </c>
      <c r="B15" s="2">
        <f>B26+B34</f>
        <v>199.46</v>
      </c>
      <c r="K15" s="2">
        <f>K17-K18-K20-K21-K22-K23-K19</f>
        <v>419.37000000000057</v>
      </c>
    </row>
    <row r="16" spans="1:11" s="6" customFormat="1" x14ac:dyDescent="0.25">
      <c r="A16" s="4" t="s">
        <v>11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x14ac:dyDescent="0.25">
      <c r="A17" s="2" t="s">
        <v>12</v>
      </c>
      <c r="B17" s="3">
        <v>1708.65</v>
      </c>
      <c r="C17" s="3">
        <v>1935.32</v>
      </c>
      <c r="D17" s="3">
        <v>2615.7399999999998</v>
      </c>
      <c r="E17" s="3">
        <v>3392.9</v>
      </c>
      <c r="F17" s="3">
        <v>3487.78</v>
      </c>
      <c r="G17" s="3">
        <v>4115.29</v>
      </c>
      <c r="H17" s="3">
        <v>4100.5600000000004</v>
      </c>
      <c r="I17" s="3">
        <v>5035.96</v>
      </c>
      <c r="J17" s="3">
        <v>5086.99</v>
      </c>
      <c r="K17" s="3">
        <v>5368.89</v>
      </c>
    </row>
    <row r="18" spans="1:11" ht="14.4" x14ac:dyDescent="0.3">
      <c r="A18" s="2" t="s">
        <v>13</v>
      </c>
      <c r="B18" s="7">
        <v>1383.06</v>
      </c>
      <c r="C18" s="7">
        <v>1542.97</v>
      </c>
      <c r="D18" s="7">
        <v>2100.54</v>
      </c>
      <c r="E18" s="7">
        <v>2485.1799999999998</v>
      </c>
      <c r="F18" s="7">
        <v>2740.18</v>
      </c>
      <c r="G18" s="7">
        <v>3299.37</v>
      </c>
      <c r="H18" s="7">
        <v>3264.02</v>
      </c>
      <c r="I18" s="7">
        <v>4247.83</v>
      </c>
      <c r="J18" s="7">
        <v>4118.01</v>
      </c>
      <c r="K18" s="7">
        <v>4344.7</v>
      </c>
    </row>
    <row r="19" spans="1:11" ht="14.4" x14ac:dyDescent="0.3">
      <c r="A19" s="2" t="s">
        <v>14</v>
      </c>
      <c r="B19" s="7">
        <v>15</v>
      </c>
      <c r="C19" s="7">
        <v>14.06</v>
      </c>
      <c r="D19" s="7">
        <v>29.38</v>
      </c>
      <c r="E19" s="7">
        <v>75.5</v>
      </c>
      <c r="F19" s="7">
        <v>3.25</v>
      </c>
      <c r="G19" s="7">
        <v>35.200000000000003</v>
      </c>
      <c r="H19" s="7">
        <v>59.04</v>
      </c>
      <c r="I19" s="7">
        <v>10</v>
      </c>
      <c r="J19" s="7">
        <v>-0.44</v>
      </c>
      <c r="K19" s="7">
        <v>29.29</v>
      </c>
    </row>
    <row r="20" spans="1:11" x14ac:dyDescent="0.25">
      <c r="A20" s="2" t="s">
        <v>15</v>
      </c>
      <c r="B20" s="3">
        <v>28.83</v>
      </c>
      <c r="C20" s="3">
        <v>25.63</v>
      </c>
      <c r="D20" s="3">
        <v>33.65</v>
      </c>
      <c r="E20" s="3">
        <v>49.35</v>
      </c>
      <c r="F20" s="3">
        <v>53.61</v>
      </c>
      <c r="G20" s="3">
        <v>59.31</v>
      </c>
      <c r="H20" s="3">
        <v>61.58</v>
      </c>
      <c r="I20" s="3">
        <v>72.239999999999995</v>
      </c>
      <c r="J20" s="3">
        <v>90.36</v>
      </c>
      <c r="K20" s="3">
        <v>94.21</v>
      </c>
    </row>
    <row r="21" spans="1:11" x14ac:dyDescent="0.25">
      <c r="A21" s="2" t="s">
        <v>16</v>
      </c>
      <c r="B21" s="3">
        <v>34.56</v>
      </c>
      <c r="C21" s="3">
        <v>34.869999999999997</v>
      </c>
      <c r="D21" s="3">
        <v>46.15</v>
      </c>
      <c r="E21" s="3">
        <v>84.04</v>
      </c>
      <c r="F21" s="3">
        <v>114.03</v>
      </c>
      <c r="G21" s="3">
        <v>131.38</v>
      </c>
      <c r="H21" s="3">
        <v>142.31</v>
      </c>
      <c r="I21" s="3">
        <v>189.77</v>
      </c>
      <c r="J21" s="3">
        <v>215.53</v>
      </c>
      <c r="K21" s="3">
        <v>197.57</v>
      </c>
    </row>
    <row r="22" spans="1:11" x14ac:dyDescent="0.25">
      <c r="A22" s="2" t="s">
        <v>17</v>
      </c>
      <c r="B22" s="3">
        <v>47.68</v>
      </c>
      <c r="C22" s="3">
        <v>58.22</v>
      </c>
      <c r="D22" s="3">
        <v>73.150000000000006</v>
      </c>
      <c r="E22" s="3">
        <v>110.97</v>
      </c>
      <c r="F22" s="3">
        <v>100.57</v>
      </c>
      <c r="G22" s="3">
        <v>113.92</v>
      </c>
      <c r="H22" s="3">
        <v>126.7</v>
      </c>
      <c r="I22" s="3">
        <v>126.84</v>
      </c>
      <c r="J22" s="3">
        <v>167.44</v>
      </c>
      <c r="K22" s="3">
        <v>200.17</v>
      </c>
    </row>
    <row r="23" spans="1:11" x14ac:dyDescent="0.25">
      <c r="A23" s="2" t="s">
        <v>18</v>
      </c>
      <c r="B23" s="3">
        <v>116.63</v>
      </c>
      <c r="C23" s="3">
        <v>133.12</v>
      </c>
      <c r="D23" s="3">
        <v>51.11</v>
      </c>
      <c r="E23" s="3">
        <v>43.68</v>
      </c>
      <c r="F23" s="3">
        <v>54.25</v>
      </c>
      <c r="G23" s="3">
        <v>65.27</v>
      </c>
      <c r="H23" s="3">
        <v>87.19</v>
      </c>
      <c r="I23" s="3">
        <v>70.7</v>
      </c>
      <c r="J23" s="3">
        <v>84.29</v>
      </c>
      <c r="K23" s="3">
        <v>83.58</v>
      </c>
    </row>
    <row r="24" spans="1:11" x14ac:dyDescent="0.25">
      <c r="A24" s="2" t="s">
        <v>19</v>
      </c>
      <c r="B24" s="3">
        <v>-69.44</v>
      </c>
      <c r="C24" s="3">
        <v>-76.760000000000005</v>
      </c>
      <c r="D24" s="3">
        <v>8.3000000000000007</v>
      </c>
      <c r="E24" s="3">
        <v>10.68</v>
      </c>
      <c r="F24" s="3">
        <v>18.600000000000001</v>
      </c>
      <c r="G24" s="3">
        <v>24.87</v>
      </c>
      <c r="H24" s="3">
        <v>16.690000000000001</v>
      </c>
      <c r="I24" s="3">
        <v>24.36</v>
      </c>
      <c r="J24" s="3">
        <v>16.36</v>
      </c>
      <c r="K24" s="3">
        <v>18.34</v>
      </c>
    </row>
    <row r="25" spans="1:11" x14ac:dyDescent="0.25">
      <c r="A25" s="2" t="s">
        <v>20</v>
      </c>
      <c r="B25" s="3">
        <v>8.98</v>
      </c>
      <c r="C25" s="3">
        <v>20.46</v>
      </c>
      <c r="D25" s="3">
        <v>23.35</v>
      </c>
      <c r="E25" s="3">
        <v>48.55</v>
      </c>
      <c r="F25" s="3">
        <v>59.01</v>
      </c>
      <c r="G25" s="3">
        <v>70.58</v>
      </c>
      <c r="H25" s="3">
        <v>92.53</v>
      </c>
      <c r="I25" s="3">
        <v>54.16</v>
      </c>
      <c r="J25" s="3">
        <v>78.709999999999994</v>
      </c>
      <c r="K25" s="3">
        <v>136.44</v>
      </c>
    </row>
    <row r="26" spans="1:11" x14ac:dyDescent="0.25">
      <c r="A26" s="2" t="s">
        <v>21</v>
      </c>
      <c r="B26" s="3">
        <v>8.8000000000000007</v>
      </c>
      <c r="C26" s="3">
        <v>10.23</v>
      </c>
      <c r="D26" s="3">
        <v>13.69</v>
      </c>
      <c r="E26" s="3">
        <v>23.76</v>
      </c>
      <c r="F26" s="3">
        <v>35.840000000000003</v>
      </c>
      <c r="G26" s="3">
        <v>37.71</v>
      </c>
      <c r="H26" s="3">
        <v>40.93</v>
      </c>
      <c r="I26" s="3">
        <v>40.79</v>
      </c>
      <c r="J26" s="3">
        <v>42.59</v>
      </c>
      <c r="K26" s="3">
        <v>56.4</v>
      </c>
    </row>
    <row r="27" spans="1:11" ht="14.4" x14ac:dyDescent="0.3">
      <c r="A27" s="2" t="s">
        <v>22</v>
      </c>
      <c r="B27" s="3">
        <v>2.67</v>
      </c>
      <c r="C27" s="3">
        <v>3.38</v>
      </c>
      <c r="D27" s="3">
        <v>5.14</v>
      </c>
      <c r="E27" s="3">
        <v>4.79</v>
      </c>
      <c r="F27" s="3">
        <v>4.91</v>
      </c>
      <c r="G27" s="3">
        <v>4.38</v>
      </c>
      <c r="H27" s="3">
        <v>3.05</v>
      </c>
      <c r="I27" s="3">
        <v>3.69</v>
      </c>
      <c r="J27" s="7">
        <v>3.89</v>
      </c>
      <c r="K27" s="7">
        <v>2.79</v>
      </c>
    </row>
    <row r="28" spans="1:11" x14ac:dyDescent="0.25">
      <c r="A28" s="2" t="s">
        <v>23</v>
      </c>
      <c r="B28" s="3">
        <v>179.84</v>
      </c>
      <c r="C28" s="3">
        <v>238.18</v>
      </c>
      <c r="D28" s="3">
        <v>336.74</v>
      </c>
      <c r="E28" s="3">
        <v>704.5</v>
      </c>
      <c r="F28" s="3">
        <v>428.05</v>
      </c>
      <c r="G28" s="3">
        <v>484.86</v>
      </c>
      <c r="H28" s="3">
        <v>509.66</v>
      </c>
      <c r="I28" s="3">
        <v>323.89999999999998</v>
      </c>
      <c r="J28" s="3">
        <v>426.79</v>
      </c>
      <c r="K28" s="3">
        <v>536.86</v>
      </c>
    </row>
    <row r="29" spans="1:11" x14ac:dyDescent="0.25">
      <c r="A29" s="2" t="s">
        <v>24</v>
      </c>
      <c r="B29" s="3">
        <v>63.27</v>
      </c>
      <c r="C29" s="3">
        <v>79.2</v>
      </c>
      <c r="D29" s="3">
        <v>110.43</v>
      </c>
      <c r="E29" s="3">
        <v>238.02</v>
      </c>
      <c r="F29" s="3">
        <v>121.44</v>
      </c>
      <c r="G29" s="3">
        <v>98.57</v>
      </c>
      <c r="H29" s="3">
        <v>112.29</v>
      </c>
      <c r="I29" s="3">
        <v>78.66</v>
      </c>
      <c r="J29" s="3">
        <v>114.53</v>
      </c>
      <c r="K29" s="3">
        <v>143.05000000000001</v>
      </c>
    </row>
    <row r="30" spans="1:11" x14ac:dyDescent="0.25">
      <c r="A30" s="2" t="s">
        <v>25</v>
      </c>
      <c r="B30" s="3">
        <v>115.92</v>
      </c>
      <c r="C30" s="3">
        <v>157.5</v>
      </c>
      <c r="D30" s="3">
        <v>215.66</v>
      </c>
      <c r="E30" s="3">
        <v>446.47</v>
      </c>
      <c r="F30" s="3">
        <v>273.63</v>
      </c>
      <c r="G30" s="3">
        <v>346.49</v>
      </c>
      <c r="H30" s="3">
        <v>360.07</v>
      </c>
      <c r="I30" s="3">
        <v>221.57</v>
      </c>
      <c r="J30" s="3">
        <v>278.67</v>
      </c>
      <c r="K30" s="3">
        <v>357.14</v>
      </c>
    </row>
    <row r="31" spans="1:11" x14ac:dyDescent="0.25">
      <c r="A31" s="2" t="s">
        <v>26</v>
      </c>
      <c r="B31" s="3">
        <v>24.97</v>
      </c>
      <c r="C31" s="3">
        <v>31.78</v>
      </c>
      <c r="D31" s="3">
        <v>40.86</v>
      </c>
      <c r="E31" s="3">
        <v>54.48</v>
      </c>
      <c r="F31" s="3">
        <v>54.48</v>
      </c>
      <c r="G31" s="3">
        <v>69.459999999999994</v>
      </c>
      <c r="H31" s="3">
        <v>85.12</v>
      </c>
      <c r="I31" s="3">
        <v>85.12</v>
      </c>
      <c r="J31" s="3">
        <v>85.12</v>
      </c>
      <c r="K31" s="3">
        <v>85.12</v>
      </c>
    </row>
    <row r="32" spans="1:11" x14ac:dyDescent="0.25">
      <c r="A32" s="2" t="s">
        <v>27</v>
      </c>
      <c r="B32" s="8">
        <f>B29/B28</f>
        <v>0.35181272241992884</v>
      </c>
      <c r="C32" s="8">
        <f t="shared" ref="C32:K32" si="0">C29/C28</f>
        <v>0.33252162230246035</v>
      </c>
      <c r="D32" s="8">
        <f t="shared" si="0"/>
        <v>0.32793846884836969</v>
      </c>
      <c r="E32" s="8">
        <f t="shared" si="0"/>
        <v>0.33785663591199433</v>
      </c>
      <c r="F32" s="8">
        <f t="shared" si="0"/>
        <v>0.28370517462913208</v>
      </c>
      <c r="G32" s="8">
        <f t="shared" si="0"/>
        <v>0.20329579672482775</v>
      </c>
      <c r="H32" s="8">
        <f t="shared" si="0"/>
        <v>0.22032335282345092</v>
      </c>
      <c r="I32" s="8">
        <f t="shared" si="0"/>
        <v>0.2428527323247916</v>
      </c>
      <c r="J32" s="8">
        <f t="shared" si="0"/>
        <v>0.26835211696618944</v>
      </c>
      <c r="K32" s="8">
        <f t="shared" si="0"/>
        <v>0.26645680438103048</v>
      </c>
    </row>
    <row r="34" spans="1:11" x14ac:dyDescent="0.25">
      <c r="A34" s="2" t="s">
        <v>28</v>
      </c>
      <c r="B34" s="2">
        <f>+B30+B29+B27+B26</f>
        <v>190.66</v>
      </c>
      <c r="C34" s="2">
        <f t="shared" ref="C34:K34" si="1">+C30+C29+C27+C26</f>
        <v>250.30999999999997</v>
      </c>
      <c r="D34" s="2">
        <f t="shared" si="1"/>
        <v>344.92</v>
      </c>
      <c r="E34" s="2">
        <f t="shared" si="1"/>
        <v>713.04</v>
      </c>
      <c r="F34" s="2">
        <f t="shared" si="1"/>
        <v>435.82000000000005</v>
      </c>
      <c r="G34" s="2">
        <f t="shared" si="1"/>
        <v>487.15</v>
      </c>
      <c r="H34" s="2">
        <f t="shared" si="1"/>
        <v>516.34</v>
      </c>
      <c r="I34" s="2">
        <f t="shared" si="1"/>
        <v>344.71000000000004</v>
      </c>
      <c r="J34" s="2">
        <f t="shared" si="1"/>
        <v>439.68000000000006</v>
      </c>
      <c r="K34" s="2">
        <f t="shared" si="1"/>
        <v>559.38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44651</v>
      </c>
      <c r="C41" s="5">
        <v>44742</v>
      </c>
      <c r="D41" s="5">
        <v>44834</v>
      </c>
      <c r="E41" s="5">
        <v>44926</v>
      </c>
      <c r="F41" s="5">
        <v>45016</v>
      </c>
      <c r="G41" s="5">
        <v>45107</v>
      </c>
      <c r="H41" s="5">
        <v>45199</v>
      </c>
      <c r="I41" s="5">
        <v>45291</v>
      </c>
      <c r="J41" s="5">
        <v>45382</v>
      </c>
      <c r="K41" s="5">
        <v>45473</v>
      </c>
    </row>
    <row r="42" spans="1:11" x14ac:dyDescent="0.25">
      <c r="A42" s="2" t="s">
        <v>12</v>
      </c>
      <c r="B42" s="3">
        <v>1332.24</v>
      </c>
      <c r="C42" s="3">
        <v>1569.3</v>
      </c>
      <c r="D42" s="3">
        <v>1322.1</v>
      </c>
      <c r="E42" s="3">
        <v>1102.58</v>
      </c>
      <c r="F42" s="3">
        <v>1093</v>
      </c>
      <c r="G42" s="3">
        <v>1553.66</v>
      </c>
      <c r="H42" s="3">
        <v>1278.49</v>
      </c>
      <c r="I42" s="3">
        <v>1253.23</v>
      </c>
      <c r="J42" s="3">
        <v>1283.51</v>
      </c>
      <c r="K42" s="3">
        <v>1506.27</v>
      </c>
    </row>
    <row r="43" spans="1:11" x14ac:dyDescent="0.25">
      <c r="A43" s="2" t="s">
        <v>30</v>
      </c>
      <c r="B43" s="3">
        <v>1217.45</v>
      </c>
      <c r="C43" s="3">
        <v>1466.35</v>
      </c>
      <c r="D43" s="3">
        <v>1247.1600000000001</v>
      </c>
      <c r="E43" s="3">
        <v>1022.88</v>
      </c>
      <c r="F43" s="3">
        <v>959.5</v>
      </c>
      <c r="G43" s="3">
        <v>1416.11</v>
      </c>
      <c r="H43" s="3">
        <v>1184.51</v>
      </c>
      <c r="I43" s="3">
        <v>1156.69</v>
      </c>
      <c r="J43" s="3">
        <v>1153.99</v>
      </c>
      <c r="K43" s="3">
        <v>1346.28</v>
      </c>
    </row>
    <row r="44" spans="1:11" x14ac:dyDescent="0.25">
      <c r="A44" s="2" t="s">
        <v>20</v>
      </c>
      <c r="B44" s="3">
        <v>16.23</v>
      </c>
      <c r="C44" s="3">
        <v>7.02</v>
      </c>
      <c r="D44" s="3">
        <v>25.76</v>
      </c>
      <c r="E44" s="3">
        <v>27.65</v>
      </c>
      <c r="F44" s="3">
        <v>19.88</v>
      </c>
      <c r="G44" s="3">
        <v>33.03</v>
      </c>
      <c r="H44" s="3">
        <v>33.76</v>
      </c>
      <c r="I44" s="3">
        <v>33.72</v>
      </c>
      <c r="J44" s="3">
        <v>36.450000000000003</v>
      </c>
      <c r="K44" s="3">
        <v>34.69</v>
      </c>
    </row>
    <row r="45" spans="1:11" x14ac:dyDescent="0.25">
      <c r="A45" s="2" t="s">
        <v>21</v>
      </c>
      <c r="B45" s="3">
        <v>9.77</v>
      </c>
      <c r="C45" s="3">
        <v>9.82</v>
      </c>
      <c r="D45" s="3">
        <v>9.93</v>
      </c>
      <c r="E45" s="3">
        <v>10.65</v>
      </c>
      <c r="F45" s="3">
        <v>12.2</v>
      </c>
      <c r="G45" s="3">
        <v>13.2</v>
      </c>
      <c r="H45" s="3">
        <v>14.3</v>
      </c>
      <c r="I45" s="3">
        <v>14.4</v>
      </c>
      <c r="J45" s="3">
        <v>14.49</v>
      </c>
      <c r="K45" s="3">
        <v>14.49</v>
      </c>
    </row>
    <row r="46" spans="1:11" ht="14.4" x14ac:dyDescent="0.3">
      <c r="A46" s="2" t="s">
        <v>22</v>
      </c>
      <c r="B46" s="7">
        <v>0.44</v>
      </c>
      <c r="C46" s="7">
        <v>0.32</v>
      </c>
      <c r="D46" s="7">
        <v>0.45</v>
      </c>
      <c r="E46" s="7">
        <v>0.22</v>
      </c>
      <c r="F46" s="7">
        <v>1.03</v>
      </c>
      <c r="G46" s="7">
        <v>0.27</v>
      </c>
      <c r="H46" s="7">
        <v>0.16</v>
      </c>
      <c r="I46" s="7">
        <v>0.15</v>
      </c>
      <c r="J46" s="7">
        <v>0.72</v>
      </c>
      <c r="K46" s="7">
        <v>0.55000000000000004</v>
      </c>
    </row>
    <row r="47" spans="1:11" x14ac:dyDescent="0.25">
      <c r="A47" s="2" t="s">
        <v>23</v>
      </c>
      <c r="B47" s="3">
        <v>120.81</v>
      </c>
      <c r="C47" s="3">
        <v>99.83</v>
      </c>
      <c r="D47" s="3">
        <v>90.32</v>
      </c>
      <c r="E47" s="3">
        <v>96.48</v>
      </c>
      <c r="F47" s="3">
        <v>140.15</v>
      </c>
      <c r="G47" s="3">
        <v>157.11000000000001</v>
      </c>
      <c r="H47" s="3">
        <v>113.28</v>
      </c>
      <c r="I47" s="3">
        <v>115.71</v>
      </c>
      <c r="J47" s="3">
        <v>150.76</v>
      </c>
      <c r="K47" s="3">
        <v>179.64</v>
      </c>
    </row>
    <row r="48" spans="1:11" x14ac:dyDescent="0.25">
      <c r="A48" s="2" t="s">
        <v>24</v>
      </c>
      <c r="B48" s="3">
        <v>29.06</v>
      </c>
      <c r="C48" s="3">
        <v>26.72</v>
      </c>
      <c r="D48" s="3">
        <v>23.23</v>
      </c>
      <c r="E48" s="3">
        <v>25.88</v>
      </c>
      <c r="F48" s="3">
        <v>38.69</v>
      </c>
      <c r="G48" s="3">
        <v>41.95</v>
      </c>
      <c r="H48" s="3">
        <v>30.54</v>
      </c>
      <c r="I48" s="3">
        <v>32.39</v>
      </c>
      <c r="J48" s="3">
        <v>38.159999999999997</v>
      </c>
      <c r="K48" s="3">
        <v>42.07</v>
      </c>
    </row>
    <row r="49" spans="1:11" x14ac:dyDescent="0.25">
      <c r="A49" s="2" t="s">
        <v>25</v>
      </c>
      <c r="B49" s="3">
        <v>84.35</v>
      </c>
      <c r="C49" s="3">
        <v>66.260000000000005</v>
      </c>
      <c r="D49" s="3">
        <v>56.62</v>
      </c>
      <c r="E49" s="3">
        <v>62.45</v>
      </c>
      <c r="F49" s="3">
        <v>93.34</v>
      </c>
      <c r="G49" s="3">
        <v>106.38</v>
      </c>
      <c r="H49" s="3">
        <v>74.23</v>
      </c>
      <c r="I49" s="3">
        <v>72.47</v>
      </c>
      <c r="J49" s="3">
        <v>104.07</v>
      </c>
      <c r="K49" s="3">
        <v>128.19</v>
      </c>
    </row>
    <row r="50" spans="1:11" x14ac:dyDescent="0.25">
      <c r="A50" s="2" t="s">
        <v>31</v>
      </c>
      <c r="B50" s="3">
        <v>114.79</v>
      </c>
      <c r="C50" s="3">
        <v>102.95</v>
      </c>
      <c r="D50" s="3">
        <v>74.94</v>
      </c>
      <c r="E50" s="3">
        <v>79.7</v>
      </c>
      <c r="F50" s="3">
        <v>133.5</v>
      </c>
      <c r="G50" s="3">
        <v>137.55000000000001</v>
      </c>
      <c r="H50" s="3">
        <v>93.98</v>
      </c>
      <c r="I50" s="3">
        <v>96.54</v>
      </c>
      <c r="J50" s="3">
        <v>129.52000000000001</v>
      </c>
      <c r="K50" s="3">
        <v>159.99</v>
      </c>
    </row>
    <row r="51" spans="1:11" x14ac:dyDescent="0.25">
      <c r="A51" s="2" t="s">
        <v>28</v>
      </c>
      <c r="B51" s="2">
        <f>B49+B48+B46+B45</f>
        <v>123.61999999999999</v>
      </c>
      <c r="C51" s="2">
        <f t="shared" ref="C51:K51" si="2">C49+C48+C46+C45</f>
        <v>103.12</v>
      </c>
      <c r="D51" s="2">
        <f t="shared" si="2"/>
        <v>90.22999999999999</v>
      </c>
      <c r="E51" s="2">
        <f t="shared" si="2"/>
        <v>99.2</v>
      </c>
      <c r="F51" s="2">
        <f t="shared" si="2"/>
        <v>145.26</v>
      </c>
      <c r="G51" s="2">
        <f t="shared" si="2"/>
        <v>161.79999999999998</v>
      </c>
      <c r="H51" s="2">
        <f t="shared" si="2"/>
        <v>119.23</v>
      </c>
      <c r="I51" s="2">
        <f t="shared" si="2"/>
        <v>119.41000000000001</v>
      </c>
      <c r="J51" s="2">
        <f t="shared" si="2"/>
        <v>157.44</v>
      </c>
      <c r="K51" s="2">
        <f t="shared" si="2"/>
        <v>185.3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25">
      <c r="A57" s="2" t="s">
        <v>33</v>
      </c>
      <c r="B57" s="3">
        <v>9.08</v>
      </c>
      <c r="C57" s="3">
        <v>9.08</v>
      </c>
      <c r="D57" s="3">
        <v>9.08</v>
      </c>
      <c r="E57" s="3">
        <v>9.08</v>
      </c>
      <c r="F57" s="3">
        <v>13.62</v>
      </c>
      <c r="G57" s="3">
        <v>13.62</v>
      </c>
      <c r="H57" s="3">
        <v>13.62</v>
      </c>
      <c r="I57" s="3">
        <v>13.62</v>
      </c>
      <c r="J57" s="3">
        <v>13.62</v>
      </c>
      <c r="K57" s="3">
        <v>13.62</v>
      </c>
    </row>
    <row r="58" spans="1:11" x14ac:dyDescent="0.25">
      <c r="A58" s="2" t="s">
        <v>34</v>
      </c>
      <c r="B58" s="3">
        <v>256.20999999999998</v>
      </c>
      <c r="C58" s="3">
        <v>413.71</v>
      </c>
      <c r="D58" s="3">
        <v>626.34</v>
      </c>
      <c r="E58" s="3">
        <v>1022.4</v>
      </c>
      <c r="F58" s="3">
        <v>1192.3399999999999</v>
      </c>
      <c r="G58" s="3">
        <v>1390.06</v>
      </c>
      <c r="H58" s="3">
        <v>1747.59</v>
      </c>
      <c r="I58" s="3">
        <v>1881.78</v>
      </c>
      <c r="J58" s="3">
        <v>2081.86</v>
      </c>
      <c r="K58" s="3">
        <v>2351.86</v>
      </c>
    </row>
    <row r="59" spans="1:11" ht="14.4" x14ac:dyDescent="0.3">
      <c r="A59" s="2" t="s">
        <v>35</v>
      </c>
      <c r="B59" s="7">
        <v>58.4</v>
      </c>
      <c r="C59" s="7">
        <v>10.71</v>
      </c>
      <c r="D59" s="7">
        <v>19.260000000000002</v>
      </c>
      <c r="E59" s="7">
        <v>6.87</v>
      </c>
      <c r="F59" s="7">
        <v>9.34</v>
      </c>
      <c r="G59" s="7">
        <v>1.57</v>
      </c>
      <c r="H59" s="7">
        <v>3.91</v>
      </c>
      <c r="I59" s="7">
        <v>4.08</v>
      </c>
      <c r="J59" s="7">
        <v>3.05</v>
      </c>
      <c r="K59" s="7">
        <v>16.53</v>
      </c>
    </row>
    <row r="60" spans="1:11" x14ac:dyDescent="0.25">
      <c r="A60" s="2" t="s">
        <v>36</v>
      </c>
      <c r="B60" s="3">
        <v>153.88999999999999</v>
      </c>
      <c r="C60" s="3">
        <v>189.1</v>
      </c>
      <c r="D60" s="3">
        <v>413.96</v>
      </c>
      <c r="E60" s="3">
        <v>487.91</v>
      </c>
      <c r="F60" s="3">
        <v>399.52</v>
      </c>
      <c r="G60" s="3">
        <v>474.7</v>
      </c>
      <c r="H60" s="3">
        <v>517.11</v>
      </c>
      <c r="I60" s="3">
        <v>616.73</v>
      </c>
      <c r="J60" s="3">
        <v>636.12</v>
      </c>
      <c r="K60" s="3">
        <v>716.17</v>
      </c>
    </row>
    <row r="61" spans="1:11" s="1" customFormat="1" x14ac:dyDescent="0.25">
      <c r="A61" s="1" t="s">
        <v>37</v>
      </c>
      <c r="B61" s="3">
        <v>477.58</v>
      </c>
      <c r="C61" s="3">
        <v>622.6</v>
      </c>
      <c r="D61" s="3">
        <v>1068.6400000000001</v>
      </c>
      <c r="E61" s="3">
        <v>1526.26</v>
      </c>
      <c r="F61" s="3">
        <v>1614.82</v>
      </c>
      <c r="G61" s="3">
        <v>1879.95</v>
      </c>
      <c r="H61" s="3">
        <v>2282.23</v>
      </c>
      <c r="I61" s="3">
        <v>2516.21</v>
      </c>
      <c r="J61" s="3">
        <v>2734.65</v>
      </c>
      <c r="K61" s="3">
        <v>3098.18</v>
      </c>
    </row>
    <row r="62" spans="1:11" x14ac:dyDescent="0.25">
      <c r="A62" s="2" t="s">
        <v>38</v>
      </c>
      <c r="B62" s="3">
        <v>89.57</v>
      </c>
      <c r="C62" s="3">
        <v>103.99</v>
      </c>
      <c r="D62" s="3">
        <v>160.47</v>
      </c>
      <c r="E62" s="3">
        <v>312.14</v>
      </c>
      <c r="F62" s="3">
        <v>292.52999999999997</v>
      </c>
      <c r="G62" s="3">
        <v>270.87</v>
      </c>
      <c r="H62" s="3">
        <v>292.43</v>
      </c>
      <c r="I62" s="3">
        <v>272.56</v>
      </c>
      <c r="J62" s="3">
        <v>397.57</v>
      </c>
      <c r="K62" s="3">
        <v>496.99</v>
      </c>
    </row>
    <row r="63" spans="1:11" x14ac:dyDescent="0.25">
      <c r="A63" s="2" t="s">
        <v>39</v>
      </c>
      <c r="B63" s="3"/>
      <c r="C63" s="3">
        <v>41.62</v>
      </c>
      <c r="D63" s="3">
        <v>94.07</v>
      </c>
      <c r="E63" s="3">
        <v>1.97</v>
      </c>
      <c r="F63" s="3">
        <v>9.01</v>
      </c>
      <c r="G63" s="3">
        <v>25.89</v>
      </c>
      <c r="H63" s="3">
        <v>6.04</v>
      </c>
      <c r="I63" s="3">
        <v>39.97</v>
      </c>
      <c r="J63" s="3">
        <v>33.79</v>
      </c>
      <c r="K63" s="3">
        <v>8.81</v>
      </c>
    </row>
    <row r="64" spans="1:11" ht="14.4" x14ac:dyDescent="0.3">
      <c r="A64" s="2" t="s">
        <v>40</v>
      </c>
      <c r="B64" s="3">
        <v>111.09</v>
      </c>
      <c r="C64" s="7">
        <v>33.15</v>
      </c>
      <c r="D64" s="3">
        <v>359.61</v>
      </c>
      <c r="E64" s="3">
        <v>584.45000000000005</v>
      </c>
      <c r="F64" s="3">
        <v>630.16999999999996</v>
      </c>
      <c r="G64" s="3">
        <v>680.48</v>
      </c>
      <c r="H64" s="3">
        <v>1234.8800000000001</v>
      </c>
      <c r="I64" s="3">
        <v>931.19</v>
      </c>
      <c r="J64" s="3">
        <v>1005.42</v>
      </c>
      <c r="K64" s="3">
        <v>745.54</v>
      </c>
    </row>
    <row r="65" spans="1:11" x14ac:dyDescent="0.25">
      <c r="A65" s="2" t="s">
        <v>41</v>
      </c>
      <c r="B65" s="3">
        <v>276.92</v>
      </c>
      <c r="C65" s="3">
        <v>443.84</v>
      </c>
      <c r="D65" s="3">
        <v>454.49</v>
      </c>
      <c r="E65" s="3">
        <v>627.70000000000005</v>
      </c>
      <c r="F65" s="3">
        <v>683.11</v>
      </c>
      <c r="G65" s="3">
        <v>902.71</v>
      </c>
      <c r="H65" s="3">
        <v>748.88</v>
      </c>
      <c r="I65" s="3">
        <v>1272.49</v>
      </c>
      <c r="J65" s="3">
        <v>1297.8699999999999</v>
      </c>
      <c r="K65" s="3">
        <v>1846.84</v>
      </c>
    </row>
    <row r="66" spans="1:11" s="1" customFormat="1" x14ac:dyDescent="0.25">
      <c r="A66" s="1" t="s">
        <v>37</v>
      </c>
      <c r="B66" s="3">
        <v>477.58</v>
      </c>
      <c r="C66" s="3">
        <v>622.6</v>
      </c>
      <c r="D66" s="3">
        <v>1068.6400000000001</v>
      </c>
      <c r="E66" s="3">
        <v>1526.26</v>
      </c>
      <c r="F66" s="3">
        <v>1614.82</v>
      </c>
      <c r="G66" s="3">
        <v>1879.95</v>
      </c>
      <c r="H66" s="3">
        <v>2282.23</v>
      </c>
      <c r="I66" s="3">
        <v>2516.21</v>
      </c>
      <c r="J66" s="3">
        <v>2734.65</v>
      </c>
      <c r="K66" s="3">
        <v>3098.18</v>
      </c>
    </row>
    <row r="67" spans="1:11" x14ac:dyDescent="0.25">
      <c r="A67" s="2" t="s">
        <v>42</v>
      </c>
      <c r="B67" s="3">
        <v>33.56</v>
      </c>
      <c r="C67" s="3">
        <v>34.97</v>
      </c>
      <c r="D67" s="3">
        <v>23.41</v>
      </c>
      <c r="E67" s="3">
        <v>50.03</v>
      </c>
      <c r="F67" s="3">
        <v>48.64</v>
      </c>
      <c r="G67" s="3">
        <v>88.77</v>
      </c>
      <c r="H67" s="3">
        <v>66.61</v>
      </c>
      <c r="I67" s="3">
        <v>113.69</v>
      </c>
      <c r="J67" s="3">
        <v>121.55</v>
      </c>
      <c r="K67" s="3">
        <v>143.47</v>
      </c>
    </row>
    <row r="68" spans="1:11" ht="14.4" x14ac:dyDescent="0.3">
      <c r="A68" s="2" t="s">
        <v>43</v>
      </c>
      <c r="B68" s="7">
        <v>222.02</v>
      </c>
      <c r="C68" s="7">
        <v>285.55</v>
      </c>
      <c r="D68" s="7">
        <v>355.7</v>
      </c>
      <c r="E68" s="7">
        <v>524.80999999999995</v>
      </c>
      <c r="F68" s="7">
        <v>379.06</v>
      </c>
      <c r="G68" s="7">
        <v>543.51</v>
      </c>
      <c r="H68" s="7">
        <v>553.23</v>
      </c>
      <c r="I68" s="7">
        <v>987.64</v>
      </c>
      <c r="J68" s="7">
        <v>802.99</v>
      </c>
      <c r="K68" s="7">
        <v>885.18</v>
      </c>
    </row>
    <row r="69" spans="1:11" x14ac:dyDescent="0.25">
      <c r="A69" s="2" t="s">
        <v>44</v>
      </c>
      <c r="B69" s="3">
        <v>6.16</v>
      </c>
      <c r="C69" s="3">
        <v>72.569999999999993</v>
      </c>
      <c r="D69" s="3">
        <v>45.12</v>
      </c>
      <c r="E69" s="3">
        <v>14.36</v>
      </c>
      <c r="F69" s="3">
        <v>186.91</v>
      </c>
      <c r="G69" s="3">
        <v>198.57</v>
      </c>
      <c r="H69" s="3">
        <v>60.82</v>
      </c>
      <c r="I69" s="3">
        <v>74.739999999999995</v>
      </c>
      <c r="J69" s="3">
        <v>286.37</v>
      </c>
      <c r="K69" s="3">
        <v>737.09</v>
      </c>
    </row>
    <row r="70" spans="1:11" x14ac:dyDescent="0.25">
      <c r="A70" s="2" t="s">
        <v>45</v>
      </c>
      <c r="B70" s="3">
        <v>9083042</v>
      </c>
      <c r="C70" s="3">
        <v>45415210</v>
      </c>
      <c r="D70" s="3">
        <v>45415210</v>
      </c>
      <c r="E70" s="3">
        <v>45415210</v>
      </c>
      <c r="F70" s="3">
        <v>136245630</v>
      </c>
      <c r="G70" s="3">
        <v>136245630</v>
      </c>
      <c r="H70" s="3">
        <v>136245630</v>
      </c>
      <c r="I70" s="3">
        <v>136245630</v>
      </c>
      <c r="J70" s="3">
        <v>136245630</v>
      </c>
      <c r="K70" s="3">
        <v>136245630</v>
      </c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10</v>
      </c>
      <c r="C72" s="3">
        <v>2</v>
      </c>
      <c r="D72" s="3">
        <v>2</v>
      </c>
      <c r="E72" s="3">
        <v>2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</row>
    <row r="73" spans="1:11" x14ac:dyDescent="0.25">
      <c r="H73" s="2">
        <f>H62-G62+H45</f>
        <v>35.86</v>
      </c>
      <c r="I73" s="2">
        <f t="shared" ref="I73:K73" si="3">I62-H62+I45</f>
        <v>-5.4700000000000042</v>
      </c>
      <c r="J73" s="2">
        <f t="shared" si="3"/>
        <v>139.5</v>
      </c>
      <c r="K73" s="2">
        <f t="shared" si="3"/>
        <v>113.91000000000001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  <c r="L81" s="5"/>
    </row>
    <row r="82" spans="1:12" s="1" customFormat="1" x14ac:dyDescent="0.25">
      <c r="A82" s="2" t="s">
        <v>49</v>
      </c>
      <c r="B82" s="3">
        <v>89.34</v>
      </c>
      <c r="C82" s="3">
        <v>122</v>
      </c>
      <c r="D82" s="3">
        <v>277.75</v>
      </c>
      <c r="E82" s="3">
        <v>280.93</v>
      </c>
      <c r="F82" s="3">
        <v>183.76</v>
      </c>
      <c r="G82" s="3">
        <v>178.22</v>
      </c>
      <c r="H82" s="3">
        <v>382.62</v>
      </c>
      <c r="I82" s="3">
        <v>-212.35</v>
      </c>
      <c r="J82" s="3">
        <v>451.18</v>
      </c>
      <c r="K82" s="3">
        <v>262.95</v>
      </c>
    </row>
    <row r="83" spans="1:12" x14ac:dyDescent="0.25">
      <c r="A83" s="2" t="s">
        <v>50</v>
      </c>
      <c r="B83" s="3">
        <v>-83.52</v>
      </c>
      <c r="C83" s="3">
        <v>18.13</v>
      </c>
      <c r="D83" s="3">
        <v>-407.76</v>
      </c>
      <c r="E83" s="3">
        <v>-269.27</v>
      </c>
      <c r="F83" s="3">
        <v>-26.78</v>
      </c>
      <c r="G83" s="3">
        <v>-79.06</v>
      </c>
      <c r="H83" s="3">
        <v>-366.1</v>
      </c>
      <c r="I83" s="3">
        <v>298.99</v>
      </c>
      <c r="J83" s="3">
        <v>-417.5</v>
      </c>
      <c r="K83" s="3">
        <v>-223.68</v>
      </c>
    </row>
    <row r="84" spans="1:12" x14ac:dyDescent="0.25">
      <c r="A84" s="2" t="s">
        <v>51</v>
      </c>
      <c r="B84" s="3">
        <v>-11.97</v>
      </c>
      <c r="C84" s="3">
        <v>-74.260000000000005</v>
      </c>
      <c r="D84" s="3">
        <v>100.51</v>
      </c>
      <c r="E84" s="3">
        <v>-45.45</v>
      </c>
      <c r="F84" s="3">
        <v>-105.77</v>
      </c>
      <c r="G84" s="3">
        <v>-141.31</v>
      </c>
      <c r="H84" s="3">
        <v>14.63</v>
      </c>
      <c r="I84" s="3">
        <v>-68.28</v>
      </c>
      <c r="J84" s="3">
        <v>-65.45</v>
      </c>
      <c r="K84" s="3">
        <v>-60.39</v>
      </c>
    </row>
    <row r="85" spans="1:12" s="1" customFormat="1" x14ac:dyDescent="0.25">
      <c r="A85" s="2" t="s">
        <v>52</v>
      </c>
      <c r="B85" s="3">
        <v>-6.15</v>
      </c>
      <c r="C85" s="3">
        <v>65.86</v>
      </c>
      <c r="D85" s="3">
        <v>-29.5</v>
      </c>
      <c r="E85" s="3">
        <v>-33.79</v>
      </c>
      <c r="F85" s="3">
        <v>51.21</v>
      </c>
      <c r="G85" s="3">
        <v>-42.16</v>
      </c>
      <c r="H85" s="3">
        <v>31.15</v>
      </c>
      <c r="I85" s="3">
        <v>18.350000000000001</v>
      </c>
      <c r="J85" s="3">
        <v>-31.77</v>
      </c>
      <c r="K85" s="3">
        <v>-21.12</v>
      </c>
    </row>
    <row r="90" spans="1:12" s="1" customFormat="1" x14ac:dyDescent="0.25">
      <c r="A90" s="1" t="s">
        <v>53</v>
      </c>
      <c r="B90" s="3">
        <v>102.47</v>
      </c>
      <c r="C90" s="3">
        <v>132.6</v>
      </c>
      <c r="D90" s="3">
        <v>245.84</v>
      </c>
      <c r="E90" s="3">
        <v>744.89</v>
      </c>
      <c r="F90" s="3">
        <v>408.8</v>
      </c>
      <c r="G90" s="3">
        <v>294.25</v>
      </c>
      <c r="H90" s="3">
        <v>414.45</v>
      </c>
      <c r="I90" s="3">
        <v>412.35</v>
      </c>
      <c r="J90" s="3">
        <v>339.45</v>
      </c>
      <c r="K90" s="3">
        <v>484.25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13.6</v>
      </c>
      <c r="C93" s="10">
        <v>13.62</v>
      </c>
      <c r="D93" s="10">
        <v>13.62</v>
      </c>
      <c r="E93" s="10">
        <v>13.62</v>
      </c>
      <c r="F93" s="10">
        <v>13.62</v>
      </c>
      <c r="G93" s="10">
        <v>13.62</v>
      </c>
      <c r="H93" s="10">
        <v>13.62</v>
      </c>
      <c r="I93" s="10">
        <v>13.62</v>
      </c>
      <c r="J93" s="10">
        <v>13.62</v>
      </c>
      <c r="K93" s="10">
        <v>13.62</v>
      </c>
    </row>
    <row r="96" spans="1:12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1:1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99"/>
    </row>
    <row r="98" spans="1:12" x14ac:dyDescent="0.25">
      <c r="A98" s="2" t="s">
        <v>97</v>
      </c>
      <c r="B98" s="3">
        <v>-16</v>
      </c>
      <c r="C98" s="3">
        <v>-67</v>
      </c>
      <c r="D98" s="3">
        <v>-92</v>
      </c>
      <c r="E98" s="3">
        <v>-80</v>
      </c>
      <c r="F98" s="3">
        <v>-25</v>
      </c>
      <c r="G98" s="3">
        <v>-35</v>
      </c>
      <c r="H98" s="3">
        <v>-76</v>
      </c>
      <c r="I98" s="3">
        <v>-55</v>
      </c>
      <c r="J98" s="3">
        <v>-160</v>
      </c>
      <c r="K98" s="3">
        <v>-131</v>
      </c>
      <c r="L98" s="99"/>
    </row>
    <row r="99" spans="1:12" x14ac:dyDescent="0.25">
      <c r="A99" s="2" t="s">
        <v>98</v>
      </c>
      <c r="B99" s="3">
        <v>0</v>
      </c>
      <c r="C99" s="3">
        <v>0</v>
      </c>
      <c r="D99" s="3">
        <v>1</v>
      </c>
      <c r="E99" s="3">
        <v>0</v>
      </c>
      <c r="F99" s="3">
        <v>1</v>
      </c>
      <c r="G99" s="3">
        <v>1</v>
      </c>
      <c r="H99" s="3">
        <v>33</v>
      </c>
      <c r="I99" s="3">
        <v>0</v>
      </c>
      <c r="J99" s="3">
        <v>0</v>
      </c>
      <c r="K99" s="3">
        <v>0</v>
      </c>
      <c r="L99" s="99"/>
    </row>
    <row r="100" spans="1:12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1:12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C42DA42-9D1D-4497-8267-B6DE324A7EA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0DF4-4BDC-452F-AB42-E4C2F63C986E}">
  <dimension ref="A2:M82"/>
  <sheetViews>
    <sheetView showGridLines="0" zoomScale="86" zoomScaleNormal="90" workbookViewId="0">
      <pane ySplit="3" topLeftCell="A12" activePane="bottomLeft" state="frozen"/>
      <selection activeCell="C4" sqref="C4"/>
      <selection pane="bottomLeft" activeCell="H27" sqref="H27"/>
    </sheetView>
  </sheetViews>
  <sheetFormatPr defaultRowHeight="14.4" x14ac:dyDescent="0.3"/>
  <cols>
    <col min="1" max="1" width="1.88671875" customWidth="1"/>
    <col min="2" max="2" width="28.44140625" bestFit="1" customWidth="1"/>
    <col min="3" max="3" width="14" customWidth="1"/>
    <col min="4" max="12" width="13" customWidth="1"/>
  </cols>
  <sheetData>
    <row r="2" spans="1:12" x14ac:dyDescent="0.3">
      <c r="B2" s="97" t="s">
        <v>171</v>
      </c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2" x14ac:dyDescent="0.3">
      <c r="B3" s="12" t="s">
        <v>56</v>
      </c>
      <c r="C3" s="13">
        <f>'[1]Data Sheet'!B16</f>
        <v>42094</v>
      </c>
      <c r="D3" s="13">
        <f>'[1]Data Sheet'!C16</f>
        <v>42460</v>
      </c>
      <c r="E3" s="13">
        <f>'[1]Data Sheet'!D16</f>
        <v>42825</v>
      </c>
      <c r="F3" s="13">
        <f>'[1]Data Sheet'!E16</f>
        <v>43190</v>
      </c>
      <c r="G3" s="13">
        <f>'[1]Data Sheet'!F16</f>
        <v>43555</v>
      </c>
      <c r="H3" s="13">
        <f>'[1]Data Sheet'!G16</f>
        <v>43921</v>
      </c>
      <c r="I3" s="13">
        <f>'[1]Data Sheet'!H16</f>
        <v>44286</v>
      </c>
      <c r="J3" s="13">
        <f>'[1]Data Sheet'!I16</f>
        <v>44651</v>
      </c>
      <c r="K3" s="13">
        <f>'[1]Data Sheet'!J16</f>
        <v>45016</v>
      </c>
      <c r="L3" s="13">
        <f>'[1]Data Sheet'!K16</f>
        <v>45382</v>
      </c>
    </row>
    <row r="4" spans="1:12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">
      <c r="A5" t="s">
        <v>57</v>
      </c>
      <c r="B5" s="16" t="s">
        <v>58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B6" t="s">
        <v>12</v>
      </c>
      <c r="C6" s="18">
        <f>'Data Sheet'!B17</f>
        <v>1708.65</v>
      </c>
      <c r="D6" s="18">
        <f>'Data Sheet'!C17</f>
        <v>1935.32</v>
      </c>
      <c r="E6" s="18">
        <f>'Data Sheet'!D17</f>
        <v>2615.7399999999998</v>
      </c>
      <c r="F6" s="18">
        <f>'Data Sheet'!E17</f>
        <v>3392.9</v>
      </c>
      <c r="G6" s="18">
        <f>'Data Sheet'!F17</f>
        <v>3487.78</v>
      </c>
      <c r="H6" s="18">
        <f>'Data Sheet'!G17</f>
        <v>4115.29</v>
      </c>
      <c r="I6" s="18">
        <f>'Data Sheet'!H17</f>
        <v>4100.5600000000004</v>
      </c>
      <c r="J6" s="18">
        <f>'Data Sheet'!I17</f>
        <v>5035.96</v>
      </c>
      <c r="K6" s="18">
        <f>'Data Sheet'!J17</f>
        <v>5086.99</v>
      </c>
      <c r="L6" s="18">
        <f>'Data Sheet'!K17</f>
        <v>5368.89</v>
      </c>
    </row>
    <row r="7" spans="1:12" x14ac:dyDescent="0.3">
      <c r="B7" s="19" t="s">
        <v>59</v>
      </c>
      <c r="C7" s="20" t="s">
        <v>60</v>
      </c>
      <c r="D7" s="21">
        <f>D6/C6-1</f>
        <v>0.13266028736136715</v>
      </c>
      <c r="E7" s="21">
        <f t="shared" ref="E7:L7" si="0">E6/D6-1</f>
        <v>0.35158010044850463</v>
      </c>
      <c r="F7" s="21">
        <f t="shared" si="0"/>
        <v>0.29710903988928572</v>
      </c>
      <c r="G7" s="21">
        <f t="shared" si="0"/>
        <v>2.7964278345957716E-2</v>
      </c>
      <c r="H7" s="21">
        <f t="shared" si="0"/>
        <v>0.17991673786764073</v>
      </c>
      <c r="I7" s="21">
        <f t="shared" si="0"/>
        <v>-3.5793346276932203E-3</v>
      </c>
      <c r="J7" s="21">
        <f t="shared" si="0"/>
        <v>0.22811518426751465</v>
      </c>
      <c r="K7" s="21">
        <f t="shared" si="0"/>
        <v>1.0133122582387522E-2</v>
      </c>
      <c r="L7" s="21">
        <f t="shared" si="0"/>
        <v>5.5415874613474969E-2</v>
      </c>
    </row>
    <row r="9" spans="1:12" x14ac:dyDescent="0.3">
      <c r="B9" t="s">
        <v>61</v>
      </c>
      <c r="C9" s="18">
        <f>SUM('Data Sheet'!B18,'Data Sheet'!B20:B22, -'Data Sheet'!B19)</f>
        <v>1479.1299999999999</v>
      </c>
      <c r="D9" s="18">
        <f>SUM('Data Sheet'!C18,'Data Sheet'!C20:C22, -'Data Sheet'!C19)</f>
        <v>1647.63</v>
      </c>
      <c r="E9" s="18">
        <f>SUM('Data Sheet'!D18,'Data Sheet'!D20:D22, -'Data Sheet'!D19)</f>
        <v>2224.11</v>
      </c>
      <c r="F9" s="18">
        <f>SUM('Data Sheet'!E18,'Data Sheet'!E20:E22, -'Data Sheet'!E19)</f>
        <v>2654.0399999999995</v>
      </c>
      <c r="G9" s="18">
        <f>SUM('Data Sheet'!F18,'Data Sheet'!F20:F22, -'Data Sheet'!F19)</f>
        <v>3005.1400000000003</v>
      </c>
      <c r="H9" s="18">
        <f>SUM('Data Sheet'!G18,'Data Sheet'!G20:G22, -'Data Sheet'!G19)</f>
        <v>3568.78</v>
      </c>
      <c r="I9" s="18">
        <f>SUM('Data Sheet'!H18,'Data Sheet'!H20:H22, -'Data Sheet'!H19)</f>
        <v>3535.5699999999997</v>
      </c>
      <c r="J9" s="18">
        <f>SUM('Data Sheet'!I18,'Data Sheet'!I20:I22, -'Data Sheet'!I19)</f>
        <v>4626.68</v>
      </c>
      <c r="K9" s="18">
        <f>SUM('Data Sheet'!J18,'Data Sheet'!J20:J22, -'Data Sheet'!J19)</f>
        <v>4591.7799999999988</v>
      </c>
      <c r="L9" s="18">
        <f>SUM('Data Sheet'!K18,'Data Sheet'!K20:K22, -'Data Sheet'!K19)</f>
        <v>4807.3599999999997</v>
      </c>
    </row>
    <row r="10" spans="1:12" x14ac:dyDescent="0.3">
      <c r="B10" s="19" t="s">
        <v>62</v>
      </c>
      <c r="C10" s="21">
        <f>C9/C6</f>
        <v>0.86567172914289048</v>
      </c>
      <c r="D10" s="21">
        <f t="shared" ref="D10:L10" si="1">D9/D6</f>
        <v>0.85134758076183792</v>
      </c>
      <c r="E10" s="21">
        <f t="shared" si="1"/>
        <v>0.85027946202604243</v>
      </c>
      <c r="F10" s="21">
        <f t="shared" si="1"/>
        <v>0.78223348757699884</v>
      </c>
      <c r="G10" s="21">
        <f t="shared" si="1"/>
        <v>0.86161971225249301</v>
      </c>
      <c r="H10" s="21">
        <f t="shared" si="1"/>
        <v>0.86720012441407535</v>
      </c>
      <c r="I10" s="21">
        <f t="shared" si="1"/>
        <v>0.86221638020172842</v>
      </c>
      <c r="J10" s="21">
        <f t="shared" si="1"/>
        <v>0.91872850459495314</v>
      </c>
      <c r="K10" s="21">
        <f t="shared" si="1"/>
        <v>0.9026516663095463</v>
      </c>
      <c r="L10" s="21">
        <f t="shared" si="1"/>
        <v>0.89541041071804406</v>
      </c>
    </row>
    <row r="12" spans="1:12" x14ac:dyDescent="0.3">
      <c r="B12" s="22" t="s">
        <v>63</v>
      </c>
      <c r="C12" s="23">
        <f>C6-C9</f>
        <v>229.52000000000021</v>
      </c>
      <c r="D12" s="23">
        <f t="shared" ref="D12:L12" si="2">D6-D9</f>
        <v>287.68999999999983</v>
      </c>
      <c r="E12" s="23">
        <f t="shared" si="2"/>
        <v>391.62999999999965</v>
      </c>
      <c r="F12" s="23">
        <f t="shared" si="2"/>
        <v>738.86000000000058</v>
      </c>
      <c r="G12" s="23">
        <f t="shared" si="2"/>
        <v>482.63999999999987</v>
      </c>
      <c r="H12" s="23">
        <f t="shared" si="2"/>
        <v>546.50999999999976</v>
      </c>
      <c r="I12" s="23">
        <f t="shared" si="2"/>
        <v>564.99000000000069</v>
      </c>
      <c r="J12" s="23">
        <f t="shared" si="2"/>
        <v>409.27999999999975</v>
      </c>
      <c r="K12" s="23">
        <f t="shared" si="2"/>
        <v>495.21000000000095</v>
      </c>
      <c r="L12" s="23">
        <f t="shared" si="2"/>
        <v>561.53000000000065</v>
      </c>
    </row>
    <row r="13" spans="1:12" x14ac:dyDescent="0.3">
      <c r="B13" s="19" t="s">
        <v>64</v>
      </c>
      <c r="C13" s="21">
        <f>C12/C6</f>
        <v>0.13432827085710952</v>
      </c>
      <c r="D13" s="21">
        <f t="shared" ref="D13:L13" si="3">D12/D6</f>
        <v>0.14865241923816208</v>
      </c>
      <c r="E13" s="21">
        <f t="shared" si="3"/>
        <v>0.14972053797395754</v>
      </c>
      <c r="F13" s="21">
        <f t="shared" si="3"/>
        <v>0.21776651242300113</v>
      </c>
      <c r="G13" s="21">
        <f t="shared" si="3"/>
        <v>0.13838028774750696</v>
      </c>
      <c r="H13" s="21">
        <f t="shared" si="3"/>
        <v>0.13279987558592463</v>
      </c>
      <c r="I13" s="21">
        <f t="shared" si="3"/>
        <v>0.13778361979827161</v>
      </c>
      <c r="J13" s="21">
        <f t="shared" si="3"/>
        <v>8.1271495405046856E-2</v>
      </c>
      <c r="K13" s="21">
        <f t="shared" si="3"/>
        <v>9.7348333690453676E-2</v>
      </c>
      <c r="L13" s="21">
        <f t="shared" si="3"/>
        <v>0.10458958928195598</v>
      </c>
    </row>
    <row r="15" spans="1:12" x14ac:dyDescent="0.3">
      <c r="B15" t="s">
        <v>65</v>
      </c>
      <c r="C15" s="24">
        <f>SUM('Data Sheet'!B23,'Data Sheet'!B24)</f>
        <v>47.19</v>
      </c>
      <c r="D15" s="24">
        <f>SUM('Data Sheet'!C23,'Data Sheet'!C24)</f>
        <v>56.36</v>
      </c>
      <c r="E15" s="24">
        <f>SUM('Data Sheet'!D23,'Data Sheet'!D24)</f>
        <v>59.41</v>
      </c>
      <c r="F15" s="24">
        <f>SUM('Data Sheet'!E23,'Data Sheet'!E24)</f>
        <v>54.36</v>
      </c>
      <c r="G15" s="24">
        <f>SUM('Data Sheet'!F23,'Data Sheet'!F24)</f>
        <v>72.849999999999994</v>
      </c>
      <c r="H15" s="24">
        <f>SUM('Data Sheet'!G23,'Data Sheet'!G24)</f>
        <v>90.14</v>
      </c>
      <c r="I15" s="24">
        <f>SUM('Data Sheet'!H23,'Data Sheet'!H24)</f>
        <v>103.88</v>
      </c>
      <c r="J15" s="24">
        <f>SUM('Data Sheet'!I23,'Data Sheet'!I24)</f>
        <v>95.06</v>
      </c>
      <c r="K15" s="24">
        <f>SUM('Data Sheet'!J23,'Data Sheet'!J24)</f>
        <v>100.65</v>
      </c>
      <c r="L15" s="24">
        <f>SUM('Data Sheet'!K23,'Data Sheet'!K24)</f>
        <v>101.92</v>
      </c>
    </row>
    <row r="16" spans="1:12" x14ac:dyDescent="0.3">
      <c r="B16" s="19" t="s">
        <v>66</v>
      </c>
      <c r="C16" s="21">
        <f>C15/C6</f>
        <v>2.7618295145290139E-2</v>
      </c>
      <c r="D16" s="21">
        <f t="shared" ref="D16:L16" si="4">D15/D6</f>
        <v>2.9121798978980221E-2</v>
      </c>
      <c r="E16" s="21">
        <f t="shared" si="4"/>
        <v>2.2712502007080214E-2</v>
      </c>
      <c r="F16" s="21">
        <f t="shared" si="4"/>
        <v>1.6021692357570221E-2</v>
      </c>
      <c r="G16" s="21">
        <f t="shared" si="4"/>
        <v>2.0887211922770356E-2</v>
      </c>
      <c r="H16" s="21">
        <f t="shared" si="4"/>
        <v>2.190368115005261E-2</v>
      </c>
      <c r="I16" s="21">
        <f t="shared" si="4"/>
        <v>2.533312523167567E-2</v>
      </c>
      <c r="J16" s="21">
        <f t="shared" si="4"/>
        <v>1.8876242067053749E-2</v>
      </c>
      <c r="K16" s="21">
        <f t="shared" si="4"/>
        <v>1.9785767221873841E-2</v>
      </c>
      <c r="L16" s="21">
        <f t="shared" si="4"/>
        <v>1.8983439779917264E-2</v>
      </c>
    </row>
    <row r="17" spans="2:12" x14ac:dyDescent="0.3"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2:12" x14ac:dyDescent="0.3">
      <c r="B18" t="s">
        <v>20</v>
      </c>
      <c r="C18" s="24">
        <f>'Data Sheet'!B25</f>
        <v>8.98</v>
      </c>
      <c r="D18" s="24">
        <f>'Data Sheet'!C25</f>
        <v>20.46</v>
      </c>
      <c r="E18" s="24">
        <f>'Data Sheet'!D25</f>
        <v>23.35</v>
      </c>
      <c r="F18" s="24">
        <f>'Data Sheet'!E25</f>
        <v>48.55</v>
      </c>
      <c r="G18" s="24">
        <f>'Data Sheet'!F25</f>
        <v>59.01</v>
      </c>
      <c r="H18" s="24">
        <f>'Data Sheet'!G25</f>
        <v>70.58</v>
      </c>
      <c r="I18" s="24">
        <f>'Data Sheet'!H25</f>
        <v>92.53</v>
      </c>
      <c r="J18" s="24">
        <f>'Data Sheet'!I25</f>
        <v>54.16</v>
      </c>
      <c r="K18" s="24">
        <f>'Data Sheet'!J25</f>
        <v>78.709999999999994</v>
      </c>
      <c r="L18" s="24">
        <f>'Data Sheet'!K25</f>
        <v>136.44</v>
      </c>
    </row>
    <row r="19" spans="2:12" x14ac:dyDescent="0.3">
      <c r="B19" s="19" t="s">
        <v>170</v>
      </c>
      <c r="C19" s="21"/>
      <c r="D19" s="21">
        <f>D18/C18-1</f>
        <v>1.2783964365256124</v>
      </c>
      <c r="E19" s="21">
        <f t="shared" ref="E19:L19" si="5">E18/D18-1</f>
        <v>0.14125122189638328</v>
      </c>
      <c r="F19" s="21">
        <f t="shared" si="5"/>
        <v>1.0792291220556742</v>
      </c>
      <c r="G19" s="21">
        <f t="shared" si="5"/>
        <v>0.21544799176107099</v>
      </c>
      <c r="H19" s="21">
        <f t="shared" si="5"/>
        <v>0.19606846297237768</v>
      </c>
      <c r="I19" s="21">
        <f t="shared" si="5"/>
        <v>0.31099461603853795</v>
      </c>
      <c r="J19" s="21">
        <f t="shared" si="5"/>
        <v>-0.41467632119312658</v>
      </c>
      <c r="K19" s="21">
        <f t="shared" si="5"/>
        <v>0.45328655834564247</v>
      </c>
      <c r="L19" s="21">
        <f t="shared" si="5"/>
        <v>0.73345191208232774</v>
      </c>
    </row>
    <row r="20" spans="2:12" x14ac:dyDescent="0.3">
      <c r="B20" s="19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2:12" x14ac:dyDescent="0.3">
      <c r="B21" s="22" t="s">
        <v>28</v>
      </c>
      <c r="C21" s="23">
        <f>C12-C15+C18</f>
        <v>191.3100000000002</v>
      </c>
      <c r="D21" s="23">
        <f t="shared" ref="D21:L21" si="6">D12-D15+D18</f>
        <v>251.78999999999982</v>
      </c>
      <c r="E21" s="23">
        <f t="shared" si="6"/>
        <v>355.56999999999971</v>
      </c>
      <c r="F21" s="23">
        <f t="shared" si="6"/>
        <v>733.05000000000052</v>
      </c>
      <c r="G21" s="23">
        <f t="shared" si="6"/>
        <v>468.79999999999984</v>
      </c>
      <c r="H21" s="23">
        <f t="shared" si="6"/>
        <v>526.94999999999982</v>
      </c>
      <c r="I21" s="23">
        <f t="shared" si="6"/>
        <v>553.64000000000067</v>
      </c>
      <c r="J21" s="23">
        <f t="shared" si="6"/>
        <v>368.37999999999977</v>
      </c>
      <c r="K21" s="23">
        <f t="shared" si="6"/>
        <v>473.27000000000095</v>
      </c>
      <c r="L21" s="23">
        <f t="shared" si="6"/>
        <v>596.05000000000064</v>
      </c>
    </row>
    <row r="22" spans="2:12" x14ac:dyDescent="0.3">
      <c r="B22" s="19" t="s">
        <v>67</v>
      </c>
      <c r="C22" s="21">
        <f>C21/C6</f>
        <v>0.1119655868668248</v>
      </c>
      <c r="D22" s="21">
        <f>D21/D6</f>
        <v>0.13010251534629924</v>
      </c>
      <c r="E22" s="21">
        <f>E21/E6</f>
        <v>0.13593476415851719</v>
      </c>
      <c r="F22" s="21">
        <f>F21/F6</f>
        <v>0.21605411300067803</v>
      </c>
      <c r="G22" s="21">
        <f>G21/G6</f>
        <v>0.1344121475551783</v>
      </c>
      <c r="H22" s="21">
        <f>H21/H6</f>
        <v>0.12804686911493474</v>
      </c>
      <c r="I22" s="21">
        <f>I21/I6</f>
        <v>0.13501570517197667</v>
      </c>
      <c r="J22" s="21">
        <f>J21/J6</f>
        <v>7.3149905876933055E-2</v>
      </c>
      <c r="K22" s="21">
        <f>K21/K6</f>
        <v>9.3035370621920035E-2</v>
      </c>
      <c r="L22" s="21">
        <f>L21/L6</f>
        <v>0.11101922371290911</v>
      </c>
    </row>
    <row r="24" spans="2:12" x14ac:dyDescent="0.3">
      <c r="B24" t="s">
        <v>21</v>
      </c>
      <c r="C24" s="24">
        <f>'Data Sheet'!B26</f>
        <v>8.8000000000000007</v>
      </c>
      <c r="D24" s="24">
        <f>'Data Sheet'!C26</f>
        <v>10.23</v>
      </c>
      <c r="E24" s="24">
        <f>'Data Sheet'!D26</f>
        <v>13.69</v>
      </c>
      <c r="F24" s="24">
        <f>'Data Sheet'!E26</f>
        <v>23.76</v>
      </c>
      <c r="G24" s="24">
        <f>'Data Sheet'!F26</f>
        <v>35.840000000000003</v>
      </c>
      <c r="H24" s="24">
        <f>'Data Sheet'!G26</f>
        <v>37.71</v>
      </c>
      <c r="I24" s="24">
        <f>'Data Sheet'!H26</f>
        <v>40.93</v>
      </c>
      <c r="J24" s="24">
        <f>'Data Sheet'!I26</f>
        <v>40.79</v>
      </c>
      <c r="K24" s="24">
        <f>'Data Sheet'!J26</f>
        <v>42.59</v>
      </c>
      <c r="L24" s="24">
        <f>'Data Sheet'!K26</f>
        <v>56.4</v>
      </c>
    </row>
    <row r="25" spans="2:12" x14ac:dyDescent="0.3">
      <c r="B25" s="19" t="s">
        <v>168</v>
      </c>
      <c r="C25" s="21">
        <f>C24/C6</f>
        <v>5.1502648289585345E-3</v>
      </c>
      <c r="D25" s="21">
        <f>D24/D6</f>
        <v>5.2859475435586886E-3</v>
      </c>
      <c r="E25" s="21">
        <f>E24/E6</f>
        <v>5.2337005971541516E-3</v>
      </c>
      <c r="F25" s="21">
        <f>F24/F6</f>
        <v>7.0028589112558579E-3</v>
      </c>
      <c r="G25" s="21">
        <f>G24/G6</f>
        <v>1.0275877492273022E-2</v>
      </c>
      <c r="H25" s="21">
        <f>H24/H6</f>
        <v>9.1633882423838905E-3</v>
      </c>
      <c r="I25" s="21">
        <f>I24/I6</f>
        <v>9.9815634937667035E-3</v>
      </c>
      <c r="J25" s="21">
        <f>J24/J6</f>
        <v>8.0997466222924724E-3</v>
      </c>
      <c r="K25" s="21">
        <f>K24/K6</f>
        <v>8.3723380623905302E-3</v>
      </c>
      <c r="L25" s="21">
        <f>L24/L6</f>
        <v>1.0504964713376507E-2</v>
      </c>
    </row>
    <row r="26" spans="2:12" x14ac:dyDescent="0.3">
      <c r="B26" s="19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2:12" x14ac:dyDescent="0.3">
      <c r="B27" s="22" t="s">
        <v>167</v>
      </c>
      <c r="C27" s="23">
        <f>C21-C24</f>
        <v>182.51000000000019</v>
      </c>
      <c r="D27" s="23">
        <f t="shared" ref="D27:L27" si="7">D21-D24</f>
        <v>241.55999999999983</v>
      </c>
      <c r="E27" s="23">
        <f t="shared" si="7"/>
        <v>341.87999999999971</v>
      </c>
      <c r="F27" s="23">
        <f t="shared" si="7"/>
        <v>709.29000000000053</v>
      </c>
      <c r="G27" s="23">
        <f t="shared" si="7"/>
        <v>432.95999999999981</v>
      </c>
      <c r="H27" s="23">
        <f t="shared" si="7"/>
        <v>489.23999999999984</v>
      </c>
      <c r="I27" s="23">
        <f t="shared" si="7"/>
        <v>512.71000000000072</v>
      </c>
      <c r="J27" s="23">
        <f t="shared" si="7"/>
        <v>327.58999999999975</v>
      </c>
      <c r="K27" s="23">
        <f t="shared" si="7"/>
        <v>430.68000000000097</v>
      </c>
      <c r="L27" s="23">
        <f t="shared" si="7"/>
        <v>539.65000000000066</v>
      </c>
    </row>
    <row r="28" spans="2:12" x14ac:dyDescent="0.3">
      <c r="B28" s="19" t="s">
        <v>70</v>
      </c>
      <c r="C28" s="21">
        <f>C27/C6</f>
        <v>0.10681532203786626</v>
      </c>
      <c r="D28" s="21">
        <f>D27/D6</f>
        <v>0.12481656780274054</v>
      </c>
      <c r="E28" s="21">
        <f>E27/E6</f>
        <v>0.13070106356136305</v>
      </c>
      <c r="F28" s="21">
        <f>F27/F6</f>
        <v>0.20905125408942218</v>
      </c>
      <c r="G28" s="21">
        <f>G27/G6</f>
        <v>0.12413627006290529</v>
      </c>
      <c r="H28" s="21">
        <f>H27/H6</f>
        <v>0.11888348087255086</v>
      </c>
      <c r="I28" s="21">
        <f>I27/I6</f>
        <v>0.12503414167820998</v>
      </c>
      <c r="J28" s="21">
        <f>J27/J6</f>
        <v>6.5050159254640569E-2</v>
      </c>
      <c r="K28" s="21">
        <f>K27/K6</f>
        <v>8.4663032559529505E-2</v>
      </c>
      <c r="L28" s="21">
        <f>L27/L6</f>
        <v>0.1005142589995326</v>
      </c>
    </row>
    <row r="29" spans="2:12" x14ac:dyDescent="0.3">
      <c r="B29" s="19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2:12" x14ac:dyDescent="0.3">
      <c r="B30" t="s">
        <v>169</v>
      </c>
      <c r="C30" s="24">
        <f>'Data Sheet'!B27</f>
        <v>2.67</v>
      </c>
      <c r="D30" s="24">
        <f>'Data Sheet'!C27</f>
        <v>3.38</v>
      </c>
      <c r="E30" s="24">
        <f>'Data Sheet'!D27</f>
        <v>5.14</v>
      </c>
      <c r="F30" s="24">
        <f>'Data Sheet'!E27</f>
        <v>4.79</v>
      </c>
      <c r="G30" s="24">
        <f>'Data Sheet'!F27</f>
        <v>4.91</v>
      </c>
      <c r="H30" s="24">
        <f>'Data Sheet'!G27</f>
        <v>4.38</v>
      </c>
      <c r="I30" s="24">
        <f>'Data Sheet'!H27</f>
        <v>3.05</v>
      </c>
      <c r="J30" s="24">
        <f>'Data Sheet'!I27</f>
        <v>3.69</v>
      </c>
      <c r="K30" s="24">
        <f>'Data Sheet'!J27</f>
        <v>3.89</v>
      </c>
      <c r="L30" s="24">
        <f>'Data Sheet'!K27</f>
        <v>2.79</v>
      </c>
    </row>
    <row r="31" spans="2:12" x14ac:dyDescent="0.3">
      <c r="B31" s="19" t="s">
        <v>68</v>
      </c>
      <c r="C31" s="21">
        <f>C30/C6</f>
        <v>1.5626371696953734E-3</v>
      </c>
      <c r="D31" s="21">
        <f>D30/D6</f>
        <v>1.7464812020751091E-3</v>
      </c>
      <c r="E31" s="21">
        <f>E30/E6</f>
        <v>1.9650271051404192E-3</v>
      </c>
      <c r="F31" s="21">
        <f>F30/F6</f>
        <v>1.4117716407792743E-3</v>
      </c>
      <c r="G31" s="21">
        <f>G30/G6</f>
        <v>1.4077722792148588E-3</v>
      </c>
      <c r="H31" s="21">
        <f>H30/H6</f>
        <v>1.0643235349149149E-3</v>
      </c>
      <c r="I31" s="21">
        <f>I30/I6</f>
        <v>7.4380084671361944E-4</v>
      </c>
      <c r="J31" s="21">
        <f>J30/J6</f>
        <v>7.3273020437016967E-4</v>
      </c>
      <c r="K31" s="21">
        <f>K30/K6</f>
        <v>7.6469582208732478E-4</v>
      </c>
      <c r="L31" s="21">
        <f>L30/L6</f>
        <v>5.1966048848085919E-4</v>
      </c>
    </row>
    <row r="33" spans="2:13" x14ac:dyDescent="0.3">
      <c r="B33" s="22" t="s">
        <v>69</v>
      </c>
      <c r="C33" s="23">
        <f>IFERROR((C21-SUM(C30,C24)),0)</f>
        <v>179.8400000000002</v>
      </c>
      <c r="D33" s="23">
        <f t="shared" ref="D33:L33" si="8">IFERROR((D21-SUM(D30,D24)),0)</f>
        <v>238.17999999999984</v>
      </c>
      <c r="E33" s="23">
        <f t="shared" si="8"/>
        <v>336.73999999999972</v>
      </c>
      <c r="F33" s="23">
        <f t="shared" si="8"/>
        <v>704.50000000000057</v>
      </c>
      <c r="G33" s="23">
        <f t="shared" si="8"/>
        <v>428.04999999999984</v>
      </c>
      <c r="H33" s="23">
        <f t="shared" si="8"/>
        <v>484.85999999999979</v>
      </c>
      <c r="I33" s="23">
        <f t="shared" si="8"/>
        <v>509.66000000000065</v>
      </c>
      <c r="J33" s="23">
        <f t="shared" si="8"/>
        <v>323.89999999999975</v>
      </c>
      <c r="K33" s="23">
        <f t="shared" si="8"/>
        <v>426.79000000000093</v>
      </c>
      <c r="L33" s="23">
        <f t="shared" si="8"/>
        <v>536.86000000000058</v>
      </c>
    </row>
    <row r="34" spans="2:13" x14ac:dyDescent="0.3">
      <c r="B34" s="19" t="s">
        <v>70</v>
      </c>
      <c r="C34" s="21">
        <f>C33/C6</f>
        <v>0.1052526848681709</v>
      </c>
      <c r="D34" s="21">
        <f>D33/D6</f>
        <v>0.12307008660066544</v>
      </c>
      <c r="E34" s="21">
        <f>E33/E6</f>
        <v>0.12873603645622261</v>
      </c>
      <c r="F34" s="21">
        <f>F33/F6</f>
        <v>0.20763948244864291</v>
      </c>
      <c r="G34" s="21">
        <f>G33/G6</f>
        <v>0.12272849778369044</v>
      </c>
      <c r="H34" s="21">
        <f>H33/H6</f>
        <v>0.11781915733763594</v>
      </c>
      <c r="I34" s="21">
        <f>I33/I6</f>
        <v>0.12429034083149633</v>
      </c>
      <c r="J34" s="21">
        <f>J33/J6</f>
        <v>6.4317429050270408E-2</v>
      </c>
      <c r="K34" s="21">
        <f>K33/K6</f>
        <v>8.3898336737442167E-2</v>
      </c>
      <c r="L34" s="21">
        <f>L33/L6</f>
        <v>9.9994598511051733E-2</v>
      </c>
    </row>
    <row r="35" spans="2:13" x14ac:dyDescent="0.3">
      <c r="B35" s="19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2:13" x14ac:dyDescent="0.3">
      <c r="B36" t="s">
        <v>24</v>
      </c>
      <c r="C36" s="18">
        <f>'Data Sheet'!B29</f>
        <v>63.27</v>
      </c>
      <c r="D36" s="18">
        <f>'Data Sheet'!C29</f>
        <v>79.2</v>
      </c>
      <c r="E36" s="18">
        <f>'Data Sheet'!D29</f>
        <v>110.43</v>
      </c>
      <c r="F36" s="18">
        <f>'Data Sheet'!E29</f>
        <v>238.02</v>
      </c>
      <c r="G36" s="18">
        <f>'Data Sheet'!F29</f>
        <v>121.44</v>
      </c>
      <c r="H36" s="18">
        <f>'Data Sheet'!G29</f>
        <v>98.57</v>
      </c>
      <c r="I36" s="18">
        <f>'Data Sheet'!H29</f>
        <v>112.29</v>
      </c>
      <c r="J36" s="18">
        <f>'Data Sheet'!I29</f>
        <v>78.66</v>
      </c>
      <c r="K36" s="18">
        <f>'Data Sheet'!J29</f>
        <v>114.53</v>
      </c>
      <c r="L36" s="18">
        <f>'Data Sheet'!K29</f>
        <v>143.05000000000001</v>
      </c>
    </row>
    <row r="37" spans="2:13" x14ac:dyDescent="0.3">
      <c r="B37" s="19" t="s">
        <v>27</v>
      </c>
      <c r="C37" s="21">
        <f>C36/C33</f>
        <v>0.35181272241992845</v>
      </c>
      <c r="D37" s="21">
        <f>D36/D33</f>
        <v>0.33252162230246057</v>
      </c>
      <c r="E37" s="21">
        <f>E36/E33</f>
        <v>0.32793846884836997</v>
      </c>
      <c r="F37" s="21">
        <f>F36/F33</f>
        <v>0.33785663591199405</v>
      </c>
      <c r="G37" s="21">
        <f>G36/G33</f>
        <v>0.2837051746291322</v>
      </c>
      <c r="H37" s="21">
        <f>H36/H33</f>
        <v>0.20329579672482787</v>
      </c>
      <c r="I37" s="21">
        <f>I36/I33</f>
        <v>0.22032335282345067</v>
      </c>
      <c r="J37" s="21">
        <f>J36/J33</f>
        <v>0.24285273232479179</v>
      </c>
      <c r="K37" s="21">
        <f>K36/K33</f>
        <v>0.26835211696618888</v>
      </c>
      <c r="L37" s="21">
        <f>L36/L33</f>
        <v>0.26645680438103014</v>
      </c>
    </row>
    <row r="39" spans="2:13" x14ac:dyDescent="0.3">
      <c r="B39" s="22" t="s">
        <v>71</v>
      </c>
      <c r="C39" s="25">
        <f>IFERROR(C33-C36,0)</f>
        <v>116.57000000000019</v>
      </c>
      <c r="D39" s="25">
        <f>IFERROR(D33-D36,0)</f>
        <v>158.97999999999985</v>
      </c>
      <c r="E39" s="25">
        <f>IFERROR(E33-E36,0)</f>
        <v>226.30999999999972</v>
      </c>
      <c r="F39" s="25">
        <f>IFERROR(F33-F36,0)</f>
        <v>466.48000000000059</v>
      </c>
      <c r="G39" s="25">
        <f>IFERROR(G33-G36,0)</f>
        <v>306.60999999999984</v>
      </c>
      <c r="H39" s="25">
        <f>IFERROR(H33-H36,0)</f>
        <v>386.28999999999979</v>
      </c>
      <c r="I39" s="25">
        <f>IFERROR(I33-I36,0)</f>
        <v>397.37000000000063</v>
      </c>
      <c r="J39" s="25">
        <f>IFERROR(J33-J36,0)</f>
        <v>245.23999999999975</v>
      </c>
      <c r="K39" s="25">
        <f>IFERROR(K33-K36,0)</f>
        <v>312.2600000000009</v>
      </c>
      <c r="L39" s="25">
        <f>IFERROR(L33-L36,0)</f>
        <v>393.81000000000057</v>
      </c>
    </row>
    <row r="40" spans="2:13" x14ac:dyDescent="0.3">
      <c r="B40" s="19" t="s">
        <v>72</v>
      </c>
      <c r="C40" s="21">
        <f>C39/C6</f>
        <v>6.8223451262692872E-2</v>
      </c>
      <c r="D40" s="21">
        <f>D39/D6</f>
        <v>8.2146621747307857E-2</v>
      </c>
      <c r="E40" s="21">
        <f>E39/E6</f>
        <v>8.6518537775161039E-2</v>
      </c>
      <c r="F40" s="21">
        <f>F39/F6</f>
        <v>0.1374871054260369</v>
      </c>
      <c r="G40" s="21">
        <f>G39/G6</f>
        <v>8.790978788799747E-2</v>
      </c>
      <c r="H40" s="21">
        <f>H39/H6</f>
        <v>9.3867017877233394E-2</v>
      </c>
      <c r="I40" s="21">
        <f>I39/I6</f>
        <v>9.6906276215931633E-2</v>
      </c>
      <c r="J40" s="21">
        <f>J39/J6</f>
        <v>4.8697765669306302E-2</v>
      </c>
      <c r="K40" s="21">
        <f>K39/K6</f>
        <v>6.1384040464007382E-2</v>
      </c>
      <c r="L40" s="21">
        <f>L39/L6</f>
        <v>7.3350357336432775E-2</v>
      </c>
    </row>
    <row r="42" spans="2:13" x14ac:dyDescent="0.3">
      <c r="B42" t="s">
        <v>73</v>
      </c>
      <c r="C42" s="50">
        <f>'Data Sheet'!B70/10000000</f>
        <v>0.90830420000000001</v>
      </c>
      <c r="D42" s="50">
        <f>'Data Sheet'!C70/10000000</f>
        <v>4.5415210000000004</v>
      </c>
      <c r="E42" s="50">
        <f>'Data Sheet'!D70/10000000</f>
        <v>4.5415210000000004</v>
      </c>
      <c r="F42" s="50">
        <f>'Data Sheet'!E70/10000000</f>
        <v>4.5415210000000004</v>
      </c>
      <c r="G42" s="50">
        <f>'Data Sheet'!F70/10000000</f>
        <v>13.624563</v>
      </c>
      <c r="H42" s="50">
        <f>'Data Sheet'!G70/10000000</f>
        <v>13.624563</v>
      </c>
      <c r="I42" s="50">
        <f>'Data Sheet'!H70/10000000</f>
        <v>13.624563</v>
      </c>
      <c r="J42" s="50">
        <f>'Data Sheet'!I70/10000000</f>
        <v>13.624563</v>
      </c>
      <c r="K42" s="50">
        <f>'Data Sheet'!J70/10000000</f>
        <v>13.624563</v>
      </c>
      <c r="L42" s="50">
        <f>'Data Sheet'!K70/10000000</f>
        <v>13.624563</v>
      </c>
    </row>
    <row r="43" spans="2:13" x14ac:dyDescent="0.3"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3" x14ac:dyDescent="0.3">
      <c r="B44" t="s">
        <v>74</v>
      </c>
      <c r="C44" s="24">
        <f>IFERROR(C39/C42,0)</f>
        <v>128.33806119139402</v>
      </c>
      <c r="D44" s="24">
        <f>IFERROR(D39/D42,0)</f>
        <v>35.00589340003048</v>
      </c>
      <c r="E44" s="24">
        <f t="shared" ref="E44:L44" si="9">IFERROR(E39/E42,0)</f>
        <v>49.831323030323915</v>
      </c>
      <c r="F44" s="24">
        <f t="shared" si="9"/>
        <v>102.71448706281454</v>
      </c>
      <c r="G44" s="24">
        <f t="shared" si="9"/>
        <v>22.504208024873886</v>
      </c>
      <c r="H44" s="24">
        <f t="shared" si="9"/>
        <v>28.352468992950438</v>
      </c>
      <c r="I44" s="24">
        <f t="shared" si="9"/>
        <v>29.165706085398895</v>
      </c>
      <c r="J44" s="24">
        <f t="shared" si="9"/>
        <v>17.999843371123152</v>
      </c>
      <c r="K44" s="24">
        <f t="shared" si="9"/>
        <v>22.918900224543048</v>
      </c>
      <c r="L44" s="24">
        <f t="shared" si="9"/>
        <v>28.904413301182618</v>
      </c>
      <c r="M44" s="50"/>
    </row>
    <row r="45" spans="2:13" x14ac:dyDescent="0.3">
      <c r="B45" s="19" t="s">
        <v>75</v>
      </c>
      <c r="C45" s="21"/>
      <c r="D45" s="21">
        <f>IFERROR(D44/C44-1,0)</f>
        <v>-0.72723685339281197</v>
      </c>
      <c r="E45" s="21">
        <f t="shared" ref="E45:L45" si="10">IFERROR(E44/D44-1,0)</f>
        <v>0.42351239149578523</v>
      </c>
      <c r="F45" s="21">
        <f t="shared" si="10"/>
        <v>1.0612434271574442</v>
      </c>
      <c r="G45" s="21">
        <f t="shared" si="10"/>
        <v>-0.78090521923054979</v>
      </c>
      <c r="H45" s="21">
        <f t="shared" si="10"/>
        <v>0.25987410717197745</v>
      </c>
      <c r="I45" s="21">
        <f t="shared" si="10"/>
        <v>2.8683113722852926E-2</v>
      </c>
      <c r="J45" s="21">
        <f t="shared" si="10"/>
        <v>-0.38284218738203846</v>
      </c>
      <c r="K45" s="21">
        <f t="shared" si="10"/>
        <v>0.27328331430435981</v>
      </c>
      <c r="L45" s="21">
        <f t="shared" si="10"/>
        <v>0.26116057131877102</v>
      </c>
    </row>
    <row r="47" spans="2:13" x14ac:dyDescent="0.3">
      <c r="B47" t="s">
        <v>76</v>
      </c>
      <c r="C47" s="26">
        <f>'Data Sheet'!B31/C42</f>
        <v>27.490789979832748</v>
      </c>
      <c r="D47" s="26">
        <f>'Data Sheet'!C31/D42</f>
        <v>6.9976556312301534</v>
      </c>
      <c r="E47" s="26">
        <f>'Data Sheet'!D31/E42</f>
        <v>8.9969858115816255</v>
      </c>
      <c r="F47" s="26">
        <f>'Data Sheet'!E31/F42</f>
        <v>11.995981082108834</v>
      </c>
      <c r="G47" s="26">
        <f>'Data Sheet'!F31/G42</f>
        <v>3.9986603607029449</v>
      </c>
      <c r="H47" s="26">
        <f>'Data Sheet'!G31/H42</f>
        <v>5.0981451661972566</v>
      </c>
      <c r="I47" s="26">
        <f>'Data Sheet'!H31/I42</f>
        <v>6.2475398293508571</v>
      </c>
      <c r="J47" s="26">
        <f>'Data Sheet'!I31/J42</f>
        <v>6.2475398293508571</v>
      </c>
      <c r="K47" s="26">
        <f>'Data Sheet'!J31/K42</f>
        <v>6.2475398293508571</v>
      </c>
      <c r="L47" s="26">
        <f>'Data Sheet'!K31/L42</f>
        <v>6.2475398293508571</v>
      </c>
    </row>
    <row r="48" spans="2:13" x14ac:dyDescent="0.3">
      <c r="B48" s="19" t="s">
        <v>77</v>
      </c>
      <c r="C48" s="21">
        <f>C47/C44</f>
        <v>0.21420605644676982</v>
      </c>
      <c r="D48" s="21">
        <f t="shared" ref="D48:L48" si="11">D47/D44</f>
        <v>0.19989935840986309</v>
      </c>
      <c r="E48" s="21">
        <f t="shared" si="11"/>
        <v>0.18054880473686558</v>
      </c>
      <c r="F48" s="21">
        <f t="shared" si="11"/>
        <v>0.11678957297204581</v>
      </c>
      <c r="G48" s="21">
        <f t="shared" si="11"/>
        <v>0.17768500701216539</v>
      </c>
      <c r="H48" s="21">
        <f t="shared" si="11"/>
        <v>0.17981309378963997</v>
      </c>
      <c r="I48" s="21">
        <f t="shared" si="11"/>
        <v>0.21420842036389226</v>
      </c>
      <c r="J48" s="21">
        <f t="shared" si="11"/>
        <v>0.34708856630239798</v>
      </c>
      <c r="K48" s="21">
        <f t="shared" si="11"/>
        <v>0.27259335169410026</v>
      </c>
      <c r="L48" s="21">
        <f t="shared" si="11"/>
        <v>0.21614484142098953</v>
      </c>
    </row>
    <row r="50" spans="2:12" x14ac:dyDescent="0.3">
      <c r="B50" t="s">
        <v>78</v>
      </c>
      <c r="C50" s="27">
        <f>IFERROR(IF(C44&gt;C47,1-C48,0),0)</f>
        <v>0.78579394355323018</v>
      </c>
      <c r="D50" s="27">
        <f>IFERROR(IF(D44&gt;D47,1-D48,0),0)</f>
        <v>0.80010064159013694</v>
      </c>
      <c r="E50" s="27">
        <f t="shared" ref="E50" si="12">IFERROR(IF(E44&gt;E47,1-E48,0),0)</f>
        <v>0.81945119526313448</v>
      </c>
      <c r="F50" s="27">
        <f>IFERROR(IF(F44&gt;F47,1-F48,0),0)</f>
        <v>0.88321042702795416</v>
      </c>
      <c r="G50" s="27">
        <f>IFERROR(IF(G44&gt;G47,1-G48,0),0)</f>
        <v>0.82231499298783461</v>
      </c>
      <c r="H50" s="27">
        <f>IFERROR(IF(H44&gt;H47,1-H48,0),0)</f>
        <v>0.82018690621036006</v>
      </c>
      <c r="I50" s="27">
        <f>IFERROR(IF(I44&gt;I47,1-I48,0),0)</f>
        <v>0.78579157963610768</v>
      </c>
      <c r="J50" s="27">
        <f>IFERROR(IF(J44&gt;J47,1-J48,0),0)</f>
        <v>0.65291143369760207</v>
      </c>
      <c r="K50" s="27">
        <f>IFERROR(IF(K44&gt;K47,1-K48,0),0)</f>
        <v>0.72740664830589974</v>
      </c>
      <c r="L50" s="27">
        <f>IFERROR(IF(L44&gt;L47,1-L48,0),0)</f>
        <v>0.78385515857901045</v>
      </c>
    </row>
    <row r="72" spans="2:12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</row>
    <row r="76" spans="2:12" x14ac:dyDescent="0.3">
      <c r="C76" s="18"/>
      <c r="D76" s="18"/>
      <c r="E76" s="18"/>
      <c r="F76" s="18"/>
      <c r="G76" s="18"/>
      <c r="H76" s="18"/>
      <c r="I76" s="18"/>
      <c r="J76" s="18"/>
      <c r="K76" s="18"/>
      <c r="L76" s="18"/>
    </row>
    <row r="78" spans="2:12" x14ac:dyDescent="0.3">
      <c r="C78" s="18"/>
      <c r="D78" s="18"/>
      <c r="E78" s="18"/>
      <c r="F78" s="18"/>
      <c r="G78" s="18"/>
      <c r="H78" s="18"/>
      <c r="I78" s="18"/>
      <c r="J78" s="18"/>
      <c r="K78" s="18"/>
      <c r="L78" s="18"/>
    </row>
    <row r="80" spans="2:12" x14ac:dyDescent="0.3"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2" spans="2:12" x14ac:dyDescent="0.3">
      <c r="B82" s="28"/>
      <c r="C82" s="30"/>
      <c r="D82" s="30"/>
      <c r="E82" s="30"/>
      <c r="F82" s="30"/>
      <c r="G82" s="30"/>
      <c r="H82" s="30"/>
      <c r="I82" s="30"/>
      <c r="J82" s="30"/>
      <c r="K82" s="30"/>
      <c r="L82" s="30"/>
    </row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FF3A-97BC-472D-9840-44886615A1B6}">
  <dimension ref="B2:L47"/>
  <sheetViews>
    <sheetView workbookViewId="0">
      <selection activeCell="K38" sqref="K38"/>
    </sheetView>
  </sheetViews>
  <sheetFormatPr defaultRowHeight="14.4" x14ac:dyDescent="0.3"/>
  <cols>
    <col min="2" max="2" width="29.6640625" customWidth="1"/>
    <col min="7" max="7" width="12.88671875" customWidth="1"/>
    <col min="10" max="10" width="8.88671875" customWidth="1"/>
  </cols>
  <sheetData>
    <row r="2" spans="2:11" x14ac:dyDescent="0.3">
      <c r="B2" s="12" t="s">
        <v>80</v>
      </c>
      <c r="C2" s="31"/>
      <c r="D2" s="31"/>
      <c r="E2" s="31"/>
      <c r="F2" s="13">
        <v>43525</v>
      </c>
      <c r="G2" s="13">
        <v>43891</v>
      </c>
      <c r="H2" s="13">
        <v>44256</v>
      </c>
      <c r="I2" s="13">
        <v>44621</v>
      </c>
      <c r="J2" s="13">
        <v>44986</v>
      </c>
      <c r="K2" s="13">
        <v>45352</v>
      </c>
    </row>
    <row r="4" spans="2:11" x14ac:dyDescent="0.3">
      <c r="B4" t="s">
        <v>79</v>
      </c>
      <c r="F4" s="34">
        <f>'Data Sheet'!F65</f>
        <v>683.11</v>
      </c>
      <c r="G4" s="34">
        <f>'Data Sheet'!G65</f>
        <v>902.71</v>
      </c>
      <c r="H4" s="34">
        <f>'Data Sheet'!H65</f>
        <v>748.88</v>
      </c>
      <c r="I4" s="34">
        <f>'Data Sheet'!I65</f>
        <v>1272.49</v>
      </c>
      <c r="J4" s="34">
        <f>'Data Sheet'!J65</f>
        <v>1297.8699999999999</v>
      </c>
      <c r="K4" s="34">
        <f>'Data Sheet'!K65</f>
        <v>1846.84</v>
      </c>
    </row>
    <row r="5" spans="2:11" x14ac:dyDescent="0.3">
      <c r="F5" s="34"/>
      <c r="G5" s="34"/>
      <c r="H5" s="34"/>
      <c r="I5" s="34"/>
      <c r="J5" s="34"/>
      <c r="K5" s="34"/>
    </row>
    <row r="6" spans="2:11" x14ac:dyDescent="0.3">
      <c r="B6" t="s">
        <v>81</v>
      </c>
      <c r="F6" s="34">
        <f>'Data Sheet'!F60</f>
        <v>399.52</v>
      </c>
      <c r="G6" s="34">
        <f>'Data Sheet'!G60</f>
        <v>474.7</v>
      </c>
      <c r="H6" s="34">
        <f>'Data Sheet'!H60</f>
        <v>517.11</v>
      </c>
      <c r="I6" s="34">
        <f>'Data Sheet'!I60</f>
        <v>616.73</v>
      </c>
      <c r="J6" s="34">
        <f>'Data Sheet'!J60</f>
        <v>636.12</v>
      </c>
      <c r="K6" s="34">
        <f>'Data Sheet'!K60</f>
        <v>716.17</v>
      </c>
    </row>
    <row r="8" spans="2:11" ht="15" thickBot="1" x14ac:dyDescent="0.35">
      <c r="B8" s="35" t="s">
        <v>82</v>
      </c>
      <c r="C8" s="35"/>
      <c r="D8" s="35"/>
      <c r="E8" s="35"/>
      <c r="F8" s="45">
        <f t="shared" ref="F8:K8" si="0">F4-F6</f>
        <v>283.59000000000003</v>
      </c>
      <c r="G8" s="36">
        <f t="shared" si="0"/>
        <v>428.01000000000005</v>
      </c>
      <c r="H8" s="36">
        <f t="shared" si="0"/>
        <v>231.76999999999998</v>
      </c>
      <c r="I8" s="36">
        <f t="shared" si="0"/>
        <v>655.76</v>
      </c>
      <c r="J8" s="36">
        <f t="shared" si="0"/>
        <v>661.74999999999989</v>
      </c>
      <c r="K8" s="36">
        <f t="shared" si="0"/>
        <v>1130.67</v>
      </c>
    </row>
    <row r="9" spans="2:11" x14ac:dyDescent="0.3">
      <c r="G9" s="34"/>
      <c r="H9" s="34"/>
      <c r="I9" s="34"/>
      <c r="J9" s="34"/>
      <c r="K9" s="34"/>
    </row>
    <row r="10" spans="2:11" ht="15" thickBot="1" x14ac:dyDescent="0.35">
      <c r="B10" s="35" t="s">
        <v>83</v>
      </c>
      <c r="C10" s="35"/>
      <c r="D10" s="35"/>
      <c r="E10" s="35"/>
      <c r="F10" s="35"/>
      <c r="G10" s="36">
        <f>'Data Sheet'!G62</f>
        <v>270.87</v>
      </c>
      <c r="H10" s="36">
        <f>'Data Sheet'!H62</f>
        <v>292.43</v>
      </c>
      <c r="I10" s="36">
        <f>'Data Sheet'!I62</f>
        <v>272.56</v>
      </c>
      <c r="J10" s="36">
        <f>'Data Sheet'!J62</f>
        <v>397.57</v>
      </c>
      <c r="K10" s="36">
        <f>'Data Sheet'!K62</f>
        <v>496.99</v>
      </c>
    </row>
    <row r="12" spans="2:11" x14ac:dyDescent="0.3">
      <c r="B12" s="28" t="s">
        <v>84</v>
      </c>
      <c r="C12" s="28"/>
      <c r="D12" s="28"/>
      <c r="E12" s="28"/>
      <c r="F12" s="28"/>
      <c r="G12" s="37">
        <f>G8+G10</f>
        <v>698.88000000000011</v>
      </c>
      <c r="H12" s="37">
        <f t="shared" ref="H12:K12" si="1">H8+H10</f>
        <v>524.20000000000005</v>
      </c>
      <c r="I12" s="37">
        <f t="shared" si="1"/>
        <v>928.31999999999994</v>
      </c>
      <c r="J12" s="37">
        <f t="shared" si="1"/>
        <v>1059.32</v>
      </c>
      <c r="K12" s="37">
        <f t="shared" si="1"/>
        <v>1627.66</v>
      </c>
    </row>
    <row r="13" spans="2:11" x14ac:dyDescent="0.3">
      <c r="B13" s="28" t="s">
        <v>96</v>
      </c>
      <c r="C13" s="28"/>
      <c r="D13" s="28"/>
      <c r="E13" s="28"/>
      <c r="F13" s="28"/>
      <c r="G13" s="37">
        <f>HistoricalFS!H27*(1-HistoricalFS!C37)</f>
        <v>317.1191436832741</v>
      </c>
      <c r="H13" s="37">
        <f>HistoricalFS!I27*(1-HistoricalFS!D37)</f>
        <v>342.22283902930593</v>
      </c>
      <c r="I13" s="37">
        <f>HistoricalFS!J27*(1-HistoricalFS!E37)</f>
        <v>220.16063698996231</v>
      </c>
      <c r="J13" s="37">
        <f>HistoricalFS!K27*(1-HistoricalFS!F37)</f>
        <v>285.17190404542305</v>
      </c>
      <c r="K13" s="37">
        <f>HistoricalFS!L27*(1-HistoricalFS!G37)</f>
        <v>386.5485025113893</v>
      </c>
    </row>
    <row r="15" spans="2:11" ht="15" thickBot="1" x14ac:dyDescent="0.35">
      <c r="B15" s="35" t="s">
        <v>86</v>
      </c>
      <c r="C15" s="38"/>
      <c r="D15" s="38"/>
      <c r="E15" s="38"/>
      <c r="F15" s="38"/>
      <c r="G15" s="39">
        <f>G13/G12</f>
        <v>0.45375335348453821</v>
      </c>
      <c r="H15" s="39">
        <f t="shared" ref="H15:K15" si="2">H13/H12</f>
        <v>0.65284784248246075</v>
      </c>
      <c r="I15" s="39">
        <f t="shared" si="2"/>
        <v>0.23716028631286876</v>
      </c>
      <c r="J15" s="39">
        <f t="shared" si="2"/>
        <v>0.2692027942882444</v>
      </c>
      <c r="K15" s="39">
        <f t="shared" si="2"/>
        <v>0.23748725318026448</v>
      </c>
    </row>
    <row r="17" spans="2:12" x14ac:dyDescent="0.3">
      <c r="B17" s="12" t="s">
        <v>87</v>
      </c>
      <c r="C17" s="31"/>
      <c r="D17" s="31"/>
      <c r="E17" s="31"/>
      <c r="F17" s="31"/>
      <c r="G17" s="13">
        <f>G2</f>
        <v>43891</v>
      </c>
      <c r="H17" s="13">
        <f t="shared" ref="H17:K17" si="3">H2</f>
        <v>44256</v>
      </c>
      <c r="I17" s="13">
        <f t="shared" si="3"/>
        <v>44621</v>
      </c>
      <c r="J17" s="13">
        <f t="shared" si="3"/>
        <v>44986</v>
      </c>
      <c r="K17" s="13">
        <f t="shared" si="3"/>
        <v>45352</v>
      </c>
    </row>
    <row r="19" spans="2:12" x14ac:dyDescent="0.3">
      <c r="B19" s="32" t="s">
        <v>88</v>
      </c>
      <c r="C19" s="32"/>
      <c r="D19" s="32"/>
      <c r="E19" s="32"/>
      <c r="F19" s="32"/>
      <c r="G19" s="33">
        <f>-SUM('Data Sheet'!G98:G99)</f>
        <v>34</v>
      </c>
      <c r="H19" s="33">
        <f>-SUM('Data Sheet'!H98:H99)</f>
        <v>43</v>
      </c>
      <c r="I19" s="33">
        <f>-SUM('Data Sheet'!I98:I99)</f>
        <v>55</v>
      </c>
      <c r="J19" s="33">
        <f>-SUM('Data Sheet'!J98:J99)</f>
        <v>160</v>
      </c>
      <c r="K19" s="33">
        <f>-SUM('Data Sheet'!K98:K99)</f>
        <v>131</v>
      </c>
    </row>
    <row r="20" spans="2:12" x14ac:dyDescent="0.3">
      <c r="B20" s="32" t="s">
        <v>89</v>
      </c>
      <c r="C20" s="32"/>
      <c r="D20" s="32"/>
      <c r="E20" s="32"/>
      <c r="F20" s="32"/>
      <c r="G20" s="33">
        <f>(G8-F8)</f>
        <v>144.42000000000002</v>
      </c>
      <c r="H20" s="33">
        <f>(H8-G8)</f>
        <v>-196.24000000000007</v>
      </c>
      <c r="I20" s="33">
        <f t="shared" ref="I20:K20" si="4">(I8-H8)</f>
        <v>423.99</v>
      </c>
      <c r="J20" s="33">
        <f t="shared" si="4"/>
        <v>5.9899999999998954</v>
      </c>
      <c r="K20" s="33">
        <f t="shared" si="4"/>
        <v>468.92000000000019</v>
      </c>
    </row>
    <row r="21" spans="2:12" x14ac:dyDescent="0.3">
      <c r="B21" s="32"/>
      <c r="C21" s="32"/>
      <c r="D21" s="32"/>
      <c r="E21" s="32"/>
      <c r="F21" s="32"/>
      <c r="G21" s="33"/>
      <c r="H21" s="33"/>
      <c r="I21" s="33"/>
      <c r="J21" s="33"/>
      <c r="K21" s="33"/>
    </row>
    <row r="22" spans="2:12" x14ac:dyDescent="0.3">
      <c r="B22" s="32" t="s">
        <v>96</v>
      </c>
      <c r="C22" s="32"/>
      <c r="D22" s="32"/>
      <c r="E22" s="32"/>
      <c r="F22" s="32"/>
      <c r="G22" s="33">
        <f>G13</f>
        <v>317.1191436832741</v>
      </c>
      <c r="H22" s="33">
        <f t="shared" ref="H22:K22" si="5">H13</f>
        <v>342.22283902930593</v>
      </c>
      <c r="I22" s="33">
        <f t="shared" si="5"/>
        <v>220.16063698996231</v>
      </c>
      <c r="J22" s="33">
        <f t="shared" si="5"/>
        <v>285.17190404542305</v>
      </c>
      <c r="K22" s="33">
        <f t="shared" si="5"/>
        <v>386.5485025113893</v>
      </c>
    </row>
    <row r="23" spans="2:12" x14ac:dyDescent="0.3">
      <c r="B23" s="32" t="s">
        <v>90</v>
      </c>
      <c r="C23" s="32"/>
      <c r="D23" s="32"/>
      <c r="E23" s="32"/>
      <c r="F23" s="32"/>
      <c r="G23" s="33">
        <f>SUM(G19:G20)</f>
        <v>178.42000000000002</v>
      </c>
      <c r="H23" s="33">
        <f>SUM(H19:H20)</f>
        <v>-153.24000000000007</v>
      </c>
      <c r="I23" s="33">
        <f>SUM(I19:I20)</f>
        <v>478.99</v>
      </c>
      <c r="J23" s="33">
        <f>SUM(J19:J20)</f>
        <v>165.9899999999999</v>
      </c>
      <c r="K23" s="33">
        <f>SUM(K19:K20)</f>
        <v>599.92000000000019</v>
      </c>
    </row>
    <row r="24" spans="2:12" x14ac:dyDescent="0.3">
      <c r="H24" s="40"/>
      <c r="I24" s="40"/>
      <c r="J24" s="40"/>
      <c r="K24" s="40"/>
    </row>
    <row r="25" spans="2:12" ht="15" thickBot="1" x14ac:dyDescent="0.35">
      <c r="B25" s="35" t="s">
        <v>91</v>
      </c>
      <c r="C25" s="35"/>
      <c r="D25" s="35"/>
      <c r="E25" s="35"/>
      <c r="F25" s="35"/>
      <c r="G25" s="39">
        <f>G23/G22</f>
        <v>0.56262765447613206</v>
      </c>
      <c r="H25" s="39">
        <f>H23/H22</f>
        <v>-0.4477784137220529</v>
      </c>
      <c r="I25" s="39">
        <f>I23/I22</f>
        <v>2.1756386906794716</v>
      </c>
      <c r="J25" s="39">
        <f>J23/J22</f>
        <v>0.582069964275164</v>
      </c>
      <c r="K25" s="39">
        <f>K23/K22</f>
        <v>1.5519915252609835</v>
      </c>
    </row>
    <row r="26" spans="2:12" x14ac:dyDescent="0.3">
      <c r="H26" s="27"/>
      <c r="I26" s="27"/>
      <c r="J26" s="27"/>
      <c r="K26" s="27"/>
    </row>
    <row r="27" spans="2:12" x14ac:dyDescent="0.3">
      <c r="J27" s="41" t="s">
        <v>92</v>
      </c>
      <c r="K27" s="42">
        <f>AVERAGE(H25:K25)</f>
        <v>0.96548044162339153</v>
      </c>
      <c r="L27" s="48"/>
    </row>
    <row r="28" spans="2:12" x14ac:dyDescent="0.3">
      <c r="J28" s="41" t="s">
        <v>93</v>
      </c>
      <c r="K28" s="42">
        <f>MEDIAN(H25:K25)</f>
        <v>1.0670307447680738</v>
      </c>
    </row>
    <row r="30" spans="2:12" x14ac:dyDescent="0.3">
      <c r="B30" s="12" t="s">
        <v>94</v>
      </c>
      <c r="C30" s="31"/>
      <c r="D30" s="31"/>
      <c r="E30" s="31"/>
      <c r="F30" s="31"/>
      <c r="G30" s="13">
        <f>G17</f>
        <v>43891</v>
      </c>
      <c r="H30" s="13">
        <f t="shared" ref="H30:K30" si="6">H17</f>
        <v>44256</v>
      </c>
      <c r="I30" s="13">
        <f t="shared" si="6"/>
        <v>44621</v>
      </c>
      <c r="J30" s="13">
        <f t="shared" si="6"/>
        <v>44986</v>
      </c>
      <c r="K30" s="13">
        <f t="shared" si="6"/>
        <v>45352</v>
      </c>
    </row>
    <row r="32" spans="2:12" x14ac:dyDescent="0.3">
      <c r="B32" s="32" t="s">
        <v>91</v>
      </c>
      <c r="C32" s="32"/>
      <c r="D32" s="32"/>
      <c r="E32" s="32"/>
      <c r="F32" s="32"/>
      <c r="G32" s="43">
        <f>G25</f>
        <v>0.56262765447613206</v>
      </c>
      <c r="H32" s="43">
        <f t="shared" ref="H32:K32" si="7">H25</f>
        <v>-0.4477784137220529</v>
      </c>
      <c r="I32" s="43">
        <f t="shared" si="7"/>
        <v>2.1756386906794716</v>
      </c>
      <c r="J32" s="43">
        <f t="shared" si="7"/>
        <v>0.582069964275164</v>
      </c>
      <c r="K32" s="43">
        <f t="shared" si="7"/>
        <v>1.5519915252609835</v>
      </c>
    </row>
    <row r="33" spans="2:11" x14ac:dyDescent="0.3">
      <c r="B33" s="32" t="s">
        <v>86</v>
      </c>
      <c r="C33" s="32"/>
      <c r="D33" s="32"/>
      <c r="E33" s="32"/>
      <c r="F33" s="32"/>
      <c r="G33" s="43">
        <f>G15</f>
        <v>0.45375335348453821</v>
      </c>
      <c r="H33" s="43">
        <f t="shared" ref="H33:K33" si="8">H15</f>
        <v>0.65284784248246075</v>
      </c>
      <c r="I33" s="43">
        <f t="shared" si="8"/>
        <v>0.23716028631286876</v>
      </c>
      <c r="J33" s="43">
        <f t="shared" si="8"/>
        <v>0.2692027942882444</v>
      </c>
      <c r="K33" s="43">
        <f t="shared" si="8"/>
        <v>0.23748725318026448</v>
      </c>
    </row>
    <row r="35" spans="2:11" ht="15" thickBot="1" x14ac:dyDescent="0.35">
      <c r="B35" s="35" t="s">
        <v>95</v>
      </c>
      <c r="C35" s="35"/>
      <c r="D35" s="35"/>
      <c r="E35" s="35"/>
      <c r="F35" s="35"/>
      <c r="G35" s="44">
        <f>G32*G33</f>
        <v>0.25529418498168499</v>
      </c>
      <c r="H35" s="44">
        <f>H32*H33</f>
        <v>-0.29233117130866093</v>
      </c>
      <c r="I35" s="44">
        <f t="shared" ref="I35:K35" si="9">I32*I33</f>
        <v>0.51597509479489834</v>
      </c>
      <c r="J35" s="44">
        <f>J32*J33</f>
        <v>0.15669486085413273</v>
      </c>
      <c r="K35" s="44">
        <f t="shared" si="9"/>
        <v>0.36857820429328003</v>
      </c>
    </row>
    <row r="37" spans="2:11" x14ac:dyDescent="0.3">
      <c r="J37" s="41" t="s">
        <v>92</v>
      </c>
      <c r="K37" s="42">
        <f>AVERAGE(H35:K35)</f>
        <v>0.18722924715841255</v>
      </c>
    </row>
    <row r="38" spans="2:11" x14ac:dyDescent="0.3">
      <c r="J38" s="41" t="s">
        <v>93</v>
      </c>
      <c r="K38" s="42">
        <f>MEDIAN(H35:K35)</f>
        <v>0.26263653257370639</v>
      </c>
    </row>
    <row r="44" spans="2:11" x14ac:dyDescent="0.3">
      <c r="B44" s="12" t="s">
        <v>99</v>
      </c>
      <c r="C44" s="46">
        <v>43891</v>
      </c>
      <c r="D44" s="46">
        <v>44256</v>
      </c>
      <c r="E44" s="46">
        <v>44621</v>
      </c>
      <c r="F44" s="46">
        <v>44986</v>
      </c>
      <c r="G44" s="46">
        <v>45352</v>
      </c>
    </row>
    <row r="45" spans="2:11" x14ac:dyDescent="0.3">
      <c r="B45" s="32" t="s">
        <v>97</v>
      </c>
      <c r="C45" s="33">
        <v>-722</v>
      </c>
      <c r="D45" s="33">
        <v>-1173</v>
      </c>
      <c r="E45" s="33">
        <v>-828</v>
      </c>
      <c r="F45" s="33">
        <v>-224</v>
      </c>
      <c r="G45" s="33">
        <v>-240</v>
      </c>
    </row>
    <row r="46" spans="2:11" x14ac:dyDescent="0.3">
      <c r="B46" s="32" t="s">
        <v>98</v>
      </c>
      <c r="C46" s="33">
        <v>2</v>
      </c>
      <c r="D46" s="33">
        <v>2</v>
      </c>
      <c r="E46" s="33">
        <v>2</v>
      </c>
      <c r="F46" s="33">
        <v>13</v>
      </c>
      <c r="G46" s="33">
        <v>4</v>
      </c>
    </row>
    <row r="47" spans="2:11" x14ac:dyDescent="0.3">
      <c r="B47" s="32" t="s">
        <v>88</v>
      </c>
      <c r="C47" s="33">
        <f>C45+C46</f>
        <v>-720</v>
      </c>
      <c r="D47" s="33">
        <f t="shared" ref="D47:G47" si="10">D45+D46</f>
        <v>-1171</v>
      </c>
      <c r="E47" s="33">
        <f t="shared" si="10"/>
        <v>-826</v>
      </c>
      <c r="F47" s="33">
        <f t="shared" si="10"/>
        <v>-211</v>
      </c>
      <c r="G47" s="33">
        <f t="shared" si="10"/>
        <v>-236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C20-89B1-439B-BFE9-C70641B81256}">
  <dimension ref="B2:L45"/>
  <sheetViews>
    <sheetView tabSelected="1" zoomScale="94" zoomScaleNormal="115" workbookViewId="0">
      <selection activeCell="M22" sqref="M22"/>
    </sheetView>
  </sheetViews>
  <sheetFormatPr defaultRowHeight="14.4" x14ac:dyDescent="0.3"/>
  <cols>
    <col min="5" max="5" width="10.5546875" customWidth="1"/>
    <col min="6" max="6" width="19" customWidth="1"/>
    <col min="7" max="7" width="12" customWidth="1"/>
    <col min="8" max="8" width="12.33203125" customWidth="1"/>
    <col min="9" max="9" width="10.44140625" customWidth="1"/>
    <col min="10" max="10" width="12.109375" customWidth="1"/>
    <col min="11" max="11" width="10.88671875" customWidth="1"/>
  </cols>
  <sheetData>
    <row r="2" spans="2:12" x14ac:dyDescent="0.3"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2:12" x14ac:dyDescent="0.3">
      <c r="B3" s="12" t="s">
        <v>100</v>
      </c>
      <c r="C3" s="31"/>
      <c r="D3" s="31"/>
      <c r="E3" s="31"/>
      <c r="F3" s="13">
        <v>45352</v>
      </c>
      <c r="G3" s="13">
        <v>45717</v>
      </c>
      <c r="H3" s="13">
        <v>46082</v>
      </c>
      <c r="I3" s="13">
        <v>46447</v>
      </c>
      <c r="J3" s="13">
        <v>46813</v>
      </c>
      <c r="K3" s="13">
        <v>47178</v>
      </c>
    </row>
    <row r="5" spans="2:12" x14ac:dyDescent="0.3">
      <c r="B5" t="s">
        <v>85</v>
      </c>
      <c r="F5" s="47">
        <f>HistoricalFS!L27</f>
        <v>539.65000000000066</v>
      </c>
      <c r="G5" s="47">
        <f>F5*(1+$E$19)</f>
        <v>577.96515000000068</v>
      </c>
      <c r="H5" s="47">
        <f>G5*(1+$E$19)</f>
        <v>619.00067565000074</v>
      </c>
      <c r="I5" s="47">
        <f t="shared" ref="H5:K5" si="0">H5*(1+$E$19)</f>
        <v>662.94972362115072</v>
      </c>
      <c r="J5" s="47">
        <f t="shared" si="0"/>
        <v>710.01915399825236</v>
      </c>
      <c r="K5" s="47">
        <f t="shared" si="0"/>
        <v>760.43051393212829</v>
      </c>
    </row>
    <row r="7" spans="2:12" x14ac:dyDescent="0.3">
      <c r="B7" t="s">
        <v>101</v>
      </c>
      <c r="F7" s="48">
        <v>0.25</v>
      </c>
      <c r="G7" s="48">
        <f>F7</f>
        <v>0.25</v>
      </c>
      <c r="H7" s="48">
        <f t="shared" ref="H7:K7" si="1">G7</f>
        <v>0.25</v>
      </c>
      <c r="I7" s="48">
        <f t="shared" si="1"/>
        <v>0.25</v>
      </c>
      <c r="J7" s="48">
        <f t="shared" si="1"/>
        <v>0.25</v>
      </c>
      <c r="K7" s="48">
        <f t="shared" si="1"/>
        <v>0.25</v>
      </c>
    </row>
    <row r="9" spans="2:12" x14ac:dyDescent="0.3">
      <c r="B9" t="s">
        <v>102</v>
      </c>
      <c r="F9" s="47">
        <f>F5*(1-F7)</f>
        <v>404.73750000000052</v>
      </c>
      <c r="G9" s="47">
        <f t="shared" ref="G9:K9" si="2">G5*(1-G7)</f>
        <v>433.47386250000051</v>
      </c>
      <c r="H9" s="47">
        <f t="shared" si="2"/>
        <v>464.25050673750059</v>
      </c>
      <c r="I9" s="47">
        <f t="shared" si="2"/>
        <v>497.21229271586304</v>
      </c>
      <c r="J9" s="47">
        <f t="shared" si="2"/>
        <v>532.51436549868924</v>
      </c>
      <c r="K9" s="47">
        <f t="shared" si="2"/>
        <v>570.32288544909625</v>
      </c>
    </row>
    <row r="11" spans="2:12" x14ac:dyDescent="0.3">
      <c r="B11" t="s">
        <v>103</v>
      </c>
      <c r="F11" s="48">
        <v>0.41189999999999999</v>
      </c>
      <c r="G11" s="48">
        <f>F11</f>
        <v>0.41189999999999999</v>
      </c>
      <c r="H11" s="48">
        <f t="shared" ref="H11:K11" si="3">G11</f>
        <v>0.41189999999999999</v>
      </c>
      <c r="I11" s="48">
        <f t="shared" si="3"/>
        <v>0.41189999999999999</v>
      </c>
      <c r="J11" s="48">
        <f t="shared" si="3"/>
        <v>0.41189999999999999</v>
      </c>
      <c r="K11" s="48">
        <f t="shared" si="3"/>
        <v>0.41189999999999999</v>
      </c>
      <c r="L11" s="100" t="s">
        <v>172</v>
      </c>
    </row>
    <row r="13" spans="2:12" ht="15" thickBot="1" x14ac:dyDescent="0.35">
      <c r="B13" s="35" t="s">
        <v>104</v>
      </c>
      <c r="C13" s="35"/>
      <c r="D13" s="35"/>
      <c r="E13" s="35"/>
      <c r="F13" s="49">
        <f>F9*(1-F11)</f>
        <v>238.02612375000032</v>
      </c>
      <c r="G13" s="49">
        <f>G9*(1-G11)</f>
        <v>254.92597853625034</v>
      </c>
      <c r="H13" s="49">
        <f>H9*(1-H11)</f>
        <v>273.02572301232414</v>
      </c>
      <c r="I13" s="49">
        <f>I9*(1-I11)</f>
        <v>292.4105493461991</v>
      </c>
      <c r="J13" s="49">
        <f>J9*(1-J11)</f>
        <v>313.17169834977921</v>
      </c>
      <c r="K13" s="49">
        <f>K9*(1-K11)</f>
        <v>335.40688893261353</v>
      </c>
    </row>
    <row r="15" spans="2:12" x14ac:dyDescent="0.3">
      <c r="B15" t="s">
        <v>105</v>
      </c>
      <c r="F15" s="50">
        <f>1/(1+$E$26)^F2</f>
        <v>1</v>
      </c>
      <c r="G15" s="50">
        <f>1/(1+$E$26)^G2</f>
        <v>0.91132780461131879</v>
      </c>
      <c r="H15" s="50">
        <f>1/(1+$E$26)^H2</f>
        <v>0.83051836745768604</v>
      </c>
      <c r="I15" s="50">
        <f>1/(1+$E$26)^I2</f>
        <v>0.7568744805045895</v>
      </c>
      <c r="J15" s="50">
        <f>1/(1+$E$26)^J2</f>
        <v>0.68976075868457998</v>
      </c>
      <c r="K15" s="50">
        <f>1/(1+$E$26)^K2</f>
        <v>0.62859815791905593</v>
      </c>
    </row>
    <row r="17" spans="2:11" ht="15" thickBot="1" x14ac:dyDescent="0.35">
      <c r="B17" s="35" t="s">
        <v>106</v>
      </c>
      <c r="C17" s="35"/>
      <c r="D17" s="35"/>
      <c r="E17" s="35"/>
      <c r="F17" s="49">
        <f>F15*F13</f>
        <v>238.02612375000032</v>
      </c>
      <c r="G17" s="49">
        <f>G15*G13</f>
        <v>232.32113235783319</v>
      </c>
      <c r="H17" s="49">
        <f>H15*H13</f>
        <v>226.75287775014982</v>
      </c>
      <c r="I17" s="49">
        <f t="shared" ref="G17:J17" si="4">I15*I13</f>
        <v>221.31808263046608</v>
      </c>
      <c r="J17" s="49">
        <f t="shared" si="4"/>
        <v>216.01354825228213</v>
      </c>
      <c r="K17" s="49">
        <f>K15*K13</f>
        <v>210.83615253640224</v>
      </c>
    </row>
    <row r="19" spans="2:11" x14ac:dyDescent="0.3">
      <c r="B19" s="51" t="s">
        <v>107</v>
      </c>
      <c r="C19" s="51"/>
      <c r="D19" s="52"/>
      <c r="E19" s="52">
        <v>7.0999999999999994E-2</v>
      </c>
      <c r="F19" s="61" t="s">
        <v>172</v>
      </c>
    </row>
    <row r="20" spans="2:11" x14ac:dyDescent="0.3">
      <c r="B20" s="51" t="s">
        <v>108</v>
      </c>
      <c r="C20" s="51"/>
      <c r="D20" s="52"/>
      <c r="E20" s="52">
        <v>7.0000000000000007E-2</v>
      </c>
      <c r="F20" t="s">
        <v>173</v>
      </c>
    </row>
    <row r="23" spans="2:11" x14ac:dyDescent="0.3">
      <c r="B23" s="12" t="s">
        <v>109</v>
      </c>
      <c r="C23" s="31"/>
      <c r="D23" s="31"/>
      <c r="E23" s="31"/>
      <c r="G23" s="14"/>
      <c r="H23" s="57"/>
      <c r="I23" s="57"/>
      <c r="J23" s="57"/>
      <c r="K23" s="57"/>
    </row>
    <row r="24" spans="2:11" x14ac:dyDescent="0.3">
      <c r="G24" s="58"/>
      <c r="H24" s="53"/>
      <c r="I24" s="53"/>
      <c r="J24" s="53"/>
      <c r="K24" s="53"/>
    </row>
    <row r="25" spans="2:11" x14ac:dyDescent="0.3">
      <c r="B25" t="s">
        <v>110</v>
      </c>
      <c r="E25" s="47">
        <f>K13*(1+E19)</f>
        <v>359.22077804682908</v>
      </c>
      <c r="G25" s="59"/>
      <c r="H25" s="60"/>
      <c r="I25" s="60"/>
      <c r="J25" s="60"/>
      <c r="K25" s="60"/>
    </row>
    <row r="26" spans="2:11" x14ac:dyDescent="0.3">
      <c r="B26" t="s">
        <v>111</v>
      </c>
      <c r="E26" s="53">
        <v>9.7299999999999998E-2</v>
      </c>
      <c r="F26" s="61" t="s">
        <v>122</v>
      </c>
      <c r="G26" s="59"/>
      <c r="H26" s="60"/>
      <c r="I26" s="60"/>
      <c r="J26" s="60"/>
      <c r="K26" s="60"/>
    </row>
    <row r="27" spans="2:11" x14ac:dyDescent="0.3">
      <c r="B27" t="s">
        <v>112</v>
      </c>
      <c r="E27" s="48">
        <f>E20</f>
        <v>7.0000000000000007E-2</v>
      </c>
      <c r="G27" s="59"/>
      <c r="H27" s="60"/>
      <c r="I27" s="60"/>
      <c r="J27" s="60"/>
      <c r="K27" s="60"/>
    </row>
    <row r="28" spans="2:11" x14ac:dyDescent="0.3">
      <c r="G28" s="59"/>
      <c r="H28" s="60"/>
      <c r="I28" s="60"/>
      <c r="J28" s="60"/>
      <c r="K28" s="60"/>
    </row>
    <row r="29" spans="2:11" ht="15" thickBot="1" x14ac:dyDescent="0.35">
      <c r="B29" s="35" t="s">
        <v>113</v>
      </c>
      <c r="C29" s="35"/>
      <c r="D29" s="35"/>
      <c r="E29" s="49">
        <f>E25/(E26-E27)</f>
        <v>13158.270258125613</v>
      </c>
      <c r="G29" s="59"/>
      <c r="H29" s="60"/>
      <c r="I29" s="60"/>
      <c r="J29" s="60"/>
      <c r="K29" s="60"/>
    </row>
    <row r="30" spans="2:11" x14ac:dyDescent="0.3">
      <c r="J30" s="54"/>
    </row>
    <row r="32" spans="2:11" x14ac:dyDescent="0.3">
      <c r="B32" s="12" t="s">
        <v>114</v>
      </c>
      <c r="C32" s="31"/>
      <c r="D32" s="31"/>
      <c r="E32" s="31"/>
    </row>
    <row r="34" spans="2:5" x14ac:dyDescent="0.3">
      <c r="B34" t="s">
        <v>106</v>
      </c>
      <c r="E34" s="47">
        <f>SUM(G17:K17)</f>
        <v>1107.2417935271335</v>
      </c>
    </row>
    <row r="35" spans="2:5" x14ac:dyDescent="0.3">
      <c r="B35" t="s">
        <v>115</v>
      </c>
      <c r="E35" s="55">
        <f>E29*K15</f>
        <v>8271.2644456588605</v>
      </c>
    </row>
    <row r="36" spans="2:5" x14ac:dyDescent="0.3">
      <c r="B36" s="28" t="s">
        <v>116</v>
      </c>
      <c r="C36" s="28"/>
      <c r="D36" s="28"/>
      <c r="E36" s="56">
        <f>SUM(E34:E35)</f>
        <v>9378.5062391859938</v>
      </c>
    </row>
    <row r="38" spans="2:5" x14ac:dyDescent="0.3">
      <c r="B38" t="s">
        <v>117</v>
      </c>
      <c r="E38">
        <f>'Data Sheet'!K68</f>
        <v>885.18</v>
      </c>
    </row>
    <row r="39" spans="2:5" x14ac:dyDescent="0.3">
      <c r="B39" t="s">
        <v>118</v>
      </c>
      <c r="E39">
        <f>'Data Sheet'!K59</f>
        <v>16.53</v>
      </c>
    </row>
    <row r="40" spans="2:5" x14ac:dyDescent="0.3">
      <c r="B40" s="28" t="s">
        <v>119</v>
      </c>
      <c r="C40" s="28"/>
      <c r="D40" s="28"/>
      <c r="E40" s="56">
        <f>E36+E38-E39</f>
        <v>10247.156239185993</v>
      </c>
    </row>
    <row r="41" spans="2:5" x14ac:dyDescent="0.3">
      <c r="B41" t="s">
        <v>120</v>
      </c>
      <c r="E41" s="47">
        <f>'Data Sheet'!B6</f>
        <v>13.624559315730755</v>
      </c>
    </row>
    <row r="42" spans="2:5" x14ac:dyDescent="0.3">
      <c r="B42" s="28" t="s">
        <v>121</v>
      </c>
      <c r="C42" s="28"/>
      <c r="D42" s="28"/>
      <c r="E42" s="62">
        <f>E40/E41</f>
        <v>752.1091876604587</v>
      </c>
    </row>
    <row r="43" spans="2:5" x14ac:dyDescent="0.3">
      <c r="B43" s="28" t="s">
        <v>123</v>
      </c>
      <c r="C43" s="28"/>
      <c r="D43" s="28"/>
      <c r="E43" s="28">
        <f>'Data Sheet'!B8</f>
        <v>672.25</v>
      </c>
    </row>
    <row r="45" spans="2:5" x14ac:dyDescent="0.3">
      <c r="B45" s="28" t="s">
        <v>124</v>
      </c>
      <c r="E45" s="28" t="s">
        <v>125</v>
      </c>
    </row>
  </sheetData>
  <hyperlinks>
    <hyperlink ref="F26" r:id="rId1" xr:uid="{4450924B-E629-47DF-806A-6F9F61403B0C}"/>
    <hyperlink ref="F19" r:id="rId2" xr:uid="{361AD76A-9529-45E8-B19D-C485CF7693F6}"/>
    <hyperlink ref="L11" r:id="rId3" xr:uid="{6E7FDE7B-4FBA-4B78-8E35-DBEDB41D774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5FA7-CEA2-4929-BF55-2DF62EA56EC7}">
  <dimension ref="B2:T16"/>
  <sheetViews>
    <sheetView workbookViewId="0">
      <selection activeCell="E25" sqref="E25"/>
    </sheetView>
  </sheetViews>
  <sheetFormatPr defaultRowHeight="14.4" x14ac:dyDescent="0.3"/>
  <cols>
    <col min="2" max="2" width="23.88671875" customWidth="1"/>
    <col min="5" max="5" width="10.5546875" customWidth="1"/>
    <col min="6" max="6" width="10.109375" customWidth="1"/>
    <col min="16" max="16" width="11.77734375" customWidth="1"/>
  </cols>
  <sheetData>
    <row r="2" spans="2:20" x14ac:dyDescent="0.3">
      <c r="B2" s="12" t="s">
        <v>126</v>
      </c>
      <c r="C2" s="12" t="s">
        <v>127</v>
      </c>
      <c r="D2" s="12" t="s">
        <v>128</v>
      </c>
      <c r="E2" s="12" t="s">
        <v>129</v>
      </c>
      <c r="F2" s="12" t="s">
        <v>130</v>
      </c>
      <c r="G2" s="12" t="s">
        <v>131</v>
      </c>
      <c r="H2" s="12" t="s">
        <v>132</v>
      </c>
      <c r="I2" s="12" t="s">
        <v>133</v>
      </c>
      <c r="J2" s="12" t="s">
        <v>12</v>
      </c>
      <c r="K2" s="12" t="s">
        <v>71</v>
      </c>
      <c r="L2" s="12" t="s">
        <v>134</v>
      </c>
      <c r="M2" s="12" t="s">
        <v>135</v>
      </c>
      <c r="N2" s="12" t="s">
        <v>135</v>
      </c>
      <c r="O2" s="12" t="s">
        <v>136</v>
      </c>
      <c r="P2" s="12" t="s">
        <v>137</v>
      </c>
      <c r="Q2" s="12" t="s">
        <v>28</v>
      </c>
    </row>
    <row r="3" spans="2:20" x14ac:dyDescent="0.3">
      <c r="B3" t="s">
        <v>160</v>
      </c>
      <c r="C3" s="47">
        <v>672.25</v>
      </c>
      <c r="D3" s="47">
        <v>13.62</v>
      </c>
      <c r="E3" s="47">
        <v>9159.11</v>
      </c>
      <c r="F3" s="47">
        <v>8438.5499999999993</v>
      </c>
      <c r="G3" s="47">
        <v>13.62</v>
      </c>
      <c r="H3" s="47">
        <v>16.53</v>
      </c>
      <c r="I3" s="47">
        <v>737.09</v>
      </c>
      <c r="J3" s="47">
        <v>5321.5</v>
      </c>
      <c r="K3" s="47">
        <v>393.81</v>
      </c>
      <c r="L3" s="47">
        <v>24.17</v>
      </c>
      <c r="M3" s="47">
        <v>13.67</v>
      </c>
      <c r="N3" s="47">
        <v>13.67</v>
      </c>
      <c r="O3" s="47">
        <v>3.87</v>
      </c>
      <c r="P3" s="47">
        <v>2365.48</v>
      </c>
      <c r="Q3" s="47">
        <v>565.29999999999995</v>
      </c>
    </row>
    <row r="4" spans="2:20" x14ac:dyDescent="0.3">
      <c r="B4" t="s">
        <v>156</v>
      </c>
      <c r="C4" s="47">
        <v>953.25</v>
      </c>
      <c r="D4" s="47">
        <v>25.04</v>
      </c>
      <c r="E4" s="47">
        <v>23867.68</v>
      </c>
      <c r="F4" s="47">
        <v>23830.82</v>
      </c>
      <c r="G4" s="47">
        <v>25.04</v>
      </c>
      <c r="H4" s="47">
        <v>138.6</v>
      </c>
      <c r="I4" s="47">
        <v>175.46</v>
      </c>
      <c r="J4" s="47">
        <v>2378.56</v>
      </c>
      <c r="K4" s="47">
        <v>269.73</v>
      </c>
      <c r="L4" s="47">
        <v>83.15</v>
      </c>
      <c r="M4" s="47">
        <v>53.66</v>
      </c>
      <c r="N4" s="47">
        <v>53.66</v>
      </c>
      <c r="O4" s="47">
        <v>19.48</v>
      </c>
      <c r="P4" s="47">
        <v>1225.54</v>
      </c>
      <c r="Q4" s="47">
        <v>421.33</v>
      </c>
    </row>
    <row r="5" spans="2:20" x14ac:dyDescent="0.3">
      <c r="B5" t="s">
        <v>157</v>
      </c>
      <c r="C5" s="47">
        <v>432.45</v>
      </c>
      <c r="D5" s="47">
        <v>34.729999999999997</v>
      </c>
      <c r="E5" s="47">
        <v>15016.95</v>
      </c>
      <c r="F5" s="47">
        <v>15884.09</v>
      </c>
      <c r="G5" s="47">
        <v>34.729999999999997</v>
      </c>
      <c r="H5" s="47">
        <v>917.48</v>
      </c>
      <c r="I5" s="47">
        <v>50.34</v>
      </c>
      <c r="J5" s="47">
        <v>8064.84</v>
      </c>
      <c r="K5" s="47">
        <v>597.6</v>
      </c>
      <c r="L5" s="47">
        <v>24.66</v>
      </c>
      <c r="M5" s="47">
        <v>14.98</v>
      </c>
      <c r="N5" s="47">
        <v>14.98</v>
      </c>
      <c r="O5" s="47">
        <v>4.45</v>
      </c>
      <c r="P5" s="47">
        <v>3371.63</v>
      </c>
      <c r="Q5" s="47">
        <v>1034.6500000000001</v>
      </c>
    </row>
    <row r="6" spans="2:20" x14ac:dyDescent="0.3">
      <c r="B6" t="s">
        <v>158</v>
      </c>
      <c r="C6" s="47">
        <v>2080.65</v>
      </c>
      <c r="D6" s="47">
        <v>6.36</v>
      </c>
      <c r="E6" s="47">
        <v>13239.62</v>
      </c>
      <c r="F6" s="47">
        <v>13328.82</v>
      </c>
      <c r="G6" s="47">
        <v>63.6</v>
      </c>
      <c r="H6" s="47">
        <v>328.7</v>
      </c>
      <c r="I6" s="47">
        <v>239.5</v>
      </c>
      <c r="J6" s="47">
        <v>2466.6999999999998</v>
      </c>
      <c r="K6" s="47">
        <v>266.89999999999998</v>
      </c>
      <c r="L6" s="47">
        <v>43.52</v>
      </c>
      <c r="M6" s="47">
        <v>36.56</v>
      </c>
      <c r="N6" s="47">
        <v>36.56</v>
      </c>
      <c r="O6" s="47">
        <v>2.4700000000000002</v>
      </c>
      <c r="P6" s="47">
        <v>5357.5</v>
      </c>
      <c r="Q6" s="47">
        <v>320</v>
      </c>
    </row>
    <row r="7" spans="2:20" x14ac:dyDescent="0.3">
      <c r="B7" t="s">
        <v>159</v>
      </c>
      <c r="C7" s="47">
        <v>2115.6999999999998</v>
      </c>
      <c r="D7" s="47">
        <v>6.14</v>
      </c>
      <c r="E7" s="47">
        <v>12990</v>
      </c>
      <c r="F7" s="47">
        <v>13107.79</v>
      </c>
      <c r="G7" s="47">
        <v>58.78</v>
      </c>
      <c r="H7" s="47">
        <v>244.9</v>
      </c>
      <c r="I7" s="47">
        <v>127.11</v>
      </c>
      <c r="J7" s="47">
        <v>1689.18</v>
      </c>
      <c r="K7" s="47">
        <v>140.36000000000001</v>
      </c>
      <c r="L7" s="47">
        <v>92.17</v>
      </c>
      <c r="M7" s="47">
        <v>49.53</v>
      </c>
      <c r="N7" s="47">
        <v>49.53</v>
      </c>
      <c r="O7" s="47">
        <v>18.77</v>
      </c>
      <c r="P7" s="47">
        <v>662.89</v>
      </c>
      <c r="Q7" s="47">
        <v>261.58</v>
      </c>
    </row>
    <row r="8" spans="2:20" x14ac:dyDescent="0.3">
      <c r="B8" t="s">
        <v>155</v>
      </c>
      <c r="C8" s="47">
        <v>1206.3</v>
      </c>
      <c r="D8" s="47">
        <v>22.27</v>
      </c>
      <c r="E8" s="47">
        <v>26870.12</v>
      </c>
      <c r="F8" s="47">
        <v>29515.11</v>
      </c>
      <c r="G8" s="47">
        <v>22.28</v>
      </c>
      <c r="H8" s="47">
        <v>2698.3</v>
      </c>
      <c r="I8" s="47">
        <v>53.31</v>
      </c>
      <c r="J8" s="47">
        <v>8214.82</v>
      </c>
      <c r="K8" s="47">
        <v>267.29000000000002</v>
      </c>
      <c r="L8" s="47">
        <v>84.59</v>
      </c>
      <c r="M8" s="47">
        <v>29.5</v>
      </c>
      <c r="N8" s="47">
        <v>29.5</v>
      </c>
      <c r="O8" s="47">
        <v>17.09</v>
      </c>
      <c r="P8" s="47">
        <v>1572.25</v>
      </c>
      <c r="Q8" s="47">
        <v>904.53</v>
      </c>
    </row>
    <row r="9" spans="2:20" x14ac:dyDescent="0.3">
      <c r="B9" t="s">
        <v>161</v>
      </c>
      <c r="C9" s="47">
        <v>1207.55</v>
      </c>
      <c r="D9" s="47">
        <v>6.03</v>
      </c>
      <c r="E9" s="47">
        <v>7284.88</v>
      </c>
      <c r="F9" s="47">
        <v>7227.23</v>
      </c>
      <c r="G9" s="47">
        <v>59.49</v>
      </c>
      <c r="H9" s="47">
        <v>45.79</v>
      </c>
      <c r="I9" s="47">
        <v>103.44</v>
      </c>
      <c r="J9" s="47">
        <v>3213.64</v>
      </c>
      <c r="K9" s="47">
        <v>166.74</v>
      </c>
      <c r="L9" s="47">
        <v>37.020000000000003</v>
      </c>
      <c r="M9" s="47">
        <v>20.13</v>
      </c>
      <c r="N9" s="47">
        <v>20.13</v>
      </c>
      <c r="O9" s="47">
        <v>6.31</v>
      </c>
      <c r="P9" s="47">
        <v>1138.8699999999999</v>
      </c>
      <c r="Q9" s="47">
        <v>311.81</v>
      </c>
    </row>
    <row r="10" spans="2:20" x14ac:dyDescent="0.3">
      <c r="B10" t="s">
        <v>162</v>
      </c>
      <c r="C10" s="47">
        <v>304.05</v>
      </c>
      <c r="D10" s="47">
        <v>22.89</v>
      </c>
      <c r="E10" s="47">
        <v>6959.4</v>
      </c>
      <c r="F10" s="47">
        <v>7473.76</v>
      </c>
      <c r="G10" s="47">
        <v>22.89</v>
      </c>
      <c r="H10" s="47">
        <v>544.57000000000005</v>
      </c>
      <c r="I10" s="47">
        <v>30.21</v>
      </c>
      <c r="J10" s="47">
        <v>5168.8500000000004</v>
      </c>
      <c r="K10" s="47">
        <v>595.86</v>
      </c>
      <c r="L10" s="47">
        <v>14.27</v>
      </c>
      <c r="M10" s="47">
        <v>9.84</v>
      </c>
      <c r="N10" s="47">
        <v>9.84</v>
      </c>
      <c r="O10" s="47">
        <v>1.43</v>
      </c>
      <c r="P10" s="47">
        <v>4857.91</v>
      </c>
      <c r="Q10" s="47">
        <v>899.28</v>
      </c>
    </row>
    <row r="11" spans="2:20" x14ac:dyDescent="0.3">
      <c r="B11" t="s">
        <v>163</v>
      </c>
      <c r="C11" s="47">
        <v>598.65</v>
      </c>
      <c r="D11" s="47">
        <v>9.2799999999999994</v>
      </c>
      <c r="E11" s="47">
        <v>5555.23</v>
      </c>
      <c r="F11" s="47">
        <v>5603.79</v>
      </c>
      <c r="G11" s="47">
        <v>46.4</v>
      </c>
      <c r="H11" s="47">
        <v>132.38</v>
      </c>
      <c r="I11" s="47">
        <v>83.82</v>
      </c>
      <c r="J11" s="47">
        <v>3902.89</v>
      </c>
      <c r="K11" s="47">
        <v>106.55</v>
      </c>
      <c r="L11" s="47">
        <v>37.47</v>
      </c>
      <c r="M11" s="47">
        <v>20.79</v>
      </c>
      <c r="N11" s="47">
        <v>20.79</v>
      </c>
      <c r="O11" s="47">
        <v>6.9</v>
      </c>
      <c r="P11" s="47">
        <v>804.97</v>
      </c>
      <c r="Q11" s="47">
        <v>208.94</v>
      </c>
    </row>
    <row r="12" spans="2:20" x14ac:dyDescent="0.3">
      <c r="B12" t="s">
        <v>164</v>
      </c>
      <c r="C12" s="47">
        <v>381.65</v>
      </c>
      <c r="D12" s="47">
        <v>12.46</v>
      </c>
      <c r="E12" s="47">
        <v>4755.53</v>
      </c>
      <c r="F12" s="47">
        <v>4798.8900000000003</v>
      </c>
      <c r="G12" s="47">
        <v>12.46</v>
      </c>
      <c r="H12" s="47">
        <v>67.48</v>
      </c>
      <c r="I12" s="47">
        <v>24.12</v>
      </c>
      <c r="J12" s="47">
        <v>1438.33</v>
      </c>
      <c r="K12" s="47">
        <v>99.57</v>
      </c>
      <c r="L12" s="47">
        <v>49.79</v>
      </c>
      <c r="M12" s="47">
        <v>28.79</v>
      </c>
      <c r="N12" s="47">
        <v>28.79</v>
      </c>
      <c r="O12" s="47">
        <v>12.18</v>
      </c>
      <c r="P12" s="47">
        <v>390.36</v>
      </c>
      <c r="Q12" s="47">
        <v>172.79</v>
      </c>
    </row>
    <row r="16" spans="2:20" x14ac:dyDescent="0.3">
      <c r="T16" s="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47C6-231D-4DE9-91BE-C05E9BB319D5}">
  <dimension ref="B2:P28"/>
  <sheetViews>
    <sheetView showGridLines="0" topLeftCell="A5" workbookViewId="0">
      <selection activeCell="L20" sqref="L20"/>
    </sheetView>
  </sheetViews>
  <sheetFormatPr defaultRowHeight="14.4" x14ac:dyDescent="0.3"/>
  <cols>
    <col min="13" max="16" width="12.88671875" customWidth="1"/>
  </cols>
  <sheetData>
    <row r="2" spans="2:16" ht="43.2" x14ac:dyDescent="0.3">
      <c r="B2" s="63" t="s">
        <v>138</v>
      </c>
      <c r="C2" s="63"/>
      <c r="D2" s="64" t="s">
        <v>139</v>
      </c>
      <c r="E2" s="64" t="s">
        <v>140</v>
      </c>
      <c r="F2" s="64" t="s">
        <v>141</v>
      </c>
      <c r="G2" s="64" t="s">
        <v>123</v>
      </c>
      <c r="H2" s="64" t="s">
        <v>154</v>
      </c>
      <c r="I2" s="65" t="s">
        <v>142</v>
      </c>
      <c r="J2" s="65" t="s">
        <v>28</v>
      </c>
      <c r="K2" s="65" t="s">
        <v>143</v>
      </c>
      <c r="L2" s="65"/>
      <c r="M2" s="65" t="s">
        <v>144</v>
      </c>
      <c r="N2" s="65" t="s">
        <v>135</v>
      </c>
      <c r="O2" s="65" t="s">
        <v>145</v>
      </c>
      <c r="P2" s="65" t="s">
        <v>153</v>
      </c>
    </row>
    <row r="3" spans="2:16" x14ac:dyDescent="0.3">
      <c r="B3" s="66"/>
      <c r="C3" s="66"/>
      <c r="D3" s="67"/>
      <c r="E3" s="67"/>
      <c r="F3" s="67"/>
      <c r="G3" s="67"/>
      <c r="H3" s="68"/>
      <c r="I3" s="68"/>
      <c r="J3" s="68"/>
      <c r="K3" s="68"/>
      <c r="L3" s="68"/>
      <c r="M3" s="68"/>
      <c r="N3" s="68"/>
      <c r="O3" s="68"/>
    </row>
    <row r="4" spans="2:16" x14ac:dyDescent="0.3">
      <c r="B4" s="81" t="str">
        <f>'Raw data'!B3</f>
        <v>Avanti Feeds</v>
      </c>
      <c r="C4" s="82"/>
      <c r="D4" s="90">
        <f>'Raw data'!E3</f>
        <v>9159.11</v>
      </c>
      <c r="E4" s="71">
        <f>'Raw data'!H3-'Raw data'!I3</f>
        <v>-720.56000000000006</v>
      </c>
      <c r="F4" s="83">
        <f>D4+E4</f>
        <v>8438.5500000000011</v>
      </c>
      <c r="G4" s="71">
        <f>'Raw data'!C3</f>
        <v>672.25</v>
      </c>
      <c r="H4" s="84">
        <f>'Raw data'!P3</f>
        <v>2365.48</v>
      </c>
      <c r="I4" s="84">
        <f>'Raw data'!J3</f>
        <v>5321.5</v>
      </c>
      <c r="J4" s="84">
        <f>'Raw data'!Q3</f>
        <v>565.29999999999995</v>
      </c>
      <c r="K4" s="84">
        <f>'Raw data'!K3</f>
        <v>393.81</v>
      </c>
      <c r="L4" s="85"/>
      <c r="M4" s="86">
        <f>F4/I4</f>
        <v>1.5857465000469795</v>
      </c>
      <c r="N4" s="86">
        <f>'Raw data'!M8</f>
        <v>29.5</v>
      </c>
      <c r="O4" s="87">
        <f>D4/K4</f>
        <v>23.257687717427189</v>
      </c>
      <c r="P4" s="87">
        <f>'Raw data'!O8</f>
        <v>17.09</v>
      </c>
    </row>
    <row r="5" spans="2:16" x14ac:dyDescent="0.3">
      <c r="B5" s="69" t="str">
        <f>'Raw data'!B4</f>
        <v>Bikaji Foods</v>
      </c>
      <c r="C5" s="91"/>
      <c r="D5" s="90">
        <f>'Raw data'!E4</f>
        <v>23867.68</v>
      </c>
      <c r="E5" s="70">
        <f>'Raw data'!H4-'Raw data'!I4</f>
        <v>-36.860000000000014</v>
      </c>
      <c r="F5" s="90">
        <f t="shared" ref="F5:F13" si="0">D5+E5</f>
        <v>23830.82</v>
      </c>
      <c r="G5" s="70">
        <f>'Raw data'!C4</f>
        <v>953.25</v>
      </c>
      <c r="H5" s="72">
        <f>'Raw data'!P4</f>
        <v>1225.54</v>
      </c>
      <c r="I5" s="72">
        <f>'Raw data'!J4</f>
        <v>2378.56</v>
      </c>
      <c r="J5" s="72">
        <f>'Raw data'!Q4</f>
        <v>421.33</v>
      </c>
      <c r="K5" s="72">
        <f>'Raw data'!K4</f>
        <v>269.73</v>
      </c>
      <c r="L5" s="92"/>
      <c r="M5" s="73">
        <f t="shared" ref="M5:M13" si="1">F5/I5</f>
        <v>10.019011502757971</v>
      </c>
      <c r="N5" s="73">
        <f>'Raw data'!M4</f>
        <v>53.66</v>
      </c>
      <c r="O5" s="80">
        <f>D5/K5</f>
        <v>88.487302116931744</v>
      </c>
      <c r="P5" s="80">
        <f>'Raw data'!O4</f>
        <v>19.48</v>
      </c>
    </row>
    <row r="6" spans="2:16" x14ac:dyDescent="0.3">
      <c r="B6" s="69" t="str">
        <f>'Raw data'!B5</f>
        <v>L T Foods</v>
      </c>
      <c r="C6" s="91"/>
      <c r="D6" s="90">
        <f>'Raw data'!E5</f>
        <v>15016.95</v>
      </c>
      <c r="E6" s="70">
        <f>'Raw data'!H5-'Raw data'!I5</f>
        <v>867.14</v>
      </c>
      <c r="F6" s="90">
        <f t="shared" si="0"/>
        <v>15884.09</v>
      </c>
      <c r="G6" s="70">
        <f>'Raw data'!C5</f>
        <v>432.45</v>
      </c>
      <c r="H6" s="72">
        <f>'Raw data'!P5</f>
        <v>3371.63</v>
      </c>
      <c r="I6" s="72">
        <f>'Raw data'!J5</f>
        <v>8064.84</v>
      </c>
      <c r="J6" s="72">
        <f>'Raw data'!Q5</f>
        <v>1034.6500000000001</v>
      </c>
      <c r="K6" s="72">
        <f>'Raw data'!K5</f>
        <v>597.6</v>
      </c>
      <c r="L6" s="92"/>
      <c r="M6" s="73">
        <f t="shared" si="1"/>
        <v>1.9695480629497919</v>
      </c>
      <c r="N6" s="73">
        <f>'Raw data'!M5</f>
        <v>14.98</v>
      </c>
      <c r="O6" s="80">
        <f t="shared" ref="O6:O13" si="2">D6/K6</f>
        <v>25.128765060240966</v>
      </c>
      <c r="P6" s="80">
        <f>'Raw data'!O5</f>
        <v>4.45</v>
      </c>
    </row>
    <row r="7" spans="2:16" x14ac:dyDescent="0.3">
      <c r="B7" s="69" t="str">
        <f>'Raw data'!B6</f>
        <v>Zydus Wellness</v>
      </c>
      <c r="C7" s="91"/>
      <c r="D7" s="90">
        <f>'Raw data'!E6</f>
        <v>13239.62</v>
      </c>
      <c r="E7" s="70">
        <f>'Raw data'!H6-'Raw data'!I6</f>
        <v>89.199999999999989</v>
      </c>
      <c r="F7" s="90">
        <f t="shared" si="0"/>
        <v>13328.820000000002</v>
      </c>
      <c r="G7" s="70">
        <f>'Raw data'!C6</f>
        <v>2080.65</v>
      </c>
      <c r="H7" s="72">
        <f>'Raw data'!P6</f>
        <v>5357.5</v>
      </c>
      <c r="I7" s="72">
        <f>'Raw data'!J6</f>
        <v>2466.6999999999998</v>
      </c>
      <c r="J7" s="72">
        <f>'Raw data'!Q6</f>
        <v>320</v>
      </c>
      <c r="K7" s="72">
        <f>'Raw data'!K6</f>
        <v>266.89999999999998</v>
      </c>
      <c r="L7" s="92"/>
      <c r="M7" s="73">
        <f t="shared" si="1"/>
        <v>5.4035026553695227</v>
      </c>
      <c r="N7" s="73">
        <f>'Raw data'!M6</f>
        <v>36.56</v>
      </c>
      <c r="O7" s="80">
        <f t="shared" si="2"/>
        <v>49.605170475833653</v>
      </c>
      <c r="P7" s="80">
        <f>'Raw data'!O6</f>
        <v>2.4700000000000002</v>
      </c>
    </row>
    <row r="8" spans="2:16" x14ac:dyDescent="0.3">
      <c r="B8" s="69" t="str">
        <f>'Raw data'!B7</f>
        <v>Mrs Bectors</v>
      </c>
      <c r="C8" s="91"/>
      <c r="D8" s="90">
        <f>'Raw data'!E7</f>
        <v>12990</v>
      </c>
      <c r="E8" s="70">
        <f>'Raw data'!H7-'Raw data'!I7</f>
        <v>117.79</v>
      </c>
      <c r="F8" s="90">
        <f t="shared" si="0"/>
        <v>13107.79</v>
      </c>
      <c r="G8" s="70">
        <f>'Raw data'!C7</f>
        <v>2115.6999999999998</v>
      </c>
      <c r="H8" s="72">
        <f>'Raw data'!P7</f>
        <v>662.89</v>
      </c>
      <c r="I8" s="72">
        <f>'Raw data'!J7</f>
        <v>1689.18</v>
      </c>
      <c r="J8" s="72">
        <f>'Raw data'!Q7</f>
        <v>261.58</v>
      </c>
      <c r="K8" s="72">
        <f>'Raw data'!K7</f>
        <v>140.36000000000001</v>
      </c>
      <c r="L8" s="92"/>
      <c r="M8" s="73">
        <f t="shared" si="1"/>
        <v>7.7598538936051815</v>
      </c>
      <c r="N8" s="73">
        <f>'Raw data'!M7</f>
        <v>49.53</v>
      </c>
      <c r="O8" s="80">
        <f t="shared" si="2"/>
        <v>92.547734397264165</v>
      </c>
      <c r="P8" s="80">
        <f>'Raw data'!O7</f>
        <v>18.77</v>
      </c>
    </row>
    <row r="9" spans="2:16" x14ac:dyDescent="0.3">
      <c r="B9" s="69" t="str">
        <f>'Raw data'!B8</f>
        <v>Hatsun Agro</v>
      </c>
      <c r="C9" s="91"/>
      <c r="D9" s="90">
        <f>'Raw data'!E8</f>
        <v>26870.12</v>
      </c>
      <c r="E9" s="70">
        <f>'Raw data'!H8-'Raw data'!I8</f>
        <v>2644.9900000000002</v>
      </c>
      <c r="F9" s="90">
        <f t="shared" si="0"/>
        <v>29515.11</v>
      </c>
      <c r="G9" s="70">
        <f>'Raw data'!C8</f>
        <v>1206.3</v>
      </c>
      <c r="H9" s="72">
        <f>'Raw data'!P8</f>
        <v>1572.25</v>
      </c>
      <c r="I9" s="72">
        <f>'Raw data'!J8</f>
        <v>8214.82</v>
      </c>
      <c r="J9" s="72">
        <f>'Raw data'!Q8</f>
        <v>904.53</v>
      </c>
      <c r="K9" s="72">
        <f>'Raw data'!K8</f>
        <v>267.29000000000002</v>
      </c>
      <c r="L9" s="92"/>
      <c r="M9" s="73">
        <f t="shared" si="1"/>
        <v>3.5929101307149764</v>
      </c>
      <c r="N9" s="73">
        <f>'Raw data'!M3</f>
        <v>13.67</v>
      </c>
      <c r="O9" s="80">
        <f t="shared" si="2"/>
        <v>100.52796587975605</v>
      </c>
      <c r="P9" s="80">
        <f>'Raw data'!O3</f>
        <v>3.87</v>
      </c>
    </row>
    <row r="10" spans="2:16" x14ac:dyDescent="0.3">
      <c r="B10" s="69" t="str">
        <f>'Raw data'!B9</f>
        <v>Dodla Dairy</v>
      </c>
      <c r="C10" s="91"/>
      <c r="D10" s="90">
        <f>'Raw data'!E9</f>
        <v>7284.88</v>
      </c>
      <c r="E10" s="70">
        <f>'Raw data'!H9-'Raw data'!I9</f>
        <v>-57.65</v>
      </c>
      <c r="F10" s="90">
        <f t="shared" si="0"/>
        <v>7227.2300000000005</v>
      </c>
      <c r="G10" s="70">
        <f>'Raw data'!C9</f>
        <v>1207.55</v>
      </c>
      <c r="H10" s="72">
        <f>'Raw data'!P9</f>
        <v>1138.8699999999999</v>
      </c>
      <c r="I10" s="72">
        <f>'Raw data'!J9</f>
        <v>3213.64</v>
      </c>
      <c r="J10" s="72">
        <f>'Raw data'!Q9</f>
        <v>311.81</v>
      </c>
      <c r="K10" s="72">
        <f>'Raw data'!K9</f>
        <v>166.74</v>
      </c>
      <c r="L10" s="92"/>
      <c r="M10" s="73">
        <f t="shared" si="1"/>
        <v>2.2489233392663772</v>
      </c>
      <c r="N10" s="73">
        <f>'Raw data'!M9</f>
        <v>20.13</v>
      </c>
      <c r="O10" s="80">
        <f t="shared" si="2"/>
        <v>43.690056375194914</v>
      </c>
      <c r="P10" s="80">
        <f>'Raw data'!O9</f>
        <v>6.31</v>
      </c>
    </row>
    <row r="11" spans="2:16" x14ac:dyDescent="0.3">
      <c r="B11" s="69" t="str">
        <f>'Raw data'!B10</f>
        <v>KRBL</v>
      </c>
      <c r="C11" s="91"/>
      <c r="D11" s="90">
        <f>'Raw data'!E10</f>
        <v>6959.4</v>
      </c>
      <c r="E11" s="70">
        <f>'Raw data'!H10-'Raw data'!I10</f>
        <v>514.36</v>
      </c>
      <c r="F11" s="90">
        <f t="shared" si="0"/>
        <v>7473.7599999999993</v>
      </c>
      <c r="G11" s="70">
        <f>'Raw data'!C10</f>
        <v>304.05</v>
      </c>
      <c r="H11" s="72">
        <f>'Raw data'!P10</f>
        <v>4857.91</v>
      </c>
      <c r="I11" s="72">
        <f>'Raw data'!J10</f>
        <v>5168.8500000000004</v>
      </c>
      <c r="J11" s="72">
        <f>'Raw data'!Q10</f>
        <v>899.28</v>
      </c>
      <c r="K11" s="72">
        <f>'Raw data'!K10</f>
        <v>595.86</v>
      </c>
      <c r="L11" s="92"/>
      <c r="M11" s="73">
        <f t="shared" si="1"/>
        <v>1.445923174400495</v>
      </c>
      <c r="N11" s="73">
        <f>'Raw data'!M10</f>
        <v>9.84</v>
      </c>
      <c r="O11" s="80">
        <f t="shared" si="2"/>
        <v>11.679589165240156</v>
      </c>
      <c r="P11" s="80">
        <f>'Raw data'!O10</f>
        <v>1.43</v>
      </c>
    </row>
    <row r="12" spans="2:16" x14ac:dyDescent="0.3">
      <c r="B12" s="69" t="str">
        <f>'Raw data'!B11</f>
        <v>Heritage Foods</v>
      </c>
      <c r="C12" s="91"/>
      <c r="D12" s="90">
        <f>'Raw data'!E11</f>
        <v>5555.23</v>
      </c>
      <c r="E12" s="70">
        <f>'Raw data'!H11-'Raw data'!I11</f>
        <v>48.56</v>
      </c>
      <c r="F12" s="90">
        <f t="shared" si="0"/>
        <v>5603.79</v>
      </c>
      <c r="G12" s="70">
        <f>'Raw data'!C11</f>
        <v>598.65</v>
      </c>
      <c r="H12" s="72">
        <f>'Raw data'!P11</f>
        <v>804.97</v>
      </c>
      <c r="I12" s="72">
        <f>'Raw data'!J11</f>
        <v>3902.89</v>
      </c>
      <c r="J12" s="72">
        <f>'Raw data'!Q11</f>
        <v>208.94</v>
      </c>
      <c r="K12" s="72">
        <f>'Raw data'!K11</f>
        <v>106.55</v>
      </c>
      <c r="L12" s="98"/>
      <c r="M12" s="73">
        <f t="shared" si="1"/>
        <v>1.4358052622543809</v>
      </c>
      <c r="N12" s="73">
        <f>'Raw data'!M11</f>
        <v>20.79</v>
      </c>
      <c r="O12" s="80">
        <f t="shared" si="2"/>
        <v>52.137306428906612</v>
      </c>
      <c r="P12" s="80">
        <f>'Raw data'!O11</f>
        <v>6.9</v>
      </c>
    </row>
    <row r="13" spans="2:16" x14ac:dyDescent="0.3">
      <c r="B13" s="69" t="str">
        <f>'Raw data'!B12</f>
        <v>Gopal Snacks</v>
      </c>
      <c r="C13" s="91"/>
      <c r="D13" s="90">
        <f>'Raw data'!E12</f>
        <v>4755.53</v>
      </c>
      <c r="E13" s="70">
        <f>'Raw data'!H12-'Raw data'!I12</f>
        <v>43.36</v>
      </c>
      <c r="F13" s="90">
        <f t="shared" si="0"/>
        <v>4798.8899999999994</v>
      </c>
      <c r="G13" s="70">
        <f>'Raw data'!C12</f>
        <v>381.65</v>
      </c>
      <c r="H13" s="72">
        <f>'Raw data'!P12</f>
        <v>390.36</v>
      </c>
      <c r="I13" s="72">
        <f>'Raw data'!J12</f>
        <v>1438.33</v>
      </c>
      <c r="J13" s="72">
        <f>'Raw data'!Q12</f>
        <v>172.79</v>
      </c>
      <c r="K13" s="72">
        <f>'Raw data'!K12</f>
        <v>99.57</v>
      </c>
      <c r="L13" s="98"/>
      <c r="M13" s="73">
        <f t="shared" si="1"/>
        <v>3.3364318341409827</v>
      </c>
      <c r="N13" s="73">
        <f>'Raw data'!M12</f>
        <v>28.79</v>
      </c>
      <c r="O13" s="80">
        <f t="shared" si="2"/>
        <v>47.760670884804661</v>
      </c>
      <c r="P13" s="80">
        <f>'Raw data'!O12</f>
        <v>12.18</v>
      </c>
    </row>
    <row r="15" spans="2:16" x14ac:dyDescent="0.3">
      <c r="B15" s="74" t="s">
        <v>146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>
        <f>AVERAGE(M4:M13)</f>
        <v>3.8797656355506667</v>
      </c>
      <c r="N15" s="75">
        <f>AVERAGE(N4:N13)</f>
        <v>27.744999999999997</v>
      </c>
      <c r="O15" s="75">
        <f>AVERAGE(O4:O13)</f>
        <v>53.482224850160001</v>
      </c>
      <c r="P15" s="75">
        <f>AVERAGE(P4:P13)</f>
        <v>9.2950000000000017</v>
      </c>
    </row>
    <row r="16" spans="2:16" x14ac:dyDescent="0.3">
      <c r="B16" s="74" t="s">
        <v>147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5">
        <f>MEDIAN(M4:M13)</f>
        <v>2.7926775867036797</v>
      </c>
      <c r="N16" s="75">
        <f>MEDIAN(N4:N13)</f>
        <v>24.79</v>
      </c>
      <c r="O16" s="75">
        <f>MEDIAN(O4:O13)</f>
        <v>48.682920680319157</v>
      </c>
      <c r="P16" s="75">
        <f>MEDIAN(P4:P13)</f>
        <v>6.6050000000000004</v>
      </c>
    </row>
    <row r="18" spans="2:16" x14ac:dyDescent="0.3">
      <c r="B18" s="76" t="s">
        <v>148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5" t="s">
        <v>144</v>
      </c>
      <c r="N18" s="11" t="s">
        <v>135</v>
      </c>
      <c r="O18" s="65" t="s">
        <v>145</v>
      </c>
      <c r="P18" s="65" t="s">
        <v>153</v>
      </c>
    </row>
    <row r="20" spans="2:16" x14ac:dyDescent="0.3">
      <c r="B20" s="32" t="s">
        <v>149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77">
        <f>I4*M16</f>
        <v>14861.233777643632</v>
      </c>
      <c r="N20" s="77">
        <f>J4*N16</f>
        <v>14013.786999999998</v>
      </c>
      <c r="O20" s="77"/>
      <c r="P20" s="77"/>
    </row>
    <row r="21" spans="2:16" x14ac:dyDescent="0.3">
      <c r="B21" s="32" t="s">
        <v>140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77">
        <f>E4</f>
        <v>-720.56000000000006</v>
      </c>
      <c r="N21" s="77">
        <f>E4</f>
        <v>-720.56000000000006</v>
      </c>
      <c r="O21" s="77"/>
      <c r="P21" s="77"/>
    </row>
    <row r="22" spans="2:16" x14ac:dyDescent="0.3">
      <c r="B22" s="32" t="s">
        <v>150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77">
        <f>M20-M21</f>
        <v>15581.793777643632</v>
      </c>
      <c r="N22" s="77">
        <f>N20-N21</f>
        <v>14734.346999999998</v>
      </c>
      <c r="O22" s="77">
        <f>K4*O16</f>
        <v>19171.820993116486</v>
      </c>
      <c r="P22" s="77">
        <f>H4*P16</f>
        <v>15623.995400000002</v>
      </c>
    </row>
    <row r="23" spans="2:16" x14ac:dyDescent="0.3">
      <c r="B23" s="32" t="s">
        <v>151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78">
        <f>'Raw data'!D3</f>
        <v>13.62</v>
      </c>
      <c r="N23" s="78">
        <f>M23</f>
        <v>13.62</v>
      </c>
      <c r="O23" s="78">
        <f>N23</f>
        <v>13.62</v>
      </c>
      <c r="P23" s="78">
        <f>O23</f>
        <v>13.62</v>
      </c>
    </row>
    <row r="24" spans="2:16" x14ac:dyDescent="0.3">
      <c r="M24" s="50"/>
      <c r="N24" s="50"/>
      <c r="O24" s="50"/>
    </row>
    <row r="25" spans="2:16" x14ac:dyDescent="0.3">
      <c r="B25" s="79" t="s">
        <v>152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94">
        <f>M22/M23</f>
        <v>1144.0377222939526</v>
      </c>
      <c r="N25" s="94">
        <f t="shared" ref="N25:O25" si="3">N22/N23</f>
        <v>1081.8169603524227</v>
      </c>
      <c r="O25" s="94">
        <f t="shared" si="3"/>
        <v>1407.6226867192722</v>
      </c>
      <c r="P25" s="94">
        <f>P22/P23</f>
        <v>1147.1362261380325</v>
      </c>
    </row>
    <row r="26" spans="2:16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88" t="s">
        <v>125</v>
      </c>
      <c r="N26" s="88" t="s">
        <v>125</v>
      </c>
      <c r="O26" s="88" t="s">
        <v>125</v>
      </c>
      <c r="P26" s="88" t="s">
        <v>125</v>
      </c>
    </row>
    <row r="27" spans="2:16" x14ac:dyDescent="0.3">
      <c r="B27" s="79" t="s">
        <v>165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93">
        <f>AVERAGE(M25:P25)</f>
        <v>1195.1533988759199</v>
      </c>
    </row>
    <row r="28" spans="2:16" x14ac:dyDescent="0.3">
      <c r="B28" s="79" t="s">
        <v>166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93">
        <f>MEDIAN(M25:P25)</f>
        <v>1145.5869742159925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Sheet</vt:lpstr>
      <vt:lpstr>HistoricalFS</vt:lpstr>
      <vt:lpstr>Intrinsic Growth</vt:lpstr>
      <vt:lpstr>DCF</vt:lpstr>
      <vt:lpstr>Raw data</vt:lpstr>
      <vt:lpstr>Relative Valution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ActSoftware</dc:creator>
  <cp:lastModifiedBy>ActSoftware</cp:lastModifiedBy>
  <dcterms:created xsi:type="dcterms:W3CDTF">2024-09-15T16:00:41Z</dcterms:created>
  <dcterms:modified xsi:type="dcterms:W3CDTF">2024-09-21T18:15:26Z</dcterms:modified>
</cp:coreProperties>
</file>