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202300"/>
  <mc:AlternateContent xmlns:mc="http://schemas.openxmlformats.org/markup-compatibility/2006">
    <mc:Choice Requires="x15">
      <x15ac:absPath xmlns:x15ac="http://schemas.microsoft.com/office/spreadsheetml/2010/11/ac" url="C:\Users\Rohit kumar\Downloads\"/>
    </mc:Choice>
  </mc:AlternateContent>
  <xr:revisionPtr revIDLastSave="0" documentId="13_ncr:1_{7A968878-C236-405D-A6A7-B6899E8A2548}" xr6:coauthVersionLast="47" xr6:coauthVersionMax="47" xr10:uidLastSave="{00000000-0000-0000-0000-000000000000}"/>
  <bookViews>
    <workbookView xWindow="-108" yWindow="-108" windowWidth="23256" windowHeight="12456" activeTab="3" xr2:uid="{F0621E62-0031-4E05-9BF4-C420EF64D654}"/>
  </bookViews>
  <sheets>
    <sheet name="Camel Factors &amp; Ratio Analysis" sheetId="1" r:id="rId1"/>
    <sheet name="P&amp;L " sheetId="4" r:id="rId2"/>
    <sheet name="Intrinsic Growth" sheetId="5" r:id="rId3"/>
    <sheet name="Relative Valuation" sheetId="7" r:id="rId4"/>
    <sheet name="Raw data"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8" i="4" l="1"/>
  <c r="P25" i="4"/>
  <c r="P21" i="4"/>
  <c r="F25" i="4"/>
  <c r="G25" i="4"/>
  <c r="H25" i="4"/>
  <c r="I25" i="4"/>
  <c r="J25" i="4"/>
  <c r="K25" i="4"/>
  <c r="L25" i="4"/>
  <c r="M25" i="4"/>
  <c r="N25" i="4"/>
  <c r="O25" i="4"/>
  <c r="E25" i="4"/>
  <c r="F21" i="4"/>
  <c r="G21" i="4"/>
  <c r="H21" i="4"/>
  <c r="I21" i="4"/>
  <c r="J21" i="4"/>
  <c r="K21" i="4"/>
  <c r="L21" i="4"/>
  <c r="M21" i="4"/>
  <c r="N21" i="4"/>
  <c r="O21" i="4"/>
  <c r="E21" i="4"/>
  <c r="H10" i="1"/>
  <c r="D11" i="1"/>
  <c r="D21" i="1" l="1"/>
  <c r="E21" i="1"/>
  <c r="F21" i="1"/>
  <c r="G21" i="1"/>
  <c r="H21" i="1"/>
  <c r="I21" i="1"/>
  <c r="J21" i="1"/>
  <c r="K21" i="1"/>
  <c r="L21" i="1"/>
  <c r="M21" i="1"/>
  <c r="N21" i="1"/>
  <c r="C21" i="1"/>
  <c r="D11" i="3"/>
  <c r="E11" i="3"/>
  <c r="F11" i="3"/>
  <c r="G11" i="3"/>
  <c r="H11" i="3"/>
  <c r="I11" i="3"/>
  <c r="J11" i="3"/>
  <c r="K11" i="3"/>
  <c r="L11" i="3"/>
  <c r="M11" i="3"/>
  <c r="N11" i="3"/>
  <c r="C11" i="3"/>
  <c r="D22" i="1"/>
  <c r="E22" i="1"/>
  <c r="F22" i="1"/>
  <c r="G22" i="1"/>
  <c r="H22" i="1"/>
  <c r="I22" i="1"/>
  <c r="J22" i="1"/>
  <c r="K22" i="1"/>
  <c r="L22" i="1"/>
  <c r="M22" i="1"/>
  <c r="N22" i="1"/>
  <c r="C22" i="1"/>
  <c r="D13" i="1"/>
  <c r="K9" i="1"/>
  <c r="D8" i="7"/>
  <c r="H9" i="7"/>
  <c r="H10" i="7"/>
  <c r="H11" i="7"/>
  <c r="H12" i="7"/>
  <c r="H13" i="7"/>
  <c r="H14" i="7"/>
  <c r="H15" i="7"/>
  <c r="H16" i="7"/>
  <c r="H17" i="7"/>
  <c r="H8" i="7"/>
  <c r="G8" i="7"/>
  <c r="P8" i="7" l="1"/>
  <c r="C23" i="1" l="1"/>
  <c r="H41" i="5"/>
  <c r="C18" i="5"/>
  <c r="G9" i="7"/>
  <c r="G10" i="7"/>
  <c r="G11" i="7"/>
  <c r="G12" i="7"/>
  <c r="G13" i="7"/>
  <c r="G14" i="7"/>
  <c r="G15" i="7"/>
  <c r="G16" i="7"/>
  <c r="G17" i="7"/>
  <c r="M27" i="7"/>
  <c r="N27" i="7" s="1"/>
  <c r="O27" i="7" s="1"/>
  <c r="P27" i="7" s="1"/>
  <c r="K9" i="7"/>
  <c r="K10" i="7"/>
  <c r="K11" i="7"/>
  <c r="K12" i="7"/>
  <c r="K13" i="7"/>
  <c r="K14" i="7"/>
  <c r="K15" i="7"/>
  <c r="K16" i="7"/>
  <c r="K17" i="7"/>
  <c r="K8" i="7"/>
  <c r="I8" i="7"/>
  <c r="N8" i="7"/>
  <c r="N17" i="7"/>
  <c r="N16" i="7"/>
  <c r="N15" i="7"/>
  <c r="N14" i="7"/>
  <c r="N13" i="7"/>
  <c r="N12" i="7"/>
  <c r="N11" i="7"/>
  <c r="N10" i="7"/>
  <c r="N9" i="7"/>
  <c r="I17" i="7"/>
  <c r="I16" i="7"/>
  <c r="I15" i="7"/>
  <c r="I14" i="7"/>
  <c r="I13" i="7"/>
  <c r="I12" i="7"/>
  <c r="I11" i="7"/>
  <c r="I10" i="7"/>
  <c r="I9" i="7"/>
  <c r="E17" i="7"/>
  <c r="E9" i="7"/>
  <c r="E10" i="7"/>
  <c r="E11" i="7"/>
  <c r="E12" i="7"/>
  <c r="E13" i="7"/>
  <c r="E14" i="7"/>
  <c r="E15" i="7"/>
  <c r="E16" i="7"/>
  <c r="E8" i="7"/>
  <c r="N25" i="7" s="1"/>
  <c r="D9" i="7"/>
  <c r="P9" i="7" s="1"/>
  <c r="D10" i="7"/>
  <c r="P10" i="7" s="1"/>
  <c r="D11" i="7"/>
  <c r="P11" i="7" s="1"/>
  <c r="D12" i="7"/>
  <c r="P12" i="7" s="1"/>
  <c r="D13" i="7"/>
  <c r="P13" i="7" s="1"/>
  <c r="D14" i="7"/>
  <c r="P14" i="7" s="1"/>
  <c r="D15" i="7"/>
  <c r="P15" i="7" s="1"/>
  <c r="D16" i="7"/>
  <c r="P16" i="7" s="1"/>
  <c r="D17" i="7"/>
  <c r="P17" i="7" s="1"/>
  <c r="B17" i="7"/>
  <c r="B16" i="7"/>
  <c r="B14" i="7"/>
  <c r="B15" i="7"/>
  <c r="B9" i="7"/>
  <c r="B10" i="7"/>
  <c r="B11" i="7"/>
  <c r="B12" i="7"/>
  <c r="B13" i="7"/>
  <c r="B8" i="7"/>
  <c r="D41" i="5"/>
  <c r="E41" i="5" s="1"/>
  <c r="F41" i="5" s="1"/>
  <c r="D18" i="5"/>
  <c r="E18" i="5"/>
  <c r="F18" i="5"/>
  <c r="G18" i="5"/>
  <c r="H18" i="5"/>
  <c r="I18" i="5"/>
  <c r="J18" i="5"/>
  <c r="K18" i="5"/>
  <c r="L18" i="5"/>
  <c r="M18" i="5"/>
  <c r="N18" i="5"/>
  <c r="D25" i="3"/>
  <c r="E25" i="3"/>
  <c r="E19" i="5" s="1"/>
  <c r="F25" i="3"/>
  <c r="G25" i="3"/>
  <c r="H25" i="3"/>
  <c r="I25" i="3"/>
  <c r="J25" i="3"/>
  <c r="J19" i="5" s="1"/>
  <c r="K25" i="3"/>
  <c r="L25" i="3"/>
  <c r="M25" i="3"/>
  <c r="M19" i="5" s="1"/>
  <c r="N25" i="3"/>
  <c r="C25" i="3"/>
  <c r="D19" i="5" s="1"/>
  <c r="C8" i="5"/>
  <c r="D8" i="5"/>
  <c r="E8" i="5"/>
  <c r="F8" i="5"/>
  <c r="G8" i="5"/>
  <c r="H8" i="5"/>
  <c r="I8" i="5"/>
  <c r="J8" i="5"/>
  <c r="K8" i="5"/>
  <c r="L8" i="5"/>
  <c r="M8" i="5"/>
  <c r="N8" i="5"/>
  <c r="D9" i="5"/>
  <c r="E9" i="5"/>
  <c r="F9" i="5"/>
  <c r="G9" i="5"/>
  <c r="H9" i="5"/>
  <c r="I9" i="5"/>
  <c r="J9" i="5"/>
  <c r="K9" i="5"/>
  <c r="L9" i="5"/>
  <c r="M9" i="5"/>
  <c r="N9" i="5"/>
  <c r="C9" i="5"/>
  <c r="N19" i="5" l="1"/>
  <c r="N23" i="5" s="1"/>
  <c r="L19" i="5"/>
  <c r="L23" i="5" s="1"/>
  <c r="K19" i="5"/>
  <c r="K23" i="5" s="1"/>
  <c r="P19" i="7"/>
  <c r="P20" i="7"/>
  <c r="F19" i="5"/>
  <c r="F23" i="5" s="1"/>
  <c r="I19" i="5"/>
  <c r="I23" i="5" s="1"/>
  <c r="G19" i="5"/>
  <c r="G23" i="5" s="1"/>
  <c r="F15" i="7"/>
  <c r="J15" i="7" s="1"/>
  <c r="F14" i="7"/>
  <c r="J14" i="7" s="1"/>
  <c r="M25" i="7"/>
  <c r="F13" i="7"/>
  <c r="J13" i="7" s="1"/>
  <c r="F16" i="7"/>
  <c r="J16" i="7" s="1"/>
  <c r="H19" i="5"/>
  <c r="H23" i="5" s="1"/>
  <c r="F10" i="7"/>
  <c r="J10" i="7" s="1"/>
  <c r="F17" i="7"/>
  <c r="J17" i="7" s="1"/>
  <c r="F12" i="7"/>
  <c r="J12" i="7" s="1"/>
  <c r="F9" i="7"/>
  <c r="J9" i="7" s="1"/>
  <c r="F8" i="7"/>
  <c r="J8" i="7" s="1"/>
  <c r="F11" i="7"/>
  <c r="J11" i="7" s="1"/>
  <c r="M23" i="5"/>
  <c r="J23" i="5"/>
  <c r="E23" i="5"/>
  <c r="D23" i="5"/>
  <c r="O15" i="7"/>
  <c r="O10" i="7"/>
  <c r="O17" i="7"/>
  <c r="O12" i="7"/>
  <c r="O14" i="7"/>
  <c r="O16" i="7"/>
  <c r="O11" i="7"/>
  <c r="O13" i="7"/>
  <c r="O8" i="7"/>
  <c r="O9" i="7"/>
  <c r="P26" i="7" l="1"/>
  <c r="P29" i="7" s="1"/>
  <c r="M12" i="7"/>
  <c r="M16" i="7"/>
  <c r="M14" i="7"/>
  <c r="O19" i="7"/>
  <c r="O20" i="7"/>
  <c r="M17" i="7"/>
  <c r="M13" i="7"/>
  <c r="M9" i="7"/>
  <c r="M8" i="7"/>
  <c r="M10" i="7"/>
  <c r="M11" i="7"/>
  <c r="M15" i="7"/>
  <c r="O26" i="7" l="1"/>
  <c r="O29" i="7" s="1"/>
  <c r="M20" i="7"/>
  <c r="M24" i="7" s="1"/>
  <c r="M26" i="7" s="1"/>
  <c r="M29" i="7" s="1"/>
  <c r="M19" i="7"/>
  <c r="N20" i="7"/>
  <c r="N24" i="7" s="1"/>
  <c r="N26" i="7" s="1"/>
  <c r="N29" i="7" s="1"/>
  <c r="N19" i="7"/>
  <c r="M38" i="7" l="1"/>
  <c r="M37" i="7"/>
  <c r="N23" i="1"/>
  <c r="M23" i="1"/>
  <c r="L23" i="1"/>
  <c r="K23" i="1"/>
  <c r="J23" i="1"/>
  <c r="I23" i="1"/>
  <c r="H23" i="1"/>
  <c r="G23" i="1"/>
  <c r="F23" i="1"/>
  <c r="E23" i="1"/>
  <c r="D23" i="1"/>
  <c r="E32" i="4"/>
  <c r="D7" i="5" s="1"/>
  <c r="D10" i="5" s="1"/>
  <c r="D32" i="4"/>
  <c r="C7" i="5" s="1"/>
  <c r="C10" i="5" s="1"/>
  <c r="F32" i="4"/>
  <c r="E7" i="5" s="1"/>
  <c r="E10" i="5" s="1"/>
  <c r="G32" i="4"/>
  <c r="F7" i="5" s="1"/>
  <c r="F10" i="5" s="1"/>
  <c r="H32" i="4"/>
  <c r="G7" i="5" s="1"/>
  <c r="G10" i="5" s="1"/>
  <c r="I32" i="4"/>
  <c r="H7" i="5" s="1"/>
  <c r="H10" i="5" s="1"/>
  <c r="J32" i="4"/>
  <c r="I7" i="5" s="1"/>
  <c r="I10" i="5" s="1"/>
  <c r="K32" i="4"/>
  <c r="J7" i="5" s="1"/>
  <c r="J10" i="5" s="1"/>
  <c r="L32" i="4"/>
  <c r="K7" i="5" s="1"/>
  <c r="K10" i="5" s="1"/>
  <c r="M32" i="4"/>
  <c r="L7" i="5" s="1"/>
  <c r="L10" i="5" s="1"/>
  <c r="N32" i="4"/>
  <c r="M7" i="5" s="1"/>
  <c r="M10" i="5" s="1"/>
  <c r="O32" i="4"/>
  <c r="N7" i="5" s="1"/>
  <c r="N10" i="5" s="1"/>
  <c r="E7" i="4"/>
  <c r="F7" i="4"/>
  <c r="F8" i="4" s="1"/>
  <c r="G7" i="4"/>
  <c r="G8" i="4" s="1"/>
  <c r="H7" i="4"/>
  <c r="H8" i="4" s="1"/>
  <c r="I7" i="4"/>
  <c r="I8" i="4" s="1"/>
  <c r="J7" i="4"/>
  <c r="J8" i="4" s="1"/>
  <c r="K7" i="4"/>
  <c r="K8" i="4" s="1"/>
  <c r="L7" i="4"/>
  <c r="L8" i="4" s="1"/>
  <c r="M7" i="4"/>
  <c r="M8" i="4" s="1"/>
  <c r="N7" i="4"/>
  <c r="N8" i="4" s="1"/>
  <c r="O7" i="4"/>
  <c r="O8" i="4" s="1"/>
  <c r="E9" i="4"/>
  <c r="F9" i="4"/>
  <c r="G9" i="4"/>
  <c r="H9" i="4"/>
  <c r="H10" i="4" s="1"/>
  <c r="I9" i="4"/>
  <c r="I10" i="4" s="1"/>
  <c r="J9" i="4"/>
  <c r="J10" i="4" s="1"/>
  <c r="K9" i="4"/>
  <c r="K10" i="4" s="1"/>
  <c r="L9" i="4"/>
  <c r="L10" i="4" s="1"/>
  <c r="M9" i="4"/>
  <c r="M10" i="4" s="1"/>
  <c r="N9" i="4"/>
  <c r="N10" i="4" s="1"/>
  <c r="O9" i="4"/>
  <c r="O10" i="4" s="1"/>
  <c r="E13" i="4"/>
  <c r="E14" i="4" s="1"/>
  <c r="F13" i="4"/>
  <c r="G13" i="4"/>
  <c r="H13" i="4"/>
  <c r="I13" i="4"/>
  <c r="J13" i="4"/>
  <c r="K13" i="4"/>
  <c r="L13" i="4"/>
  <c r="M13" i="4"/>
  <c r="N13" i="4"/>
  <c r="O13" i="4"/>
  <c r="E15" i="4"/>
  <c r="E16" i="4" s="1"/>
  <c r="F15" i="4"/>
  <c r="F16" i="4" s="1"/>
  <c r="G15" i="4"/>
  <c r="H15" i="4"/>
  <c r="I15" i="4"/>
  <c r="J15" i="4"/>
  <c r="K15" i="4"/>
  <c r="L15" i="4"/>
  <c r="M15" i="4"/>
  <c r="N15" i="4"/>
  <c r="O15" i="4"/>
  <c r="E17" i="4"/>
  <c r="F17" i="4"/>
  <c r="G17" i="4"/>
  <c r="H17" i="4"/>
  <c r="I17" i="4"/>
  <c r="J17" i="4"/>
  <c r="K17" i="4"/>
  <c r="L17" i="4"/>
  <c r="M17" i="4"/>
  <c r="N17" i="4"/>
  <c r="O17" i="4"/>
  <c r="D15" i="4"/>
  <c r="D17" i="4"/>
  <c r="D13" i="4"/>
  <c r="D14" i="4" s="1"/>
  <c r="D9" i="4"/>
  <c r="P10" i="4" s="1"/>
  <c r="D7" i="4"/>
  <c r="N6" i="4"/>
  <c r="O6" i="4"/>
  <c r="K6" i="4"/>
  <c r="L6" i="4"/>
  <c r="M6" i="4"/>
  <c r="E6" i="4"/>
  <c r="D16" i="1" s="1"/>
  <c r="F6" i="4"/>
  <c r="G6" i="4"/>
  <c r="H6" i="4"/>
  <c r="I6" i="4"/>
  <c r="J6" i="4"/>
  <c r="D6" i="4"/>
  <c r="F10" i="4" l="1"/>
  <c r="D16" i="4"/>
  <c r="O16" i="4"/>
  <c r="N16" i="4"/>
  <c r="M20" i="1" s="1"/>
  <c r="M16" i="4"/>
  <c r="L20" i="1" s="1"/>
  <c r="L14" i="4"/>
  <c r="L16" i="4"/>
  <c r="K20" i="1" s="1"/>
  <c r="K14" i="4"/>
  <c r="H14" i="4"/>
  <c r="H16" i="4"/>
  <c r="G20" i="1" s="1"/>
  <c r="G14" i="4"/>
  <c r="O14" i="4"/>
  <c r="N14" i="4"/>
  <c r="M14" i="4"/>
  <c r="K16" i="4"/>
  <c r="J20" i="1" s="1"/>
  <c r="J14" i="4"/>
  <c r="J16" i="4"/>
  <c r="I20" i="1" s="1"/>
  <c r="I14" i="4"/>
  <c r="I16" i="4"/>
  <c r="H20" i="1" s="1"/>
  <c r="G16" i="4"/>
  <c r="F14" i="4"/>
  <c r="G10" i="4"/>
  <c r="E8" i="4"/>
  <c r="E11" i="4" s="1"/>
  <c r="E18" i="4" s="1"/>
  <c r="E10" i="4"/>
  <c r="M11" i="4"/>
  <c r="K11" i="4"/>
  <c r="K18" i="4" s="1"/>
  <c r="H6" i="5"/>
  <c r="H17" i="5" s="1"/>
  <c r="H31" i="5" s="1"/>
  <c r="H16" i="1"/>
  <c r="G6" i="5"/>
  <c r="G17" i="5" s="1"/>
  <c r="G31" i="5" s="1"/>
  <c r="G16" i="1"/>
  <c r="D6" i="5"/>
  <c r="D17" i="5" s="1"/>
  <c r="D31" i="5" s="1"/>
  <c r="I6" i="5"/>
  <c r="I17" i="5" s="1"/>
  <c r="I31" i="5" s="1"/>
  <c r="I16" i="1"/>
  <c r="F6" i="5"/>
  <c r="F17" i="5" s="1"/>
  <c r="F31" i="5" s="1"/>
  <c r="F16" i="1"/>
  <c r="K6" i="5"/>
  <c r="K17" i="5" s="1"/>
  <c r="K31" i="5" s="1"/>
  <c r="K16" i="1"/>
  <c r="C6" i="5"/>
  <c r="C17" i="5" s="1"/>
  <c r="C31" i="5" s="1"/>
  <c r="C16" i="1"/>
  <c r="E6" i="5"/>
  <c r="E17" i="5" s="1"/>
  <c r="E31" i="5" s="1"/>
  <c r="E16" i="1"/>
  <c r="J6" i="5"/>
  <c r="J17" i="5" s="1"/>
  <c r="J31" i="5" s="1"/>
  <c r="J16" i="1"/>
  <c r="N6" i="5"/>
  <c r="N17" i="5" s="1"/>
  <c r="N31" i="5" s="1"/>
  <c r="N16" i="1"/>
  <c r="L6" i="5"/>
  <c r="L17" i="5" s="1"/>
  <c r="L31" i="5" s="1"/>
  <c r="L16" i="1"/>
  <c r="M6" i="5"/>
  <c r="M17" i="5" s="1"/>
  <c r="M31" i="5" s="1"/>
  <c r="M16" i="1"/>
  <c r="F11" i="4"/>
  <c r="F18" i="4" s="1"/>
  <c r="G11" i="4"/>
  <c r="G18" i="4" s="1"/>
  <c r="I11" i="4"/>
  <c r="I18" i="4" s="1"/>
  <c r="C20" i="1"/>
  <c r="E20" i="1"/>
  <c r="F20" i="1"/>
  <c r="D20" i="1"/>
  <c r="N20" i="1"/>
  <c r="L11" i="4"/>
  <c r="L18" i="4" s="1"/>
  <c r="J11" i="4"/>
  <c r="J18" i="4" s="1"/>
  <c r="O11" i="4"/>
  <c r="O18" i="4" s="1"/>
  <c r="N11" i="4"/>
  <c r="N18" i="4" s="1"/>
  <c r="D11" i="4"/>
  <c r="D18" i="4" s="1"/>
  <c r="H11" i="4"/>
  <c r="H18" i="4" s="1"/>
  <c r="M19" i="4" l="1"/>
  <c r="M20" i="4" s="1"/>
  <c r="M18" i="4"/>
  <c r="I19" i="4"/>
  <c r="I12" i="4"/>
  <c r="L19" i="4"/>
  <c r="L12" i="4"/>
  <c r="K19" i="4"/>
  <c r="K12" i="4"/>
  <c r="H19" i="4"/>
  <c r="H12" i="4"/>
  <c r="D19" i="4"/>
  <c r="P12" i="4"/>
  <c r="O19" i="4"/>
  <c r="O12" i="4"/>
  <c r="J19" i="4"/>
  <c r="J20" i="4" s="1"/>
  <c r="J12" i="4"/>
  <c r="G19" i="4"/>
  <c r="G12" i="4"/>
  <c r="F19" i="4"/>
  <c r="F12" i="4"/>
  <c r="M12" i="4"/>
  <c r="E19" i="4"/>
  <c r="E12" i="4"/>
  <c r="N19" i="4"/>
  <c r="N12" i="4"/>
  <c r="J35" i="4" l="1"/>
  <c r="I12" i="5" s="1"/>
  <c r="J23" i="4"/>
  <c r="I17" i="1" s="1"/>
  <c r="M35" i="4"/>
  <c r="L12" i="5" s="1"/>
  <c r="L14" i="5" s="1"/>
  <c r="L33" i="5" s="1"/>
  <c r="I18" i="1"/>
  <c r="J24" i="4"/>
  <c r="L35" i="4"/>
  <c r="K12" i="5" s="1"/>
  <c r="K21" i="5" s="1"/>
  <c r="K25" i="5" s="1"/>
  <c r="K32" i="5" s="1"/>
  <c r="L20" i="4"/>
  <c r="E23" i="4"/>
  <c r="E24" i="4" s="1"/>
  <c r="E20" i="4"/>
  <c r="F35" i="4"/>
  <c r="E12" i="5" s="1"/>
  <c r="E14" i="5" s="1"/>
  <c r="E33" i="5" s="1"/>
  <c r="F20" i="4"/>
  <c r="I35" i="4"/>
  <c r="H12" i="5" s="1"/>
  <c r="H21" i="5" s="1"/>
  <c r="H25" i="5" s="1"/>
  <c r="H32" i="5" s="1"/>
  <c r="I20" i="4"/>
  <c r="M23" i="4"/>
  <c r="L17" i="1" s="1"/>
  <c r="N23" i="4"/>
  <c r="N20" i="4"/>
  <c r="D35" i="4"/>
  <c r="C12" i="5" s="1"/>
  <c r="C21" i="5" s="1"/>
  <c r="D20" i="4"/>
  <c r="H35" i="4"/>
  <c r="G12" i="5" s="1"/>
  <c r="G14" i="5" s="1"/>
  <c r="G33" i="5" s="1"/>
  <c r="H20" i="4"/>
  <c r="K23" i="4"/>
  <c r="K22" i="4" s="1"/>
  <c r="K20" i="4"/>
  <c r="G35" i="4"/>
  <c r="F12" i="5" s="1"/>
  <c r="F14" i="5" s="1"/>
  <c r="F33" i="5" s="1"/>
  <c r="G20" i="4"/>
  <c r="L23" i="4"/>
  <c r="K19" i="1" s="1"/>
  <c r="O35" i="4"/>
  <c r="N12" i="5" s="1"/>
  <c r="N14" i="5" s="1"/>
  <c r="N33" i="5" s="1"/>
  <c r="O20" i="4"/>
  <c r="I23" i="4"/>
  <c r="I27" i="4" s="1"/>
  <c r="G23" i="4"/>
  <c r="F17" i="1" s="1"/>
  <c r="N35" i="4"/>
  <c r="M12" i="5" s="1"/>
  <c r="M14" i="5" s="1"/>
  <c r="M33" i="5" s="1"/>
  <c r="D23" i="4"/>
  <c r="O23" i="4"/>
  <c r="N18" i="1" s="1"/>
  <c r="E35" i="4"/>
  <c r="D12" i="5" s="1"/>
  <c r="D14" i="5" s="1"/>
  <c r="D33" i="5" s="1"/>
  <c r="K35" i="4"/>
  <c r="J12" i="5" s="1"/>
  <c r="J14" i="5" s="1"/>
  <c r="J33" i="5" s="1"/>
  <c r="H23" i="4"/>
  <c r="F23" i="4"/>
  <c r="J22" i="4"/>
  <c r="I19" i="1"/>
  <c r="M21" i="5"/>
  <c r="M25" i="5" s="1"/>
  <c r="M32" i="5" s="1"/>
  <c r="K14" i="5"/>
  <c r="K33" i="5" s="1"/>
  <c r="I14" i="5"/>
  <c r="I33" i="5" s="1"/>
  <c r="I21" i="5"/>
  <c r="I25" i="5" s="1"/>
  <c r="I32" i="5" s="1"/>
  <c r="L21" i="5"/>
  <c r="L25" i="5" s="1"/>
  <c r="L32" i="5" s="1"/>
  <c r="J27" i="4"/>
  <c r="L19" i="1"/>
  <c r="F19" i="1" l="1"/>
  <c r="F18" i="1"/>
  <c r="D19" i="1"/>
  <c r="E27" i="4"/>
  <c r="I22" i="4"/>
  <c r="E22" i="4"/>
  <c r="J19" i="1"/>
  <c r="H18" i="1"/>
  <c r="J17" i="1"/>
  <c r="D18" i="1"/>
  <c r="H17" i="1"/>
  <c r="J18" i="1"/>
  <c r="N27" i="4"/>
  <c r="N24" i="4"/>
  <c r="N17" i="1"/>
  <c r="O24" i="4"/>
  <c r="M19" i="1"/>
  <c r="N21" i="5"/>
  <c r="C42" i="5" s="1"/>
  <c r="M22" i="4"/>
  <c r="L27" i="4"/>
  <c r="N22" i="4"/>
  <c r="F27" i="4"/>
  <c r="F24" i="4"/>
  <c r="G27" i="4"/>
  <c r="G24" i="4"/>
  <c r="D22" i="4"/>
  <c r="D24" i="4"/>
  <c r="M17" i="1"/>
  <c r="K27" i="4"/>
  <c r="K24" i="4"/>
  <c r="K18" i="1"/>
  <c r="L22" i="4"/>
  <c r="G21" i="5"/>
  <c r="G25" i="5" s="1"/>
  <c r="G32" i="5" s="1"/>
  <c r="G34" i="5" s="1"/>
  <c r="H19" i="1"/>
  <c r="I24" i="4"/>
  <c r="L18" i="1"/>
  <c r="M24" i="4"/>
  <c r="K17" i="1"/>
  <c r="L24" i="4"/>
  <c r="M18" i="1"/>
  <c r="M27" i="4"/>
  <c r="F21" i="5"/>
  <c r="F25" i="5" s="1"/>
  <c r="F32" i="5" s="1"/>
  <c r="F34" i="5" s="1"/>
  <c r="E21" i="5"/>
  <c r="E25" i="5" s="1"/>
  <c r="E32" i="5" s="1"/>
  <c r="E34" i="5" s="1"/>
  <c r="D17" i="1"/>
  <c r="G17" i="1"/>
  <c r="H24" i="4"/>
  <c r="H14" i="5"/>
  <c r="H33" i="5" s="1"/>
  <c r="H34" i="5" s="1"/>
  <c r="G22" i="4"/>
  <c r="J21" i="5"/>
  <c r="J25" i="5" s="1"/>
  <c r="J32" i="5" s="1"/>
  <c r="J34" i="5" s="1"/>
  <c r="C18" i="1"/>
  <c r="D27" i="4"/>
  <c r="C19" i="1"/>
  <c r="D21" i="5"/>
  <c r="D25" i="5" s="1"/>
  <c r="D32" i="5" s="1"/>
  <c r="D34" i="5" s="1"/>
  <c r="O27" i="4"/>
  <c r="C17" i="1"/>
  <c r="F22" i="4"/>
  <c r="E19" i="1"/>
  <c r="N19" i="1"/>
  <c r="G19" i="1"/>
  <c r="E18" i="1"/>
  <c r="E17" i="1"/>
  <c r="G18" i="1"/>
  <c r="H22" i="4"/>
  <c r="H27" i="4"/>
  <c r="O22" i="4"/>
  <c r="M34" i="5"/>
  <c r="K34" i="5"/>
  <c r="L34" i="5"/>
  <c r="I34" i="5"/>
  <c r="C14" i="5"/>
  <c r="N25" i="5" l="1"/>
  <c r="N32" i="5" s="1"/>
  <c r="N34" i="5" s="1"/>
  <c r="N28" i="5"/>
  <c r="N27" i="5"/>
  <c r="N36" i="5"/>
  <c r="N37" i="5"/>
  <c r="D42" i="5" s="1"/>
  <c r="C43" i="5" l="1"/>
  <c r="D43" i="5" s="1"/>
  <c r="E42" i="5"/>
  <c r="F42" i="5" s="1"/>
  <c r="C44" i="5" l="1"/>
  <c r="E43" i="5"/>
  <c r="F43" i="5" s="1"/>
  <c r="G43" i="5" s="1"/>
  <c r="H43" i="5" s="1"/>
  <c r="D44" i="5"/>
  <c r="E44" i="5" l="1"/>
  <c r="F44" i="5"/>
  <c r="G42" i="5"/>
  <c r="G44" i="5" l="1"/>
  <c r="H42" i="5"/>
  <c r="H44" i="5" s="1"/>
</calcChain>
</file>

<file path=xl/sharedStrings.xml><?xml version="1.0" encoding="utf-8"?>
<sst xmlns="http://schemas.openxmlformats.org/spreadsheetml/2006/main" count="166" uniqueCount="130">
  <si>
    <t>Tier 1 capital</t>
  </si>
  <si>
    <t>Tier 2 Capital</t>
  </si>
  <si>
    <t>Risk Weighted Assets</t>
  </si>
  <si>
    <t>CAR Ratio</t>
  </si>
  <si>
    <t>Particulars</t>
  </si>
  <si>
    <t>Gross non-performing assets to gross advances</t>
  </si>
  <si>
    <t>Net non-performing assets to net advances</t>
  </si>
  <si>
    <t>Provision coverage ratio</t>
  </si>
  <si>
    <t>Revenue</t>
  </si>
  <si>
    <t>Interest</t>
  </si>
  <si>
    <t>Financing Profit</t>
  </si>
  <si>
    <t>Financing Margin %</t>
  </si>
  <si>
    <t>Depreciation</t>
  </si>
  <si>
    <t>Profit before tax</t>
  </si>
  <si>
    <t>Tax %</t>
  </si>
  <si>
    <t>EPS in Rs</t>
  </si>
  <si>
    <t>Other Income</t>
  </si>
  <si>
    <t>Total Income</t>
  </si>
  <si>
    <t xml:space="preserve">Expense </t>
  </si>
  <si>
    <t>Less: Tax</t>
  </si>
  <si>
    <t>Profit after tax</t>
  </si>
  <si>
    <t>EPS</t>
  </si>
  <si>
    <t>No. of O/S Shares</t>
  </si>
  <si>
    <t>Shareholders Fund</t>
  </si>
  <si>
    <t>Reserves</t>
  </si>
  <si>
    <t>Equity Capital</t>
  </si>
  <si>
    <t>ROE</t>
  </si>
  <si>
    <t>Borrowings</t>
  </si>
  <si>
    <t>PAT Ratio</t>
  </si>
  <si>
    <t>ROA</t>
  </si>
  <si>
    <t>Total Assets</t>
  </si>
  <si>
    <t>Efficiency ratio</t>
  </si>
  <si>
    <t>Average Liquidity Ratio</t>
  </si>
  <si>
    <t>Net Stable Funding Ratio</t>
  </si>
  <si>
    <t>LDR Ratio</t>
  </si>
  <si>
    <t>Total Liabilities</t>
  </si>
  <si>
    <t>Cash Equivalents</t>
  </si>
  <si>
    <t>Cash Ratio</t>
  </si>
  <si>
    <t>Invested Capital</t>
  </si>
  <si>
    <t>Total share capital</t>
  </si>
  <si>
    <t>Borrowing</t>
  </si>
  <si>
    <t>NOPAT</t>
  </si>
  <si>
    <t>EBIT</t>
  </si>
  <si>
    <t>ROIC</t>
  </si>
  <si>
    <t>Net Capex</t>
  </si>
  <si>
    <t>Fixed assets purchased</t>
  </si>
  <si>
    <t>Fixed assets sold</t>
  </si>
  <si>
    <t>Working Capital</t>
  </si>
  <si>
    <t>Working Capital Changes</t>
  </si>
  <si>
    <t>Reinvestment</t>
  </si>
  <si>
    <t>Reinvestment Rate</t>
  </si>
  <si>
    <t>Intrinsic Growth Rate</t>
  </si>
  <si>
    <t>Mean</t>
  </si>
  <si>
    <t>Median</t>
  </si>
  <si>
    <t>Calculation of PV of FCFF</t>
  </si>
  <si>
    <t>Less: Reinvestment Rate</t>
  </si>
  <si>
    <t>Free Cash Flow to Firm</t>
  </si>
  <si>
    <t>Company</t>
  </si>
  <si>
    <t>Ticker</t>
  </si>
  <si>
    <t>Shares Outstanding</t>
  </si>
  <si>
    <t>Equity Value</t>
  </si>
  <si>
    <t>Net Debt</t>
  </si>
  <si>
    <t>Enterprise Value</t>
  </si>
  <si>
    <t>EBITDA</t>
  </si>
  <si>
    <t>Net Income</t>
  </si>
  <si>
    <t>EV/Revenue</t>
  </si>
  <si>
    <t>EV/EBITDA</t>
  </si>
  <si>
    <t>P/E</t>
  </si>
  <si>
    <t>Average</t>
  </si>
  <si>
    <t>HDFC Bank</t>
  </si>
  <si>
    <t>ICICI Bank</t>
  </si>
  <si>
    <t>Axis Bank</t>
  </si>
  <si>
    <t>Kotak Mah. Bank</t>
  </si>
  <si>
    <t>IndusInd Bank</t>
  </si>
  <si>
    <t>IDBI Bank</t>
  </si>
  <si>
    <t>Yes Bank</t>
  </si>
  <si>
    <t>IDFC First Bank</t>
  </si>
  <si>
    <t>AU Small Finance</t>
  </si>
  <si>
    <t>Federal Bank</t>
  </si>
  <si>
    <t>Implied Enterprise Value</t>
  </si>
  <si>
    <t>Implied Market Value</t>
  </si>
  <si>
    <t>Implied Value per Share</t>
  </si>
  <si>
    <t>Current Share Price</t>
  </si>
  <si>
    <t>Fairly Valued</t>
  </si>
  <si>
    <t>Undervalued</t>
  </si>
  <si>
    <t>Slightly Overvalued</t>
  </si>
  <si>
    <t>Expenses </t>
  </si>
  <si>
    <t>Other Income </t>
  </si>
  <si>
    <t>Net Profit </t>
  </si>
  <si>
    <t>Current assets</t>
  </si>
  <si>
    <t>Current liabilities</t>
  </si>
  <si>
    <t>-</t>
  </si>
  <si>
    <t>Advances</t>
  </si>
  <si>
    <t>Deposits</t>
  </si>
  <si>
    <t>P/B</t>
  </si>
  <si>
    <t>Name</t>
  </si>
  <si>
    <t>Share Price</t>
  </si>
  <si>
    <t>No. of Equity Shares</t>
  </si>
  <si>
    <t>Market Capitilization</t>
  </si>
  <si>
    <t>Debt</t>
  </si>
  <si>
    <t>Cash</t>
  </si>
  <si>
    <t>Sales</t>
  </si>
  <si>
    <t>Net Profit</t>
  </si>
  <si>
    <t>P/E Ratio</t>
  </si>
  <si>
    <t>Book Value of Shares</t>
  </si>
  <si>
    <t>Book Value</t>
  </si>
  <si>
    <t xml:space="preserve"> Highly Overvalued</t>
  </si>
  <si>
    <t>Relative Valuation Model</t>
  </si>
  <si>
    <t xml:space="preserve"> Comparable Valuation</t>
  </si>
  <si>
    <t>Profit &amp; Loss Account</t>
  </si>
  <si>
    <t>Raw Data</t>
  </si>
  <si>
    <t xml:space="preserve">DCF Modelling </t>
  </si>
  <si>
    <t>Financial Margins</t>
  </si>
  <si>
    <t>Liquidity ratio</t>
  </si>
  <si>
    <t>CAMEL Factors &amp; Ratio Analysis</t>
  </si>
  <si>
    <t>Average Share Value</t>
  </si>
  <si>
    <t>Median Share Value</t>
  </si>
  <si>
    <t>Current Market Price</t>
  </si>
  <si>
    <t>Fairly valued</t>
  </si>
  <si>
    <t>Slightly overvalued</t>
  </si>
  <si>
    <t>Sales Growth %</t>
  </si>
  <si>
    <t>CAGR Growth</t>
  </si>
  <si>
    <t>Other Income Growth%</t>
  </si>
  <si>
    <t>Total Income Growth %</t>
  </si>
  <si>
    <t>Interest Expense to operating revenue</t>
  </si>
  <si>
    <t>Depreciation to operating revenue</t>
  </si>
  <si>
    <t>Expense to operating revenue</t>
  </si>
  <si>
    <t>Net profit to operating revenue</t>
  </si>
  <si>
    <t>Operating profit to operating revenue</t>
  </si>
  <si>
    <t>Growth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</si>
</sst>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0;\(#,##0\);&quot;-&quot;"/>
    <numFmt numFmtId="166" formatCode="#,##0.000"/>
    <numFmt numFmtId="167" formatCode="#,##0;\ \(#,##0\)"/>
    <numFmt numFmtId="168" formatCode="0.0\x"/>
    <numFmt numFmtId="169" formatCode="#,##0.0"/>
    <numFmt numFmtId="170" formatCode="0.00\x"/>
  </numFmts>
  <fonts count="15">
    <font>
      <sz val="11"/>
      <color theme="1"/>
      <name val="calibri"/>
      <family val="2"/>
    </font>
    <font>
      <sz val="11"/>
      <color theme="1"/>
      <name val="calibri"/>
      <family val="2"/>
    </font>
    <font>
      <b/>
      <sz val="11"/>
      <color theme="0"/>
      <name val="calibri"/>
      <family val="2"/>
    </font>
    <font>
      <b/>
      <sz val="11"/>
      <color theme="1"/>
      <name val="calibri"/>
      <family val="2"/>
    </font>
    <font>
      <sz val="11"/>
      <color theme="0"/>
      <name val="calibri"/>
      <family val="2"/>
    </font>
    <font>
      <sz val="11"/>
      <color rgb="FF22222F"/>
      <name val="Arial"/>
      <family val="2"/>
    </font>
    <font>
      <sz val="11"/>
      <name val="calibri"/>
      <family val="2"/>
    </font>
    <font>
      <u/>
      <sz val="11"/>
      <color theme="10"/>
      <name val="calibri"/>
      <family val="2"/>
    </font>
    <font>
      <i/>
      <sz val="11"/>
      <color theme="1"/>
      <name val="calibri"/>
      <family val="2"/>
    </font>
    <font>
      <b/>
      <sz val="11"/>
      <color theme="0"/>
      <name val="Arial"/>
      <family val="2"/>
    </font>
    <font>
      <b/>
      <sz val="40"/>
      <color theme="1"/>
      <name val="calibri"/>
      <family val="2"/>
    </font>
    <font>
      <b/>
      <sz val="46"/>
      <color theme="1"/>
      <name val="calibri"/>
      <family val="2"/>
    </font>
    <font>
      <sz val="11"/>
      <color rgb="FF002060"/>
      <name val="calibri"/>
      <family val="2"/>
    </font>
    <font>
      <b/>
      <sz val="11"/>
      <color rgb="FF002060"/>
      <name val="calibri"/>
      <family val="2"/>
    </font>
    <font>
      <i/>
      <sz val="11"/>
      <color rgb="FF002060"/>
      <name val="calibri"/>
      <family val="2"/>
    </font>
  </fonts>
  <fills count="8">
    <fill>
      <patternFill patternType="none"/>
    </fill>
    <fill>
      <patternFill patternType="gray125"/>
    </fill>
    <fill>
      <patternFill patternType="solid">
        <fgColor rgb="FFFFFFFF"/>
        <bgColor indexed="64"/>
      </patternFill>
    </fill>
    <fill>
      <patternFill patternType="solid">
        <fgColor rgb="FF00206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right/>
      <top style="thin">
        <color rgb="FF002060"/>
      </top>
      <bottom style="medium">
        <color rgb="FF002060"/>
      </bottom>
      <diagonal/>
    </border>
    <border>
      <left/>
      <right/>
      <top style="hair">
        <color rgb="FF002060"/>
      </top>
      <bottom style="hair">
        <color rgb="FF002060"/>
      </bottom>
      <diagonal/>
    </border>
    <border>
      <left/>
      <right/>
      <top/>
      <bottom style="thin">
        <color rgb="FF002060"/>
      </bottom>
      <diagonal/>
    </border>
    <border>
      <left/>
      <right/>
      <top style="thin">
        <color rgb="FF002060"/>
      </top>
      <bottom style="thin">
        <color rgb="FF002060"/>
      </bottom>
      <diagonal/>
    </border>
    <border>
      <left/>
      <right/>
      <top style="dotted">
        <color auto="1"/>
      </top>
      <bottom style="dotted">
        <color auto="1"/>
      </bottom>
      <diagonal/>
    </border>
    <border>
      <left/>
      <right/>
      <top style="dashed">
        <color auto="1"/>
      </top>
      <bottom style="dashed">
        <color auto="1"/>
      </bottom>
      <diagonal/>
    </border>
    <border>
      <left/>
      <right/>
      <top style="dashed">
        <color auto="1"/>
      </top>
      <bottom style="thin">
        <color auto="1"/>
      </bottom>
      <diagonal/>
    </border>
    <border>
      <left/>
      <right/>
      <top style="thin">
        <color auto="1"/>
      </top>
      <bottom/>
      <diagonal/>
    </border>
    <border>
      <left/>
      <right/>
      <top/>
      <bottom style="thin">
        <color auto="1"/>
      </bottom>
      <diagonal/>
    </border>
  </borders>
  <cellStyleXfs count="3">
    <xf numFmtId="0" fontId="0" fillId="0" borderId="0"/>
    <xf numFmtId="9" fontId="1" fillId="0" borderId="0" applyFont="0" applyFill="0" applyBorder="0" applyAlignment="0" applyProtection="0"/>
    <xf numFmtId="0" fontId="7" fillId="0" borderId="0" applyNumberFormat="0" applyFill="0" applyBorder="0" applyAlignment="0" applyProtection="0"/>
  </cellStyleXfs>
  <cellXfs count="102">
    <xf numFmtId="0" fontId="0" fillId="0" borderId="0" xfId="0"/>
    <xf numFmtId="10" fontId="0" fillId="0" borderId="0" xfId="0" applyNumberFormat="1"/>
    <xf numFmtId="0" fontId="0" fillId="0" borderId="0" xfId="0" applyAlignment="1">
      <alignment vertical="center" wrapText="1"/>
    </xf>
    <xf numFmtId="0" fontId="0" fillId="2" borderId="0" xfId="0" applyFill="1"/>
    <xf numFmtId="3" fontId="0" fillId="0" borderId="0" xfId="0" applyNumberFormat="1"/>
    <xf numFmtId="2" fontId="0" fillId="0" borderId="0" xfId="0" applyNumberFormat="1"/>
    <xf numFmtId="0" fontId="0" fillId="0" borderId="1" xfId="0" applyBorder="1"/>
    <xf numFmtId="1" fontId="0" fillId="0" borderId="1" xfId="0" applyNumberFormat="1" applyBorder="1"/>
    <xf numFmtId="166" fontId="0" fillId="0" borderId="0" xfId="0" applyNumberFormat="1"/>
    <xf numFmtId="0" fontId="4" fillId="3" borderId="0" xfId="0" applyFont="1" applyFill="1"/>
    <xf numFmtId="0" fontId="3" fillId="0" borderId="2" xfId="0" applyFont="1" applyBorder="1"/>
    <xf numFmtId="0" fontId="3" fillId="0" borderId="0" xfId="0" applyFont="1"/>
    <xf numFmtId="0" fontId="2" fillId="3" borderId="0" xfId="0" applyFont="1" applyFill="1" applyAlignment="1">
      <alignment horizontal="left"/>
    </xf>
    <xf numFmtId="0" fontId="2" fillId="3" borderId="0" xfId="0" applyFont="1" applyFill="1" applyAlignment="1">
      <alignment horizontal="right" wrapText="1"/>
    </xf>
    <xf numFmtId="0" fontId="2" fillId="3" borderId="0" xfId="0" applyFont="1" applyFill="1" applyAlignment="1">
      <alignment horizontal="right"/>
    </xf>
    <xf numFmtId="2" fontId="2" fillId="0" borderId="0" xfId="0" applyNumberFormat="1" applyFont="1" applyAlignment="1">
      <alignment horizontal="left"/>
    </xf>
    <xf numFmtId="2" fontId="2" fillId="0" borderId="0" xfId="0" applyNumberFormat="1" applyFont="1" applyAlignment="1">
      <alignment horizontal="right" wrapText="1"/>
    </xf>
    <xf numFmtId="2" fontId="2" fillId="0" borderId="0" xfId="0" applyNumberFormat="1" applyFont="1" applyAlignment="1">
      <alignment horizontal="right"/>
    </xf>
    <xf numFmtId="0" fontId="3" fillId="4" borderId="3" xfId="0" applyFont="1" applyFill="1" applyBorder="1"/>
    <xf numFmtId="0" fontId="2" fillId="3" borderId="4" xfId="0" applyFont="1" applyFill="1" applyBorder="1"/>
    <xf numFmtId="0" fontId="2" fillId="3" borderId="0" xfId="0" applyFont="1" applyFill="1" applyAlignment="1">
      <alignment horizontal="center"/>
    </xf>
    <xf numFmtId="0" fontId="0" fillId="0" borderId="3" xfId="0" applyBorder="1"/>
    <xf numFmtId="3" fontId="0" fillId="0" borderId="3" xfId="0" applyNumberFormat="1" applyBorder="1"/>
    <xf numFmtId="0" fontId="3" fillId="4" borderId="5" xfId="0" applyFont="1" applyFill="1" applyBorder="1"/>
    <xf numFmtId="0" fontId="8" fillId="0" borderId="0" xfId="0" applyFont="1"/>
    <xf numFmtId="2" fontId="6" fillId="0" borderId="3" xfId="0" applyNumberFormat="1" applyFont="1" applyBorder="1" applyAlignment="1">
      <alignment horizontal="left"/>
    </xf>
    <xf numFmtId="2" fontId="6" fillId="0" borderId="3" xfId="0" applyNumberFormat="1" applyFont="1" applyBorder="1" applyAlignment="1">
      <alignment horizontal="right"/>
    </xf>
    <xf numFmtId="0" fontId="0" fillId="0" borderId="3" xfId="0" applyBorder="1" applyAlignment="1">
      <alignment horizontal="left"/>
    </xf>
    <xf numFmtId="0" fontId="0" fillId="0" borderId="3" xfId="0" applyBorder="1" applyAlignment="1">
      <alignment horizontal="right"/>
    </xf>
    <xf numFmtId="0" fontId="2" fillId="3" borderId="0" xfId="0" applyFont="1" applyFill="1"/>
    <xf numFmtId="17" fontId="9" fillId="3" borderId="0" xfId="0" applyNumberFormat="1" applyFont="1" applyFill="1" applyAlignment="1">
      <alignment horizontal="right" vertical="center" wrapText="1"/>
    </xf>
    <xf numFmtId="17" fontId="2" fillId="3" borderId="0" xfId="0" applyNumberFormat="1" applyFont="1" applyFill="1"/>
    <xf numFmtId="0" fontId="0" fillId="0" borderId="6" xfId="0" applyBorder="1"/>
    <xf numFmtId="0" fontId="0" fillId="0" borderId="7" xfId="0" applyBorder="1"/>
    <xf numFmtId="0" fontId="0" fillId="5" borderId="0" xfId="0" applyFill="1"/>
    <xf numFmtId="10" fontId="0" fillId="0" borderId="0" xfId="0" applyNumberFormat="1" applyAlignment="1">
      <alignment vertical="center" wrapText="1"/>
    </xf>
    <xf numFmtId="0" fontId="0" fillId="0" borderId="8" xfId="0" applyBorder="1"/>
    <xf numFmtId="0" fontId="2" fillId="3" borderId="0" xfId="0" applyFont="1" applyFill="1" applyAlignment="1">
      <alignment horizontal="center" vertical="center" wrapText="1"/>
    </xf>
    <xf numFmtId="17" fontId="2" fillId="3" borderId="0" xfId="0" applyNumberFormat="1" applyFont="1" applyFill="1" applyAlignment="1">
      <alignment horizontal="center" vertical="center" wrapText="1"/>
    </xf>
    <xf numFmtId="0" fontId="0" fillId="0" borderId="0" xfId="0" applyAlignment="1">
      <alignment horizontal="center"/>
    </xf>
    <xf numFmtId="164" fontId="0" fillId="0" borderId="0" xfId="1" applyNumberFormat="1" applyFont="1" applyFill="1" applyBorder="1" applyAlignment="1">
      <alignment horizontal="center"/>
    </xf>
    <xf numFmtId="0" fontId="0" fillId="5" borderId="1" xfId="0" applyFill="1" applyBorder="1"/>
    <xf numFmtId="0" fontId="7" fillId="2" borderId="0" xfId="2" applyFill="1" applyAlignment="1">
      <alignment horizontal="left" vertical="center"/>
    </xf>
    <xf numFmtId="0" fontId="5" fillId="2" borderId="0" xfId="0" applyFont="1" applyFill="1" applyAlignment="1">
      <alignment horizontal="left" vertical="center"/>
    </xf>
    <xf numFmtId="0" fontId="5" fillId="2" borderId="0" xfId="0" applyFont="1" applyFill="1" applyAlignment="1">
      <alignment horizontal="right" vertical="center" wrapText="1"/>
    </xf>
    <xf numFmtId="0" fontId="7" fillId="2" borderId="0" xfId="2" applyFill="1" applyAlignment="1">
      <alignment horizontal="right" vertical="center" wrapText="1"/>
    </xf>
    <xf numFmtId="169" fontId="0" fillId="0" borderId="0" xfId="0" applyNumberFormat="1"/>
    <xf numFmtId="169" fontId="3" fillId="0" borderId="0" xfId="0" applyNumberFormat="1" applyFont="1" applyAlignment="1">
      <alignment horizontal="center"/>
    </xf>
    <xf numFmtId="169" fontId="3" fillId="0" borderId="0" xfId="0" applyNumberFormat="1" applyFont="1" applyAlignment="1">
      <alignment horizontal="center" wrapText="1"/>
    </xf>
    <xf numFmtId="0" fontId="0" fillId="0" borderId="0" xfId="0" applyAlignment="1">
      <alignment horizontal="center"/>
    </xf>
    <xf numFmtId="0" fontId="10" fillId="0" borderId="0" xfId="0" applyFont="1" applyAlignment="1">
      <alignment horizontal="center"/>
    </xf>
    <xf numFmtId="0" fontId="0" fillId="0" borderId="0" xfId="0" applyAlignment="1"/>
    <xf numFmtId="9" fontId="0" fillId="0" borderId="0" xfId="1" applyFont="1"/>
    <xf numFmtId="0" fontId="11" fillId="0" borderId="0" xfId="0" applyFont="1" applyAlignment="1">
      <alignment horizontal="center"/>
    </xf>
    <xf numFmtId="0" fontId="0" fillId="6" borderId="0" xfId="0" applyFill="1"/>
    <xf numFmtId="0" fontId="0" fillId="4" borderId="0" xfId="0" applyFill="1"/>
    <xf numFmtId="9" fontId="12" fillId="5" borderId="1" xfId="1" applyFont="1" applyFill="1" applyBorder="1"/>
    <xf numFmtId="164" fontId="12" fillId="5" borderId="1" xfId="1" applyNumberFormat="1" applyFont="1" applyFill="1" applyBorder="1"/>
    <xf numFmtId="164" fontId="12" fillId="0" borderId="0" xfId="0" applyNumberFormat="1" applyFont="1"/>
    <xf numFmtId="17" fontId="13" fillId="3" borderId="0" xfId="0" applyNumberFormat="1" applyFont="1" applyFill="1"/>
    <xf numFmtId="10" fontId="12" fillId="0" borderId="0" xfId="1" applyNumberFormat="1" applyFont="1" applyFill="1" applyBorder="1"/>
    <xf numFmtId="3" fontId="12" fillId="0" borderId="0" xfId="0" applyNumberFormat="1" applyFont="1"/>
    <xf numFmtId="0" fontId="12" fillId="0" borderId="0" xfId="0" applyFont="1"/>
    <xf numFmtId="1" fontId="12" fillId="0" borderId="0" xfId="0" applyNumberFormat="1" applyFont="1"/>
    <xf numFmtId="0" fontId="12" fillId="0" borderId="6" xfId="0" applyFont="1" applyBorder="1"/>
    <xf numFmtId="3" fontId="12" fillId="0" borderId="6" xfId="0" applyNumberFormat="1" applyFont="1" applyBorder="1"/>
    <xf numFmtId="10" fontId="12" fillId="0" borderId="6" xfId="1" applyNumberFormat="1" applyFont="1" applyBorder="1"/>
    <xf numFmtId="165" fontId="12" fillId="0" borderId="0" xfId="0" applyNumberFormat="1" applyFont="1"/>
    <xf numFmtId="165" fontId="12" fillId="0" borderId="6" xfId="0" applyNumberFormat="1" applyFont="1" applyBorder="1"/>
    <xf numFmtId="9" fontId="12" fillId="0" borderId="7" xfId="1" applyFont="1" applyBorder="1"/>
    <xf numFmtId="9" fontId="12" fillId="5" borderId="0" xfId="0" applyNumberFormat="1" applyFont="1" applyFill="1"/>
    <xf numFmtId="9" fontId="12" fillId="0" borderId="7" xfId="0" applyNumberFormat="1" applyFont="1" applyBorder="1"/>
    <xf numFmtId="164" fontId="12" fillId="0" borderId="7" xfId="1" applyNumberFormat="1" applyFont="1" applyBorder="1"/>
    <xf numFmtId="10" fontId="12" fillId="0" borderId="7" xfId="0" applyNumberFormat="1" applyFont="1" applyBorder="1"/>
    <xf numFmtId="10" fontId="12" fillId="5" borderId="0" xfId="0" applyNumberFormat="1" applyFont="1" applyFill="1"/>
    <xf numFmtId="10" fontId="12" fillId="0" borderId="0" xfId="0" applyNumberFormat="1" applyFont="1"/>
    <xf numFmtId="167" fontId="13" fillId="0" borderId="2" xfId="0" applyNumberFormat="1" applyFont="1" applyBorder="1"/>
    <xf numFmtId="3" fontId="12" fillId="0" borderId="3" xfId="0" applyNumberFormat="1" applyFont="1" applyBorder="1" applyAlignment="1">
      <alignment horizontal="right"/>
    </xf>
    <xf numFmtId="3" fontId="12" fillId="0" borderId="3" xfId="0" applyNumberFormat="1" applyFont="1" applyBorder="1" applyAlignment="1">
      <alignment horizontal="right" wrapText="1"/>
    </xf>
    <xf numFmtId="168" fontId="12" fillId="0" borderId="3" xfId="0" applyNumberFormat="1" applyFont="1" applyBorder="1" applyAlignment="1">
      <alignment horizontal="right"/>
    </xf>
    <xf numFmtId="170" fontId="12" fillId="0" borderId="3" xfId="0" applyNumberFormat="1" applyFont="1" applyBorder="1" applyAlignment="1">
      <alignment horizontal="right"/>
    </xf>
    <xf numFmtId="168" fontId="13" fillId="4" borderId="3" xfId="0" applyNumberFormat="1" applyFont="1" applyFill="1" applyBorder="1"/>
    <xf numFmtId="3" fontId="12" fillId="0" borderId="3" xfId="0" applyNumberFormat="1" applyFont="1" applyBorder="1"/>
    <xf numFmtId="2" fontId="12" fillId="0" borderId="3" xfId="0" applyNumberFormat="1" applyFont="1" applyBorder="1"/>
    <xf numFmtId="169" fontId="13" fillId="4" borderId="5" xfId="0" applyNumberFormat="1" applyFont="1" applyFill="1" applyBorder="1"/>
    <xf numFmtId="0" fontId="3" fillId="0" borderId="3" xfId="0" applyFont="1" applyBorder="1" applyAlignment="1">
      <alignment horizontal="left"/>
    </xf>
    <xf numFmtId="9" fontId="12" fillId="0" borderId="0" xfId="1" applyFont="1" applyFill="1" applyBorder="1"/>
    <xf numFmtId="9" fontId="12" fillId="7" borderId="0" xfId="1" applyFont="1" applyFill="1" applyBorder="1"/>
    <xf numFmtId="0" fontId="0" fillId="5" borderId="9" xfId="0" applyFill="1" applyBorder="1"/>
    <xf numFmtId="169" fontId="0" fillId="5" borderId="9" xfId="0" applyNumberFormat="1" applyFill="1" applyBorder="1"/>
    <xf numFmtId="0" fontId="0" fillId="5" borderId="10" xfId="0" applyFill="1" applyBorder="1"/>
    <xf numFmtId="169" fontId="0" fillId="5" borderId="10" xfId="0" applyNumberFormat="1" applyFill="1" applyBorder="1"/>
    <xf numFmtId="0" fontId="3" fillId="5" borderId="9" xfId="0" applyFont="1" applyFill="1" applyBorder="1"/>
    <xf numFmtId="0" fontId="3" fillId="5" borderId="10" xfId="0" applyFont="1" applyFill="1" applyBorder="1"/>
    <xf numFmtId="1" fontId="12" fillId="4" borderId="0" xfId="0" applyNumberFormat="1" applyFont="1" applyFill="1"/>
    <xf numFmtId="0" fontId="12" fillId="4" borderId="0" xfId="0" applyFont="1" applyFill="1"/>
    <xf numFmtId="3" fontId="12" fillId="4" borderId="0" xfId="0" applyNumberFormat="1" applyFont="1" applyFill="1"/>
    <xf numFmtId="0" fontId="8" fillId="4" borderId="0" xfId="0" applyFont="1" applyFill="1"/>
    <xf numFmtId="3" fontId="14" fillId="4" borderId="0" xfId="0" applyNumberFormat="1" applyFont="1" applyFill="1"/>
    <xf numFmtId="164" fontId="14" fillId="4" borderId="0" xfId="1" applyNumberFormat="1" applyFont="1" applyFill="1"/>
    <xf numFmtId="1" fontId="12" fillId="0" borderId="8" xfId="0" applyNumberFormat="1" applyFont="1" applyBorder="1"/>
    <xf numFmtId="9" fontId="12" fillId="6" borderId="0" xfId="0" applyNumberFormat="1" applyFont="1" applyFill="1"/>
  </cellXfs>
  <cellStyles count="3">
    <cellStyle name="Hyperlink" xfId="2" builtinId="8"/>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0</xdr:col>
      <xdr:colOff>591765</xdr:colOff>
      <xdr:row>24</xdr:row>
      <xdr:rowOff>137808</xdr:rowOff>
    </xdr:from>
    <xdr:to>
      <xdr:col>16</xdr:col>
      <xdr:colOff>56743</xdr:colOff>
      <xdr:row>43</xdr:row>
      <xdr:rowOff>46182</xdr:rowOff>
    </xdr:to>
    <xdr:sp macro="" textlink="">
      <xdr:nvSpPr>
        <xdr:cNvPr id="2" name="TextBox 1">
          <a:extLst>
            <a:ext uri="{FF2B5EF4-FFF2-40B4-BE49-F238E27FC236}">
              <a16:creationId xmlns:a16="http://schemas.microsoft.com/office/drawing/2014/main" id="{A6580E97-7783-4E1C-BA40-A896062C6D45}"/>
            </a:ext>
          </a:extLst>
        </xdr:cNvPr>
        <xdr:cNvSpPr txBox="1"/>
      </xdr:nvSpPr>
      <xdr:spPr>
        <a:xfrm>
          <a:off x="591765" y="4755990"/>
          <a:ext cx="12557523" cy="3418192"/>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b="1"/>
            <a:t>CAMELS Framework Analysis</a:t>
          </a:r>
        </a:p>
        <a:p>
          <a:endParaRPr lang="en-IN" b="1"/>
        </a:p>
        <a:p>
          <a:r>
            <a:rPr lang="en-IN" b="1"/>
            <a:t>Capital Adequacy Ratio:</a:t>
          </a:r>
          <a:r>
            <a:rPr lang="en-IN"/>
            <a:t> Under Basel III norms of the BIS, the minimum CAR that banks should maintain is 8%. Under RBI's current guidelines, public sector banks should have a CAR of at least 12%. Scheduled commercial private banks should have a CAR of at least 9%. HDFC Bank's capital adequacy ratio is 18.5%, which is twice the recommended limit by Basel III.</a:t>
          </a:r>
        </a:p>
        <a:p>
          <a:endParaRPr lang="en-IN"/>
        </a:p>
        <a:p>
          <a:r>
            <a:rPr lang="en-IN" b="1"/>
            <a:t>Assets Quality:</a:t>
          </a:r>
          <a:r>
            <a:rPr lang="en-IN"/>
            <a:t> The Gross NPA has increased from 1.12% in FY23 to 1.24% in FY24. Additionally, Net NPA increased to 0.33% from 0.27%. The Gross NPA of scheduled banks is 2.8% as of May 2024. HDFC has made provisions of 74% of total non-performing assets to cover potential losses. A Provision Coverage Ratio (PCR) of more than 70% is considered healthy for banks and is viewed as risk-free.</a:t>
          </a:r>
        </a:p>
        <a:p>
          <a:endParaRPr lang="en-IN"/>
        </a:p>
        <a:p>
          <a:r>
            <a:rPr lang="en-IN" b="1"/>
            <a:t>Management:</a:t>
          </a:r>
          <a:r>
            <a:rPr lang="en-IN"/>
            <a:t> HDFC Bank's management quality is characterized by a strong governance structure led by Chairman Deepak Parekh, ensuring diverse perspectives and effective oversight. Under the leadership of Managing Director &amp; CEO Sashidhar Jagdishan, the bank benefits from extensive banking experience and a strategic focus on growth. The management employs a comprehensive risk management framework that regularly assesses credit, market, and operational risks to safeguard assets. A customer-centric approach drives HDFC Bank to prioritize satisfaction through technology, enhancing service delivery via a robust online platform and mobile app.</a:t>
          </a:r>
        </a:p>
        <a:p>
          <a:endParaRPr lang="en-IN"/>
        </a:p>
        <a:p>
          <a:r>
            <a:rPr lang="en-IN" b="1"/>
            <a:t>Earnings:</a:t>
          </a:r>
          <a:r>
            <a:rPr lang="en-IN"/>
            <a:t> Profit after tax has decreased from 27% in FY23 to 23% in FY24. There is minimal growth in net profit from FY13, which was 19.25%, to 23% in FY24. Financial margins were negative in FY24; after deducting interest payments and operating expenses from the operating revenue of the bank, the result was -16%, which is a serious concern for investors looking to invest in HDFC, as it hasn't been negative for the last 10 years. The EPS has increased six times from FY13, amounting to ₹84 per share. ROE has remained the same for the last 10 years, around 17% to 18%.</a:t>
          </a:r>
        </a:p>
        <a:p>
          <a:endParaRPr lang="en-IN"/>
        </a:p>
        <a:p>
          <a:r>
            <a:rPr lang="en-IN" b="1"/>
            <a:t>Liquidity Ratio:</a:t>
          </a:r>
          <a:r>
            <a:rPr lang="en-IN"/>
            <a:t> HDFC Bank's liquidity ratios demonstrate a strong financial position, with an LCR of 113.89% and an NSFR of 120.81%, both exceeding regulatory minimums. The LCR indicates that the bank has sufficient high-quality liquid assets to cover short-term cash outflows, while the NSFR reflects a solid alignment of available stable funding with long-term needs. The average liquidity ratio of 117.35% further confirms HDFC Bank's effective management of both short-term and long-term liquidity risks.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10160</xdr:colOff>
      <xdr:row>36</xdr:row>
      <xdr:rowOff>181427</xdr:rowOff>
    </xdr:from>
    <xdr:to>
      <xdr:col>16</xdr:col>
      <xdr:colOff>203200</xdr:colOff>
      <xdr:row>73</xdr:row>
      <xdr:rowOff>55085</xdr:rowOff>
    </xdr:to>
    <xdr:sp macro="" textlink="">
      <xdr:nvSpPr>
        <xdr:cNvPr id="2" name="TextBox 1">
          <a:extLst>
            <a:ext uri="{FF2B5EF4-FFF2-40B4-BE49-F238E27FC236}">
              <a16:creationId xmlns:a16="http://schemas.microsoft.com/office/drawing/2014/main" id="{CB83B931-302C-9CC1-9F48-1A2D03BDBAF5}"/>
            </a:ext>
          </a:extLst>
        </xdr:cNvPr>
        <xdr:cNvSpPr txBox="1"/>
      </xdr:nvSpPr>
      <xdr:spPr>
        <a:xfrm>
          <a:off x="1222015" y="6791547"/>
          <a:ext cx="11806655" cy="66673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The data in the table represents financial performance metrics for HDFC over a period of time, from March 2013 to March 2024, with compound annual growth rate (CAGR) projections for key figures.</a:t>
          </a:r>
        </a:p>
        <a:p>
          <a:endParaRPr lang="en-IN" b="1"/>
        </a:p>
        <a:p>
          <a:r>
            <a:rPr lang="en-IN" b="1"/>
            <a:t>Revenue Growth</a:t>
          </a:r>
          <a:r>
            <a:rPr lang="en-IN"/>
            <a:t>:</a:t>
          </a:r>
        </a:p>
        <a:p>
          <a:pPr lvl="1"/>
          <a:r>
            <a:rPr lang="en-IN" b="0"/>
            <a:t>Revenue has grown </a:t>
          </a:r>
          <a:r>
            <a:rPr lang="en-IN"/>
            <a:t>consistently, starting from ₹35,861 crores in 2013 to a projected ₹2,83,649 crores in 2024.</a:t>
          </a:r>
        </a:p>
        <a:p>
          <a:pPr lvl="1"/>
          <a:r>
            <a:rPr lang="en-IN"/>
            <a:t>The CAGR for revenue stands </a:t>
          </a:r>
          <a:r>
            <a:rPr lang="en-IN" b="0"/>
            <a:t>at 21%, reflecting a healthy growth rate, with notable spikes in 2023 (25.6%) and 2024 (66.1%).</a:t>
          </a:r>
        </a:p>
        <a:p>
          <a:pPr lvl="1"/>
          <a:endParaRPr lang="en-IN"/>
        </a:p>
        <a:p>
          <a:r>
            <a:rPr lang="en-IN" b="1"/>
            <a:t>Other Income</a:t>
          </a:r>
          <a:r>
            <a:rPr lang="en-IN"/>
            <a:t>:</a:t>
          </a:r>
        </a:p>
        <a:p>
          <a:pPr lvl="1"/>
          <a:r>
            <a:rPr lang="en-IN"/>
            <a:t>HDFC has also seen significant </a:t>
          </a:r>
          <a:r>
            <a:rPr lang="en-IN" b="0"/>
            <a:t>growth in Other Income, which includes non-operational revenue streams like interest and investment gains.</a:t>
          </a:r>
        </a:p>
        <a:p>
          <a:pPr lvl="1"/>
          <a:r>
            <a:rPr lang="en-IN" b="0"/>
            <a:t>From ₹7,133 crores in 2013, other income is projected to hit ₹1,24,346 </a:t>
          </a:r>
          <a:r>
            <a:rPr lang="en-IN"/>
            <a:t>crores in 2024</a:t>
          </a:r>
          <a:r>
            <a:rPr lang="en-IN" b="1"/>
            <a:t>, </a:t>
          </a:r>
          <a:r>
            <a:rPr lang="en-IN" b="0"/>
            <a:t>showing a 30% CAGR. The highest </a:t>
          </a:r>
          <a:r>
            <a:rPr lang="en-IN"/>
            <a:t>growth in other income is observed in 2024 (266.7%), indicating strong diversification in earnings.</a:t>
          </a:r>
        </a:p>
        <a:p>
          <a:pPr lvl="1"/>
          <a:endParaRPr lang="en-IN"/>
        </a:p>
        <a:p>
          <a:r>
            <a:rPr lang="en-IN" b="1"/>
            <a:t>Total Income</a:t>
          </a:r>
          <a:r>
            <a:rPr lang="en-IN"/>
            <a:t>:</a:t>
          </a:r>
        </a:p>
        <a:p>
          <a:pPr lvl="1"/>
          <a:r>
            <a:rPr lang="en-IN"/>
            <a:t>Total income follows the revenue trend, growing at </a:t>
          </a:r>
          <a:r>
            <a:rPr lang="en-IN" b="0"/>
            <a:t>a 23% CAGR from ₹42,994 crores </a:t>
          </a:r>
          <a:r>
            <a:rPr lang="en-IN"/>
            <a:t>in 2013 to ₹4,07,996 crores in 2024.</a:t>
          </a:r>
        </a:p>
        <a:p>
          <a:pPr lvl="1"/>
          <a:r>
            <a:rPr lang="en-IN"/>
            <a:t>Notably, total income saw the highest growth </a:t>
          </a:r>
          <a:r>
            <a:rPr lang="en-IN" b="0"/>
            <a:t>in 2024 (99.3%), likely due to a combination </a:t>
          </a:r>
          <a:r>
            <a:rPr lang="en-IN"/>
            <a:t>of operational and non-operational revenue surges.</a:t>
          </a:r>
        </a:p>
        <a:p>
          <a:pPr lvl="1"/>
          <a:endParaRPr lang="en-IN"/>
        </a:p>
        <a:p>
          <a:r>
            <a:rPr lang="en-IN" b="1"/>
            <a:t>Expenses</a:t>
          </a:r>
          <a:r>
            <a:rPr lang="en-IN"/>
            <a:t>:</a:t>
          </a:r>
        </a:p>
        <a:p>
          <a:pPr lvl="1"/>
          <a:r>
            <a:rPr lang="en-IN" b="0"/>
            <a:t>Expenses have risen from ₹12,631 crores in 2013 to ₹1,74,196 crores in 2024, with a 42.7% expense-to-operating-revenue ratio in 2024, reflecting the higher cost pressures in recent years.</a:t>
          </a:r>
        </a:p>
        <a:p>
          <a:pPr lvl="1"/>
          <a:r>
            <a:rPr lang="en-IN"/>
            <a:t>Despite the growth in expenses, HDFC has managed cost controls well historically, with a lower percentage of revenue devoted to expenses in earlier years.</a:t>
          </a:r>
        </a:p>
        <a:p>
          <a:pPr lvl="1"/>
          <a:endParaRPr lang="en-IN"/>
        </a:p>
        <a:p>
          <a:r>
            <a:rPr lang="en-IN" b="1"/>
            <a:t>Interest Expenses</a:t>
          </a:r>
          <a:r>
            <a:rPr lang="en-IN"/>
            <a:t>:</a:t>
          </a:r>
        </a:p>
        <a:p>
          <a:pPr lvl="1"/>
          <a:r>
            <a:rPr lang="en-IN"/>
            <a:t>The </a:t>
          </a:r>
          <a:r>
            <a:rPr lang="en-IN" b="0"/>
            <a:t>proportion of interest expense to revenue has fluctuated, from 54.9% in 2013 to a projected 54.3% in 2024</a:t>
          </a:r>
          <a:r>
            <a:rPr lang="en-IN"/>
            <a:t>, indicating that HDFC's interest burden has remained relatively consistent over time, though it slightly improved around 2020-2022.</a:t>
          </a:r>
        </a:p>
        <a:p>
          <a:pPr lvl="1"/>
          <a:endParaRPr lang="en-IN"/>
        </a:p>
        <a:p>
          <a:r>
            <a:rPr lang="en-IN" b="1"/>
            <a:t>Profitability</a:t>
          </a:r>
          <a:r>
            <a:rPr lang="en-IN"/>
            <a:t>:</a:t>
          </a:r>
        </a:p>
        <a:p>
          <a:pPr lvl="1"/>
          <a:r>
            <a:rPr lang="en-IN" b="0"/>
            <a:t>Operating profit margins have consistently improved, moving from 50.8% in 2013 to 86.8% in 2022 before dropping to 49.7% in 2024.</a:t>
          </a:r>
        </a:p>
        <a:p>
          <a:pPr lvl="1"/>
          <a:r>
            <a:rPr lang="en-IN" b="0"/>
            <a:t>This dip in 2024 might be due to higher expenses or a surge in interest or depreciation.</a:t>
          </a:r>
        </a:p>
        <a:p>
          <a:pPr lvl="1"/>
          <a:r>
            <a:rPr lang="en-IN" b="0"/>
            <a:t>Net Profit has grown at a 23% CAGR, from ₹6,903 crores in 2013 to ₹65,083 crores in 2024. The net profit to revenue ratio has been quite stable, averaging around 20-22%, but a drop is noted to 22.9% in 2024, signaling potential margin pressures.</a:t>
          </a:r>
        </a:p>
        <a:p>
          <a:pPr lvl="1"/>
          <a:endParaRPr lang="en-IN" b="0"/>
        </a:p>
        <a:p>
          <a:endParaRPr lang="en-IN" b="1"/>
        </a:p>
        <a:p>
          <a:r>
            <a:rPr lang="en-IN" b="1"/>
            <a:t>Key Insights:</a:t>
          </a:r>
        </a:p>
        <a:p>
          <a:endParaRPr lang="en-IN" b="1"/>
        </a:p>
        <a:p>
          <a:r>
            <a:rPr lang="en-IN" b="1"/>
            <a:t>Healthy Growth</a:t>
          </a:r>
          <a:r>
            <a:rPr lang="en-IN"/>
            <a:t>: HDFC has maintained strong revenue growth at a consistent 21% CAGR, indicating a robust expansion in its core businesses. The rapid increase in other income, especially in 2024, further boosts its financial health.</a:t>
          </a:r>
        </a:p>
        <a:p>
          <a:r>
            <a:rPr lang="en-IN" b="1"/>
            <a:t>Cost Management</a:t>
          </a:r>
          <a:r>
            <a:rPr lang="en-IN"/>
            <a:t>: The company has shown good cost management with stable operating margins and controlled interest expenses relative to revenue. The rising expense ratio in 2024, though, might be worth monitoring.</a:t>
          </a:r>
        </a:p>
        <a:p>
          <a:r>
            <a:rPr lang="en-IN" b="1"/>
            <a:t>Profitability</a:t>
          </a:r>
          <a:r>
            <a:rPr lang="en-IN"/>
            <a:t>: HDFC's net profit growth remains strong, but the drop in profitability ratios and operating profit in 2024 suggests the company may face increased operational costs or pressure on earnings.</a:t>
          </a:r>
        </a:p>
        <a:p>
          <a:endParaRPr lang="en-IN"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19291</xdr:colOff>
      <xdr:row>45</xdr:row>
      <xdr:rowOff>163974</xdr:rowOff>
    </xdr:from>
    <xdr:to>
      <xdr:col>14</xdr:col>
      <xdr:colOff>270076</xdr:colOff>
      <xdr:row>63</xdr:row>
      <xdr:rowOff>159223</xdr:rowOff>
    </xdr:to>
    <xdr:sp macro="" textlink="">
      <xdr:nvSpPr>
        <xdr:cNvPr id="2" name="TextBox 1">
          <a:extLst>
            <a:ext uri="{FF2B5EF4-FFF2-40B4-BE49-F238E27FC236}">
              <a16:creationId xmlns:a16="http://schemas.microsoft.com/office/drawing/2014/main" id="{0A5B80CF-18D4-C33A-DDD4-5FA6C712FB5D}"/>
            </a:ext>
          </a:extLst>
        </xdr:cNvPr>
        <xdr:cNvSpPr txBox="1"/>
      </xdr:nvSpPr>
      <xdr:spPr>
        <a:xfrm>
          <a:off x="633440" y="8364004"/>
          <a:ext cx="12192576" cy="3270712"/>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In analyzing HDFC’s financials, it is evident that the company has negative free cash flows (FCFF) from March 2024 onwards due to its high reinvestment rate (312.33%), which exceeds its NOPAT (Net Operating Profit After Tax). This aggressive reinvestment strategy suggests that HDFC is focused on long-term growth by heavily reinvesting in capital expenditures, working capital, and other initiatives, which is causing a strain on short-term free cash flow.</a:t>
          </a:r>
        </a:p>
        <a:p>
          <a:endParaRPr lang="en-IN"/>
        </a:p>
        <a:p>
          <a:r>
            <a:rPr lang="en-IN"/>
            <a:t>Here are the key observations:</a:t>
          </a:r>
        </a:p>
        <a:p>
          <a:r>
            <a:rPr lang="en-IN" b="1"/>
            <a:t>Reinvestment Rate</a:t>
          </a:r>
          <a:r>
            <a:rPr lang="en-IN"/>
            <a:t>: The reinvestment rate has consistently been high across years, peaking at 473% in March 2024. A reinvestment rate above 100% indicates that HDFC is reinvesting more than its NOPAT, likely to support expansion or strategic projects. This explains the negative free cash flow despite growing NOPAT.</a:t>
          </a:r>
        </a:p>
        <a:p>
          <a:r>
            <a:rPr lang="en-IN" b="1"/>
            <a:t>ROIC (Return on Invested Capital)</a:t>
          </a:r>
          <a:r>
            <a:rPr lang="en-IN"/>
            <a:t>: While the reinvestment rate is high, the ROIC has not shown significant improvement, fluctuating between 4.4% and 5.9%. A low ROIC relative to the reinvestment rate means that the company is not earning a sufficiently high return on its investments, further contributing to the negative cash flows.</a:t>
          </a:r>
        </a:p>
        <a:p>
          <a:r>
            <a:rPr lang="en-IN" b="1"/>
            <a:t>Intrinsic Growth Rate</a:t>
          </a:r>
          <a:r>
            <a:rPr lang="en-IN"/>
            <a:t>: The intrinsic growth rate, which combines ROIC and the reinvestment rate, has averaged around 15.54%, indicating solid long-term growth potential. However, this potential may not be realized in the short term due to the negative cash flows.</a:t>
          </a:r>
        </a:p>
        <a:p>
          <a:r>
            <a:rPr lang="en-IN" b="1"/>
            <a:t>Negative FCFF</a:t>
          </a:r>
          <a:r>
            <a:rPr lang="en-IN"/>
            <a:t>: Due to the high reinvestment rate, HDFC's FCFF remains negative, which implies that it is unable to generate sufficient free cash flows to fund its operations and growth. This is a potential red flag for investors seeking immediate returns through cash generation.</a:t>
          </a:r>
        </a:p>
        <a:p>
          <a:endParaRPr lang="en-IN"/>
        </a:p>
        <a:p>
          <a:r>
            <a:rPr lang="en-IN"/>
            <a:t>Since the DCF (Discounted Cash Flow) method relies on projecting free cash flows, negative FCFF means further DCF calculations cannot be performed accurately for valuation. Instead, alternative methods such as relative valuation (e.g., P/E ratio or EV/EBITDA) might be more appropriate until the company stabilizes its reinvestment approach or improves ROIC.</a:t>
          </a:r>
        </a:p>
        <a:p>
          <a:endParaRPr lang="en-IN"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9071</xdr:colOff>
      <xdr:row>41</xdr:row>
      <xdr:rowOff>9072</xdr:rowOff>
    </xdr:from>
    <xdr:to>
      <xdr:col>16</xdr:col>
      <xdr:colOff>117928</xdr:colOff>
      <xdr:row>52</xdr:row>
      <xdr:rowOff>120315</xdr:rowOff>
    </xdr:to>
    <xdr:sp macro="" textlink="">
      <xdr:nvSpPr>
        <xdr:cNvPr id="2" name="TextBox 1">
          <a:extLst>
            <a:ext uri="{FF2B5EF4-FFF2-40B4-BE49-F238E27FC236}">
              <a16:creationId xmlns:a16="http://schemas.microsoft.com/office/drawing/2014/main" id="{2E3207B9-6828-FADC-E695-88FDD5D4D6B4}"/>
            </a:ext>
          </a:extLst>
        </xdr:cNvPr>
        <xdr:cNvSpPr txBox="1"/>
      </xdr:nvSpPr>
      <xdr:spPr>
        <a:xfrm>
          <a:off x="618671" y="8118356"/>
          <a:ext cx="12589615" cy="214057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a:t>In this analysis, we evaluate the valuation of HDFC Bank based on various comparable valuation multiples: EV/Revenue, EV/EBITDA, P/E, and P/B. The goal is to determine whether HDFC Bank is fairly valued, overvalued, or undervalued compared to its peers.</a:t>
          </a:r>
        </a:p>
        <a:p>
          <a:endParaRPr lang="en-IN" b="1"/>
        </a:p>
        <a:p>
          <a:r>
            <a:rPr lang="en-IN" b="1"/>
            <a:t>Current Share Price</a:t>
          </a:r>
          <a:r>
            <a:rPr lang="en-IN"/>
            <a:t>: ₹1,666</a:t>
          </a:r>
        </a:p>
        <a:p>
          <a:r>
            <a:rPr lang="en-IN" b="1"/>
            <a:t>Average Implied Share Price</a:t>
          </a:r>
          <a:r>
            <a:rPr lang="en-IN"/>
            <a:t>: ₹1,581.7 (Slightly Overvalued)</a:t>
          </a:r>
        </a:p>
        <a:p>
          <a:r>
            <a:rPr lang="en-IN" b="1"/>
            <a:t>Median Implied Share Price</a:t>
          </a:r>
          <a:r>
            <a:rPr lang="en-IN"/>
            <a:t>: ₹1,644.0 (Fairly Valued)</a:t>
          </a:r>
        </a:p>
        <a:p>
          <a:endParaRPr lang="en-IN" b="1"/>
        </a:p>
        <a:p>
          <a:r>
            <a:rPr lang="en-IN" b="1"/>
            <a:t>Target Price:</a:t>
          </a:r>
        </a:p>
        <a:p>
          <a:r>
            <a:rPr lang="en-IN"/>
            <a:t>Based on this analysis, HDFC Bank appears to be fairly valued to slightly overvalued, with the average implied price slightly below the current market price. The </a:t>
          </a:r>
          <a:r>
            <a:rPr lang="en-IN" b="0"/>
            <a:t>target price range </a:t>
          </a:r>
          <a:r>
            <a:rPr lang="en-IN"/>
            <a:t>would be around ₹1,580 to ₹1,640. The bank's stock could be </a:t>
          </a:r>
          <a:r>
            <a:rPr lang="en-IN" b="0"/>
            <a:t>considered slighlty</a:t>
          </a:r>
          <a:r>
            <a:rPr lang="en-IN" b="0" baseline="0"/>
            <a:t> overvalued.</a:t>
          </a:r>
          <a:r>
            <a:rPr lang="en-IN" b="0"/>
            <a:t>Since </a:t>
          </a:r>
          <a:r>
            <a:rPr lang="en-IN"/>
            <a:t>the stock is slightly overvalued, it might be better to wait for a market correction or a dip in the price to align with or fall below the implied price range (₹1,580 to ₹1,640). A good entry point could be around or below ₹1,580.</a:t>
          </a:r>
          <a:endParaRPr lang="en-IN" sz="1100"/>
        </a:p>
      </xdr:txBody>
    </xdr:sp>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8" Type="http://schemas.openxmlformats.org/officeDocument/2006/relationships/hyperlink" Target="https://www.screener.in/company/IDFCFIRSTB/consolidated/" TargetMode="External"/><Relationship Id="rId3" Type="http://schemas.openxmlformats.org/officeDocument/2006/relationships/hyperlink" Target="https://www.screener.in/company/AXISBANK/consolidated/" TargetMode="External"/><Relationship Id="rId7" Type="http://schemas.openxmlformats.org/officeDocument/2006/relationships/hyperlink" Target="https://www.screener.in/company/YESBANK/consolidated/" TargetMode="External"/><Relationship Id="rId2" Type="http://schemas.openxmlformats.org/officeDocument/2006/relationships/hyperlink" Target="https://www.screener.in/company/ICICIBANK/consolidated/" TargetMode="External"/><Relationship Id="rId1" Type="http://schemas.openxmlformats.org/officeDocument/2006/relationships/hyperlink" Target="https://www.screener.in/company/HDFCBANK/consolidated/" TargetMode="External"/><Relationship Id="rId6" Type="http://schemas.openxmlformats.org/officeDocument/2006/relationships/hyperlink" Target="https://www.screener.in/company/IDBI/consolidated/" TargetMode="External"/><Relationship Id="rId5" Type="http://schemas.openxmlformats.org/officeDocument/2006/relationships/hyperlink" Target="https://www.screener.in/company/INDUSINDBK/" TargetMode="External"/><Relationship Id="rId10" Type="http://schemas.openxmlformats.org/officeDocument/2006/relationships/hyperlink" Target="https://www.screener.in/company/FEDERALBNK/consolidated/" TargetMode="External"/><Relationship Id="rId4" Type="http://schemas.openxmlformats.org/officeDocument/2006/relationships/hyperlink" Target="https://www.screener.in/company/KOTAKBANK/consolidated/" TargetMode="External"/><Relationship Id="rId9" Type="http://schemas.openxmlformats.org/officeDocument/2006/relationships/hyperlink" Target="https://www.screener.in/company/AUBA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E83BD-3A99-490B-A8BC-F8D8F2B7B0E8}">
  <dimension ref="B1:P24"/>
  <sheetViews>
    <sheetView showGridLines="0" topLeftCell="A2" zoomScale="91" zoomScaleNormal="94" workbookViewId="0">
      <selection activeCell="Q17" sqref="Q17"/>
    </sheetView>
  </sheetViews>
  <sheetFormatPr defaultRowHeight="14.4"/>
  <cols>
    <col min="2" max="2" width="37.21875" bestFit="1" customWidth="1"/>
    <col min="3" max="6" width="10.33203125" customWidth="1"/>
    <col min="7" max="7" width="14" customWidth="1"/>
    <col min="8" max="14" width="10.33203125" customWidth="1"/>
  </cols>
  <sheetData>
    <row r="1" spans="2:16">
      <c r="B1" s="53" t="s">
        <v>114</v>
      </c>
      <c r="C1" s="49"/>
      <c r="D1" s="49"/>
      <c r="E1" s="49"/>
      <c r="F1" s="49"/>
      <c r="G1" s="49"/>
      <c r="H1" s="49"/>
      <c r="I1" s="49"/>
      <c r="J1" s="49"/>
      <c r="K1" s="49"/>
      <c r="L1" s="49"/>
      <c r="M1" s="49"/>
      <c r="N1" s="49"/>
    </row>
    <row r="2" spans="2:16">
      <c r="B2" s="49"/>
      <c r="C2" s="49"/>
      <c r="D2" s="49"/>
      <c r="E2" s="49"/>
      <c r="F2" s="49"/>
      <c r="G2" s="49"/>
      <c r="H2" s="49"/>
      <c r="I2" s="49"/>
      <c r="J2" s="49"/>
      <c r="K2" s="49"/>
      <c r="L2" s="49"/>
      <c r="M2" s="49"/>
      <c r="N2" s="49"/>
    </row>
    <row r="3" spans="2:16">
      <c r="B3" s="49"/>
      <c r="C3" s="49"/>
      <c r="D3" s="49"/>
      <c r="E3" s="49"/>
      <c r="F3" s="49"/>
      <c r="G3" s="49"/>
      <c r="H3" s="49"/>
      <c r="I3" s="49"/>
      <c r="J3" s="49"/>
      <c r="K3" s="49"/>
      <c r="L3" s="49"/>
      <c r="M3" s="49"/>
      <c r="N3" s="49"/>
    </row>
    <row r="4" spans="2:16">
      <c r="B4" s="49"/>
      <c r="C4" s="49"/>
      <c r="D4" s="49"/>
      <c r="E4" s="49"/>
      <c r="F4" s="49"/>
      <c r="G4" s="49"/>
      <c r="H4" s="49"/>
      <c r="I4" s="49"/>
      <c r="J4" s="49"/>
      <c r="K4" s="49"/>
      <c r="L4" s="49"/>
      <c r="M4" s="49"/>
      <c r="N4" s="49"/>
    </row>
    <row r="5" spans="2:16">
      <c r="B5" s="49"/>
      <c r="C5" s="49"/>
      <c r="D5" s="49"/>
      <c r="E5" s="49"/>
      <c r="F5" s="49"/>
      <c r="G5" s="49"/>
      <c r="H5" s="49"/>
      <c r="I5" s="49"/>
      <c r="J5" s="49"/>
      <c r="K5" s="49"/>
      <c r="L5" s="49"/>
      <c r="M5" s="49"/>
      <c r="N5" s="49"/>
    </row>
    <row r="7" spans="2:16">
      <c r="B7" s="37" t="s">
        <v>4</v>
      </c>
      <c r="C7" s="38">
        <v>44986</v>
      </c>
      <c r="D7" s="38">
        <v>45352</v>
      </c>
      <c r="G7" s="6" t="s">
        <v>0</v>
      </c>
      <c r="H7" s="7">
        <v>433108.4</v>
      </c>
      <c r="J7" s="6" t="s">
        <v>92</v>
      </c>
      <c r="K7" s="6">
        <v>2484862</v>
      </c>
    </row>
    <row r="8" spans="2:16" ht="28.8">
      <c r="B8" s="2" t="s">
        <v>5</v>
      </c>
      <c r="C8" s="35">
        <v>1.12E-2</v>
      </c>
      <c r="D8" s="35">
        <v>1.24E-2</v>
      </c>
      <c r="G8" s="6" t="s">
        <v>1</v>
      </c>
      <c r="H8" s="7">
        <v>50053.599999999999</v>
      </c>
      <c r="J8" s="6" t="s">
        <v>93</v>
      </c>
      <c r="K8" s="6">
        <v>2379786</v>
      </c>
    </row>
    <row r="9" spans="2:16">
      <c r="B9" s="2" t="s">
        <v>6</v>
      </c>
      <c r="C9" s="35">
        <v>2.7000000000000001E-3</v>
      </c>
      <c r="D9" s="35">
        <v>3.3E-3</v>
      </c>
      <c r="G9" s="6" t="s">
        <v>2</v>
      </c>
      <c r="H9" s="7">
        <v>2608843.33</v>
      </c>
      <c r="J9" s="41" t="s">
        <v>34</v>
      </c>
      <c r="K9" s="56">
        <f>K7/K8</f>
        <v>1.044153549941045</v>
      </c>
    </row>
    <row r="10" spans="2:16">
      <c r="B10" s="2" t="s">
        <v>7</v>
      </c>
      <c r="C10" s="35">
        <v>0.75760000000000005</v>
      </c>
      <c r="D10" s="35">
        <v>0.74039999999999995</v>
      </c>
      <c r="G10" s="41" t="s">
        <v>3</v>
      </c>
      <c r="H10" s="57">
        <f>SUM(H7:H8)/H9</f>
        <v>0.18520161576739833</v>
      </c>
    </row>
    <row r="11" spans="2:16">
      <c r="B11" s="2" t="s">
        <v>32</v>
      </c>
      <c r="C11" s="39" t="s">
        <v>91</v>
      </c>
      <c r="D11" s="1">
        <f>(D12+D14)/2</f>
        <v>1.1735</v>
      </c>
    </row>
    <row r="12" spans="2:16">
      <c r="B12" s="2" t="s">
        <v>33</v>
      </c>
      <c r="C12" s="39" t="s">
        <v>91</v>
      </c>
      <c r="D12" s="1">
        <v>1.2081</v>
      </c>
    </row>
    <row r="13" spans="2:16">
      <c r="B13" t="s">
        <v>3</v>
      </c>
      <c r="C13" s="40" t="s">
        <v>91</v>
      </c>
      <c r="D13" s="58">
        <f>H10</f>
        <v>0.18520161576739833</v>
      </c>
    </row>
    <row r="14" spans="2:16">
      <c r="B14" s="2" t="s">
        <v>113</v>
      </c>
      <c r="C14" s="39" t="s">
        <v>91</v>
      </c>
      <c r="D14" s="1">
        <v>1.1389</v>
      </c>
    </row>
    <row r="16" spans="2:16">
      <c r="B16" s="29" t="s">
        <v>4</v>
      </c>
      <c r="C16" s="31">
        <f>'P&amp;L '!D6</f>
        <v>41334</v>
      </c>
      <c r="D16" s="31">
        <f>'P&amp;L '!E6</f>
        <v>41699</v>
      </c>
      <c r="E16" s="31">
        <f>'P&amp;L '!F6</f>
        <v>42064</v>
      </c>
      <c r="F16" s="31">
        <f>'P&amp;L '!G6</f>
        <v>42430</v>
      </c>
      <c r="G16" s="31">
        <f>'P&amp;L '!H6</f>
        <v>42795</v>
      </c>
      <c r="H16" s="31">
        <f>'P&amp;L '!I6</f>
        <v>43160</v>
      </c>
      <c r="I16" s="31">
        <f>'P&amp;L '!J6</f>
        <v>43525</v>
      </c>
      <c r="J16" s="31">
        <f>'P&amp;L '!K6</f>
        <v>43891</v>
      </c>
      <c r="K16" s="31">
        <f>'P&amp;L '!L6</f>
        <v>44256</v>
      </c>
      <c r="L16" s="31">
        <f>'P&amp;L '!M6</f>
        <v>44621</v>
      </c>
      <c r="M16" s="31">
        <f>'P&amp;L '!N6</f>
        <v>44986</v>
      </c>
      <c r="N16" s="31">
        <f>'P&amp;L '!O6</f>
        <v>45352</v>
      </c>
      <c r="O16" s="31"/>
      <c r="P16" s="31"/>
    </row>
    <row r="17" spans="2:16">
      <c r="B17" t="s">
        <v>29</v>
      </c>
      <c r="C17" s="60">
        <f>'P&amp;L '!D23/'P&amp;L '!D34</f>
        <v>1.6930629164957606E-2</v>
      </c>
      <c r="D17" s="60">
        <f>'P&amp;L '!E23/AVERAGE('P&amp;L '!E34,'P&amp;L '!D34)</f>
        <v>1.9134321065428114E-2</v>
      </c>
      <c r="E17" s="60">
        <f>'P&amp;L '!F23/AVERAGE('P&amp;L '!F34,'P&amp;L '!E34)</f>
        <v>1.9398855195028597E-2</v>
      </c>
      <c r="F17" s="60">
        <f>'P&amp;L '!G23/AVERAGE('P&amp;L '!G34,'P&amp;L '!F34)</f>
        <v>1.8808060602660985E-2</v>
      </c>
      <c r="G17" s="60">
        <f>'P&amp;L '!H23/AVERAGE('P&amp;L '!H34,'P&amp;L '!G34)</f>
        <v>1.8378975300046788E-2</v>
      </c>
      <c r="H17" s="60">
        <f>'P&amp;L '!I23/AVERAGE('P&amp;L '!I34,'P&amp;L '!H34)</f>
        <v>1.8543439050674557E-2</v>
      </c>
      <c r="I17" s="60">
        <f>'P&amp;L '!J23/AVERAGE('P&amp;L '!J34,'P&amp;L '!I34)</f>
        <v>1.8619826417575546E-2</v>
      </c>
      <c r="J17" s="60">
        <f>'P&amp;L '!K23/AVERAGE('P&amp;L '!K34,'P&amp;L '!J34)</f>
        <v>1.887376652062063E-2</v>
      </c>
      <c r="K17" s="60">
        <f>'P&amp;L '!L23/AVERAGE('P&amp;L '!L34,'P&amp;L '!K34)</f>
        <v>1.8736569745593786E-2</v>
      </c>
      <c r="L17" s="60">
        <f>'P&amp;L '!M23/AVERAGE('P&amp;L '!M34,'P&amp;L '!L34)</f>
        <v>1.9454431644376019E-2</v>
      </c>
      <c r="M17" s="60">
        <f>'P&amp;L '!N23/AVERAGE('P&amp;L '!N34,'P&amp;L '!M34)</f>
        <v>1.982395049408801E-2</v>
      </c>
      <c r="N17" s="60">
        <f>'P&amp;L '!O23/AVERAGE('P&amp;L '!O34,'P&amp;L '!N34)</f>
        <v>1.9840447830396565E-2</v>
      </c>
      <c r="O17" s="49"/>
      <c r="P17" s="49"/>
    </row>
    <row r="18" spans="2:16">
      <c r="B18" t="s">
        <v>26</v>
      </c>
      <c r="C18" s="60">
        <f>'P&amp;L '!D23/'P&amp;L '!D32</f>
        <v>0.18838541918030755</v>
      </c>
      <c r="D18" s="60">
        <f>'P&amp;L '!E23/AVERAGE('P&amp;L '!D32,'P&amp;L '!E32)</f>
        <v>0.21578925334402244</v>
      </c>
      <c r="E18" s="60">
        <f>'P&amp;L '!F23/AVERAGE('P&amp;L '!E32,'P&amp;L '!F32)</f>
        <v>0.20076814645462282</v>
      </c>
      <c r="F18" s="60">
        <f>'P&amp;L '!G23/AVERAGE('P&amp;L '!F32,'P&amp;L '!G32)</f>
        <v>0.18735938727297874</v>
      </c>
      <c r="G18" s="60">
        <f>'P&amp;L '!H23/AVERAGE('P&amp;L '!G32,'P&amp;L '!H32)</f>
        <v>0.18307892844311319</v>
      </c>
      <c r="H18" s="60">
        <f>'P&amp;L '!I23/AVERAGE('P&amp;L '!H32,'P&amp;L '!I32)</f>
        <v>0.18374019419141976</v>
      </c>
      <c r="I18" s="60">
        <f>'P&amp;L '!J23/AVERAGE('P&amp;L '!I32,'P&amp;L '!J32)</f>
        <v>0.16945575350929712</v>
      </c>
      <c r="J18" s="60">
        <f>'P&amp;L '!K23/AVERAGE('P&amp;L '!J32,'P&amp;L '!K32)</f>
        <v>0.16433709236177868</v>
      </c>
      <c r="K18" s="60">
        <f>'P&amp;L '!L23/AVERAGE('P&amp;L '!K32,'P&amp;L '!L32)</f>
        <v>0.16401131104625777</v>
      </c>
      <c r="L18" s="60">
        <f>'P&amp;L '!M23/AVERAGE('P&amp;L '!L32,'P&amp;L '!M32)</f>
        <v>0.16692777069805753</v>
      </c>
      <c r="M18" s="60">
        <f>'P&amp;L '!N23/AVERAGE('P&amp;L '!M32,'P&amp;L '!N32)</f>
        <v>0.17185937461435144</v>
      </c>
      <c r="N18" s="60">
        <f>'P&amp;L '!O23/AVERAGE('P&amp;L '!N32,'P&amp;L '!O32)</f>
        <v>0.17452376519137405</v>
      </c>
      <c r="O18" s="49"/>
      <c r="P18" s="49"/>
    </row>
    <row r="19" spans="2:16">
      <c r="B19" t="s">
        <v>28</v>
      </c>
      <c r="C19" s="60">
        <f>'P&amp;L '!D23/'P&amp;L '!D7</f>
        <v>0.19249343060773569</v>
      </c>
      <c r="D19" s="60">
        <f>'P&amp;L '!E23/'P&amp;L '!E7</f>
        <v>0.2048869646660845</v>
      </c>
      <c r="E19" s="60">
        <f>'P&amp;L '!F23/'P&amp;L '!F7</f>
        <v>0.21263409629393062</v>
      </c>
      <c r="F19" s="60">
        <f>'P&amp;L '!G23/'P&amp;L '!G7</f>
        <v>0.20387295094969374</v>
      </c>
      <c r="G19" s="60">
        <f>'P&amp;L '!H23/'P&amp;L '!H7</f>
        <v>0.2075107740889589</v>
      </c>
      <c r="H19" s="60">
        <f>'P&amp;L '!I23/'P&amp;L '!I7</f>
        <v>0.2169354946111563</v>
      </c>
      <c r="I19" s="60">
        <f>'P&amp;L '!J23/'P&amp;L '!J7</f>
        <v>0.21211739683865535</v>
      </c>
      <c r="J19" s="60">
        <f>'P&amp;L '!K23/'P&amp;L '!K7</f>
        <v>0.22193624192541955</v>
      </c>
      <c r="K19" s="60">
        <f>'P&amp;L '!L23/'P&amp;L '!L7</f>
        <v>0.2463435806681781</v>
      </c>
      <c r="L19" s="60">
        <f>'P&amp;L '!M23/'P&amp;L '!M7</f>
        <v>0.28067936497174378</v>
      </c>
      <c r="M19" s="60">
        <f>'P&amp;L '!N23/'P&amp;L '!N7</f>
        <v>0.27011987190599446</v>
      </c>
      <c r="N19" s="60">
        <f>'P&amp;L '!O23/'P&amp;L '!O7</f>
        <v>0.22944864584000521</v>
      </c>
      <c r="O19" s="49"/>
      <c r="P19" s="49"/>
    </row>
    <row r="20" spans="2:16">
      <c r="B20" t="s">
        <v>31</v>
      </c>
      <c r="C20" s="60">
        <f>SUM('P&amp;L '!D15:D17)/'P&amp;L '!D7</f>
        <v>0.37071171881064696</v>
      </c>
      <c r="D20" s="60">
        <f>SUM('P&amp;L '!E15:E17)/'P&amp;L '!E7</f>
        <v>0.33361727251923201</v>
      </c>
      <c r="E20" s="60">
        <f>SUM('P&amp;L '!F15:F17)/'P&amp;L '!F7</f>
        <v>0.33245314873928716</v>
      </c>
      <c r="F20" s="60">
        <f>SUM('P&amp;L '!G15:G17)/'P&amp;L '!G7</f>
        <v>0.32920214404757947</v>
      </c>
      <c r="G20" s="60">
        <f>SUM('P&amp;L '!H15:H17)/'P&amp;L '!H7</f>
        <v>0.33767887234458194</v>
      </c>
      <c r="H20" s="60">
        <f>SUM('P&amp;L '!I15:I17)/'P&amp;L '!I7</f>
        <v>0.35760083743264842</v>
      </c>
      <c r="I20" s="60">
        <f>SUM('P&amp;L '!J15:J17)/'P&amp;L '!J7</f>
        <v>0.34306505684540578</v>
      </c>
      <c r="J20" s="60">
        <f>SUM('P&amp;L '!K15:K17)/'P&amp;L '!K7</f>
        <v>0.38248984219880344</v>
      </c>
      <c r="K20" s="60">
        <f>SUM('P&amp;L '!L15:L17)/'P&amp;L '!L7</f>
        <v>0.41883479581297567</v>
      </c>
      <c r="L20" s="60">
        <f>SUM('P&amp;L '!M15:M17)/'P&amp;L '!M7</f>
        <v>0.42842258805524769</v>
      </c>
      <c r="M20" s="60">
        <f>SUM('P&amp;L '!N15:N17)/'P&amp;L '!N7</f>
        <v>0.38293140511826124</v>
      </c>
      <c r="N20" s="60">
        <f>SUM('P&amp;L '!O15:O17)/'P&amp;L '!O7</f>
        <v>0.62502608810924576</v>
      </c>
      <c r="O20" s="49"/>
      <c r="P20" s="49"/>
    </row>
    <row r="21" spans="2:16">
      <c r="B21" t="s">
        <v>112</v>
      </c>
      <c r="C21" s="86">
        <f>'Raw data'!C11</f>
        <v>9.8547168232899246E-2</v>
      </c>
      <c r="D21" s="86">
        <f>'Raw data'!D11</f>
        <v>0.13164140524027729</v>
      </c>
      <c r="E21" s="86">
        <f>'Raw data'!E11</f>
        <v>0.14238345241384756</v>
      </c>
      <c r="F21" s="86">
        <f>'Raw data'!F11</f>
        <v>0.14307653335866502</v>
      </c>
      <c r="G21" s="86">
        <f>'Raw data'!G11</f>
        <v>0.15523194715508182</v>
      </c>
      <c r="H21" s="86">
        <f>'Raw data'!H11</f>
        <v>0.15680986774223807</v>
      </c>
      <c r="I21" s="86">
        <f>'Raw data'!I11</f>
        <v>0.15777712269757799</v>
      </c>
      <c r="J21" s="86">
        <f>'Raw data'!J11</f>
        <v>0.11942973590094035</v>
      </c>
      <c r="K21" s="86">
        <f>'Raw data'!K11</f>
        <v>0.13105980459269401</v>
      </c>
      <c r="L21" s="86">
        <f>'Raw data'!L11</f>
        <v>0.1529764006591337</v>
      </c>
      <c r="M21" s="86">
        <f>'Raw data'!M11</f>
        <v>0.17529311172798295</v>
      </c>
      <c r="N21" s="87">
        <f>'Raw data'!N11</f>
        <v>-0.15753625078882705</v>
      </c>
      <c r="O21" s="49"/>
      <c r="P21" s="49"/>
    </row>
    <row r="22" spans="2:16">
      <c r="B22" t="s">
        <v>21</v>
      </c>
      <c r="C22" s="61">
        <f>'Raw data'!C17</f>
        <v>14.44</v>
      </c>
      <c r="D22" s="61">
        <f>'Raw data'!D17</f>
        <v>18.22</v>
      </c>
      <c r="E22" s="61">
        <f>'Raw data'!E17</f>
        <v>21.32</v>
      </c>
      <c r="F22" s="61">
        <f>'Raw data'!F17</f>
        <v>25.32</v>
      </c>
      <c r="G22" s="61">
        <f>'Raw data'!G17</f>
        <v>29.81</v>
      </c>
      <c r="H22" s="61">
        <f>'Raw data'!H17</f>
        <v>35.659999999999997</v>
      </c>
      <c r="I22" s="61">
        <f>'Raw data'!I17</f>
        <v>41</v>
      </c>
      <c r="J22" s="61">
        <f>'Raw data'!J17</f>
        <v>49.7</v>
      </c>
      <c r="K22" s="61">
        <f>'Raw data'!K17</f>
        <v>57.74</v>
      </c>
      <c r="L22" s="61">
        <f>'Raw data'!L17</f>
        <v>68.62</v>
      </c>
      <c r="M22" s="61">
        <f>'Raw data'!M17</f>
        <v>82.44</v>
      </c>
      <c r="N22" s="61">
        <f>'Raw data'!N17</f>
        <v>84.33</v>
      </c>
      <c r="O22" s="49"/>
      <c r="P22" s="49"/>
    </row>
    <row r="23" spans="2:16">
      <c r="B23" t="s">
        <v>37</v>
      </c>
      <c r="C23" s="60">
        <f>'P&amp;L '!D29/'P&amp;L '!D28</f>
        <v>6.7523784530183484E-2</v>
      </c>
      <c r="D23" s="60">
        <f>'P&amp;L '!E29/'P&amp;L '!E28</f>
        <v>7.925221397085104E-2</v>
      </c>
      <c r="E23" s="60">
        <f>'P&amp;L '!F29/'P&amp;L '!F28</f>
        <v>6.016501481641319E-2</v>
      </c>
      <c r="F23" s="60">
        <f>'P&amp;L '!G29/'P&amp;L '!G28</f>
        <v>5.1257392956290379E-2</v>
      </c>
      <c r="G23" s="60">
        <f>'P&amp;L '!H29/'P&amp;L '!H28</f>
        <v>5.526007907264463E-2</v>
      </c>
      <c r="H23" s="60">
        <f>'P&amp;L '!I29/'P&amp;L '!I28</f>
        <v>0.11155145188572009</v>
      </c>
      <c r="I23" s="60">
        <f>'P&amp;L '!J29/'P&amp;L '!J28</f>
        <v>6.3287144397535286E-2</v>
      </c>
      <c r="J23" s="60">
        <f>'P&amp;L '!K29/'P&amp;L '!K28</f>
        <v>5.5629005016352172E-2</v>
      </c>
      <c r="K23" s="60">
        <f>'P&amp;L '!L29/'P&amp;L '!L28</f>
        <v>6.7392346903902015E-2</v>
      </c>
      <c r="L23" s="60">
        <f>'P&amp;L '!M29/'P&amp;L '!M28</f>
        <v>7.3193985305242654E-2</v>
      </c>
      <c r="M23" s="60">
        <f>'P&amp;L '!N29/'P&amp;L '!N28</f>
        <v>7.7910807324599124E-2</v>
      </c>
      <c r="N23" s="60">
        <f>'P&amp;L '!O29/'P&amp;L '!O28</f>
        <v>5.6780145074902102E-2</v>
      </c>
      <c r="O23" s="49"/>
      <c r="P23" s="49"/>
    </row>
    <row r="24" spans="2:16">
      <c r="O24" s="51"/>
      <c r="P24" s="51"/>
    </row>
  </sheetData>
  <mergeCells count="8">
    <mergeCell ref="B1:N5"/>
    <mergeCell ref="O17:P17"/>
    <mergeCell ref="O18:P18"/>
    <mergeCell ref="O19:P19"/>
    <mergeCell ref="O20:P20"/>
    <mergeCell ref="O21:P21"/>
    <mergeCell ref="O22:P22"/>
    <mergeCell ref="O23:P23"/>
  </mergeCells>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markers="1" xr2:uid="{267B8567-6536-445F-BFAF-424F995C24D1}">
          <x14:colorSeries rgb="FF376092"/>
          <x14:colorNegative rgb="FFD00000"/>
          <x14:colorAxis rgb="FF000000"/>
          <x14:colorMarkers rgb="FFD00000"/>
          <x14:colorFirst rgb="FFD00000"/>
          <x14:colorLast rgb="FFD00000"/>
          <x14:colorHigh rgb="FFD00000"/>
          <x14:colorLow rgb="FFD00000"/>
          <x14:sparklines>
            <x14:sparkline>
              <xm:f>'Camel Factors &amp; Ratio Analysis'!C17:N17</xm:f>
              <xm:sqref>O17</xm:sqref>
            </x14:sparkline>
            <x14:sparkline>
              <xm:f>'Camel Factors &amp; Ratio Analysis'!C18:N18</xm:f>
              <xm:sqref>O18</xm:sqref>
            </x14:sparkline>
            <x14:sparkline>
              <xm:f>'Camel Factors &amp; Ratio Analysis'!C19:N19</xm:f>
              <xm:sqref>O19</xm:sqref>
            </x14:sparkline>
            <x14:sparkline>
              <xm:f>'Camel Factors &amp; Ratio Analysis'!C20:N20</xm:f>
              <xm:sqref>O20</xm:sqref>
            </x14:sparkline>
            <x14:sparkline>
              <xm:f>'Camel Factors &amp; Ratio Analysis'!C21:N21</xm:f>
              <xm:sqref>O21</xm:sqref>
            </x14:sparkline>
            <x14:sparkline>
              <xm:f>'Camel Factors &amp; Ratio Analysis'!C22:N22</xm:f>
              <xm:sqref>O22</xm:sqref>
            </x14:sparkline>
            <x14:sparkline>
              <xm:f>'Camel Factors &amp; Ratio Analysis'!C23:N23</xm:f>
              <xm:sqref>O23</xm:sqref>
            </x14:sparkline>
          </x14:sparklines>
        </x14:sparklineGroup>
      </x14:sparklineGroup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74A9C-F456-445D-80C2-208C099FA452}">
  <dimension ref="C1:P35"/>
  <sheetViews>
    <sheetView showGridLines="0" topLeftCell="A32" zoomScale="46" zoomScaleNormal="114" workbookViewId="0">
      <selection activeCell="T19" sqref="T19"/>
    </sheetView>
  </sheetViews>
  <sheetFormatPr defaultRowHeight="14.4"/>
  <cols>
    <col min="3" max="3" width="39.21875" customWidth="1"/>
    <col min="4" max="5" width="9.5546875" bestFit="1" customWidth="1"/>
    <col min="6" max="6" width="9.5546875" customWidth="1"/>
    <col min="7" max="15" width="9.5546875" bestFit="1" customWidth="1"/>
    <col min="16" max="16" width="16" customWidth="1"/>
  </cols>
  <sheetData>
    <row r="1" spans="3:16">
      <c r="C1" s="53" t="s">
        <v>109</v>
      </c>
      <c r="D1" s="49"/>
      <c r="E1" s="49"/>
      <c r="F1" s="49"/>
      <c r="G1" s="49"/>
      <c r="H1" s="49"/>
      <c r="I1" s="49"/>
      <c r="J1" s="49"/>
      <c r="K1" s="49"/>
      <c r="L1" s="49"/>
      <c r="M1" s="49"/>
      <c r="N1" s="49"/>
      <c r="O1" s="49"/>
    </row>
    <row r="2" spans="3:16">
      <c r="C2" s="49"/>
      <c r="D2" s="49"/>
      <c r="E2" s="49"/>
      <c r="F2" s="49"/>
      <c r="G2" s="49"/>
      <c r="H2" s="49"/>
      <c r="I2" s="49"/>
      <c r="J2" s="49"/>
      <c r="K2" s="49"/>
      <c r="L2" s="49"/>
      <c r="M2" s="49"/>
      <c r="N2" s="49"/>
      <c r="O2" s="49"/>
    </row>
    <row r="3" spans="3:16">
      <c r="C3" s="49"/>
      <c r="D3" s="49"/>
      <c r="E3" s="49"/>
      <c r="F3" s="49"/>
      <c r="G3" s="49"/>
      <c r="H3" s="49"/>
      <c r="I3" s="49"/>
      <c r="J3" s="49"/>
      <c r="K3" s="49"/>
      <c r="L3" s="49"/>
      <c r="M3" s="49"/>
      <c r="N3" s="49"/>
      <c r="O3" s="49"/>
    </row>
    <row r="4" spans="3:16">
      <c r="C4" s="49"/>
      <c r="D4" s="49"/>
      <c r="E4" s="49"/>
      <c r="F4" s="49"/>
      <c r="G4" s="49"/>
      <c r="H4" s="49"/>
      <c r="I4" s="49"/>
      <c r="J4" s="49"/>
      <c r="K4" s="49"/>
      <c r="L4" s="49"/>
      <c r="M4" s="49"/>
      <c r="N4" s="49"/>
      <c r="O4" s="49"/>
    </row>
    <row r="6" spans="3:16">
      <c r="C6" s="29" t="s">
        <v>4</v>
      </c>
      <c r="D6" s="31">
        <f>'Raw data'!C6</f>
        <v>41334</v>
      </c>
      <c r="E6" s="31">
        <f>'Raw data'!D6</f>
        <v>41699</v>
      </c>
      <c r="F6" s="31">
        <f>'Raw data'!E6</f>
        <v>42064</v>
      </c>
      <c r="G6" s="31">
        <f>'Raw data'!F6</f>
        <v>42430</v>
      </c>
      <c r="H6" s="31">
        <f>'Raw data'!G6</f>
        <v>42795</v>
      </c>
      <c r="I6" s="31">
        <f>'Raw data'!H6</f>
        <v>43160</v>
      </c>
      <c r="J6" s="31">
        <f>'Raw data'!I6</f>
        <v>43525</v>
      </c>
      <c r="K6" s="31">
        <f>'Raw data'!J6</f>
        <v>43891</v>
      </c>
      <c r="L6" s="31">
        <f>'Raw data'!K6</f>
        <v>44256</v>
      </c>
      <c r="M6" s="31">
        <f>'Raw data'!L6</f>
        <v>44621</v>
      </c>
      <c r="N6" s="31">
        <f>'Raw data'!M6</f>
        <v>44986</v>
      </c>
      <c r="O6" s="31">
        <f>'Raw data'!N6</f>
        <v>45352</v>
      </c>
      <c r="P6" s="29" t="s">
        <v>121</v>
      </c>
    </row>
    <row r="7" spans="3:16">
      <c r="C7" t="s">
        <v>8</v>
      </c>
      <c r="D7" s="61">
        <f>'Raw data'!C7</f>
        <v>35861</v>
      </c>
      <c r="E7" s="61">
        <f>'Raw data'!D7</f>
        <v>42555</v>
      </c>
      <c r="F7" s="61">
        <f>'Raw data'!E7</f>
        <v>50666</v>
      </c>
      <c r="G7" s="61">
        <f>'Raw data'!F7</f>
        <v>63162</v>
      </c>
      <c r="H7" s="61">
        <f>'Raw data'!G7</f>
        <v>73271</v>
      </c>
      <c r="I7" s="61">
        <f>'Raw data'!H7</f>
        <v>85288</v>
      </c>
      <c r="J7" s="61">
        <f>'Raw data'!I7</f>
        <v>105161</v>
      </c>
      <c r="K7" s="61">
        <f>'Raw data'!J7</f>
        <v>122189</v>
      </c>
      <c r="L7" s="61">
        <f>'Raw data'!K7</f>
        <v>128552</v>
      </c>
      <c r="M7" s="61">
        <f>'Raw data'!L7</f>
        <v>135936</v>
      </c>
      <c r="N7" s="61">
        <f>'Raw data'!M7</f>
        <v>170754</v>
      </c>
      <c r="O7" s="61">
        <f>'Raw data'!N7</f>
        <v>283649</v>
      </c>
      <c r="P7" s="54"/>
    </row>
    <row r="8" spans="3:16">
      <c r="C8" s="97" t="s">
        <v>120</v>
      </c>
      <c r="D8" s="98"/>
      <c r="E8" s="99">
        <f>(E7-D7)/D7</f>
        <v>0.18666517944284877</v>
      </c>
      <c r="F8" s="99">
        <f t="shared" ref="F8:N8" si="0">(F7-E7)/E7</f>
        <v>0.19060039948302196</v>
      </c>
      <c r="G8" s="99">
        <f t="shared" si="0"/>
        <v>0.24663482414242294</v>
      </c>
      <c r="H8" s="99">
        <f t="shared" si="0"/>
        <v>0.16004876349703936</v>
      </c>
      <c r="I8" s="99">
        <f t="shared" si="0"/>
        <v>0.1640075882682098</v>
      </c>
      <c r="J8" s="99">
        <f t="shared" si="0"/>
        <v>0.23301050558108996</v>
      </c>
      <c r="K8" s="99">
        <f t="shared" si="0"/>
        <v>0.1619231464135944</v>
      </c>
      <c r="L8" s="99">
        <f t="shared" si="0"/>
        <v>5.2075064040134546E-2</v>
      </c>
      <c r="M8" s="99">
        <f t="shared" si="0"/>
        <v>5.743979090173626E-2</v>
      </c>
      <c r="N8" s="99">
        <f t="shared" si="0"/>
        <v>0.25613524011299438</v>
      </c>
      <c r="O8" s="99">
        <f>(O7-N7)/N7</f>
        <v>0.66115581479789642</v>
      </c>
      <c r="P8" s="101">
        <f>RATE(11,,-D7,O7)</f>
        <v>0.20684308275577828</v>
      </c>
    </row>
    <row r="9" spans="3:16">
      <c r="C9" t="s">
        <v>16</v>
      </c>
      <c r="D9" s="61">
        <f>'Raw data'!C12</f>
        <v>7133</v>
      </c>
      <c r="E9" s="61">
        <f>'Raw data'!D12</f>
        <v>8298</v>
      </c>
      <c r="F9" s="61">
        <f>'Raw data'!E12</f>
        <v>9546</v>
      </c>
      <c r="G9" s="61">
        <f>'Raw data'!F12</f>
        <v>11212</v>
      </c>
      <c r="H9" s="61">
        <f>'Raw data'!G12</f>
        <v>12905</v>
      </c>
      <c r="I9" s="61">
        <f>'Raw data'!H12</f>
        <v>16057</v>
      </c>
      <c r="J9" s="61">
        <f>'Raw data'!I12</f>
        <v>18947</v>
      </c>
      <c r="K9" s="61">
        <f>'Raw data'!J12</f>
        <v>24879</v>
      </c>
      <c r="L9" s="61">
        <f>'Raw data'!K12</f>
        <v>27333</v>
      </c>
      <c r="M9" s="61">
        <f>'Raw data'!L12</f>
        <v>31759</v>
      </c>
      <c r="N9" s="61">
        <f>'Raw data'!M12</f>
        <v>33912</v>
      </c>
      <c r="O9" s="61">
        <f>'Raw data'!N12</f>
        <v>124346</v>
      </c>
      <c r="P9" s="54"/>
    </row>
    <row r="10" spans="3:16">
      <c r="C10" s="97" t="s">
        <v>122</v>
      </c>
      <c r="D10" s="98"/>
      <c r="E10" s="99">
        <f>(E9-D9)/D9</f>
        <v>0.16332538903687088</v>
      </c>
      <c r="F10" s="99">
        <f t="shared" ref="F10:O10" si="1">(F9-E9)/E9</f>
        <v>0.15039768618944324</v>
      </c>
      <c r="G10" s="99">
        <f t="shared" si="1"/>
        <v>0.17452336056987219</v>
      </c>
      <c r="H10" s="99">
        <f t="shared" si="1"/>
        <v>0.15099892971815912</v>
      </c>
      <c r="I10" s="99">
        <f t="shared" si="1"/>
        <v>0.2442464161177838</v>
      </c>
      <c r="J10" s="99">
        <f t="shared" si="1"/>
        <v>0.17998380768512176</v>
      </c>
      <c r="K10" s="99">
        <f t="shared" si="1"/>
        <v>0.31308386551960732</v>
      </c>
      <c r="L10" s="99">
        <f t="shared" si="1"/>
        <v>9.8637405040395518E-2</v>
      </c>
      <c r="M10" s="99">
        <f t="shared" si="1"/>
        <v>0.161928804009805</v>
      </c>
      <c r="N10" s="99">
        <f t="shared" si="1"/>
        <v>6.7791807046821376E-2</v>
      </c>
      <c r="O10" s="99">
        <f t="shared" si="1"/>
        <v>2.6667256428402926</v>
      </c>
      <c r="P10" s="101">
        <f>RATE(11,,-D9,O9)</f>
        <v>0.29673392304305446</v>
      </c>
    </row>
    <row r="11" spans="3:16">
      <c r="C11" t="s">
        <v>17</v>
      </c>
      <c r="D11" s="61">
        <f>SUM(D7:D9)</f>
        <v>42994</v>
      </c>
      <c r="E11" s="61">
        <f>SUM(E7:E9)</f>
        <v>50853.186665179441</v>
      </c>
      <c r="F11" s="61">
        <f>SUM(F7:F9)</f>
        <v>60212.190600399481</v>
      </c>
      <c r="G11" s="61">
        <f>SUM(G7:G9)</f>
        <v>74374.246634824143</v>
      </c>
      <c r="H11" s="61">
        <f>SUM(H7:H9)</f>
        <v>86176.160048763501</v>
      </c>
      <c r="I11" s="61">
        <f>SUM(I7:I9)</f>
        <v>101345.16400758828</v>
      </c>
      <c r="J11" s="61">
        <f>SUM(J7:J9)</f>
        <v>124108.23301050559</v>
      </c>
      <c r="K11" s="61">
        <f>SUM(K7:K9)</f>
        <v>147068.1619231464</v>
      </c>
      <c r="L11" s="61">
        <f>SUM(L7:L9)</f>
        <v>155885.05207506404</v>
      </c>
      <c r="M11" s="61">
        <f>SUM(M7:M9)</f>
        <v>167695.05743979089</v>
      </c>
      <c r="N11" s="61">
        <f>SUM(N7:N9)</f>
        <v>204666.25613524011</v>
      </c>
      <c r="O11" s="61">
        <f>SUM(O7:O9)</f>
        <v>407995.66115581477</v>
      </c>
      <c r="P11" s="54"/>
    </row>
    <row r="12" spans="3:16">
      <c r="C12" s="97" t="s">
        <v>123</v>
      </c>
      <c r="D12" s="97"/>
      <c r="E12" s="99">
        <f>(E11-D11)/D11</f>
        <v>0.18279728950968602</v>
      </c>
      <c r="F12" s="99">
        <f t="shared" ref="F12:O12" si="2">(F11-E11)/E11</f>
        <v>0.18403967477673144</v>
      </c>
      <c r="G12" s="99">
        <f t="shared" si="2"/>
        <v>0.23520247134690203</v>
      </c>
      <c r="H12" s="99">
        <f t="shared" si="2"/>
        <v>0.1586827961012699</v>
      </c>
      <c r="I12" s="99">
        <f t="shared" si="2"/>
        <v>0.17602320584070197</v>
      </c>
      <c r="J12" s="99">
        <f t="shared" si="2"/>
        <v>0.22460932621523919</v>
      </c>
      <c r="K12" s="99">
        <f t="shared" si="2"/>
        <v>0.18499924103099014</v>
      </c>
      <c r="L12" s="99">
        <f t="shared" si="2"/>
        <v>5.9951046077023097E-2</v>
      </c>
      <c r="M12" s="99">
        <f t="shared" si="2"/>
        <v>7.5760986749646306E-2</v>
      </c>
      <c r="N12" s="99">
        <f t="shared" si="2"/>
        <v>0.22046683581430734</v>
      </c>
      <c r="O12" s="99">
        <f t="shared" si="2"/>
        <v>0.99346814106091785</v>
      </c>
      <c r="P12" s="101">
        <f>RATE(11,,-D11,O11)</f>
        <v>0.22698908486125025</v>
      </c>
    </row>
    <row r="13" spans="3:16">
      <c r="C13" t="s">
        <v>9</v>
      </c>
      <c r="D13" s="61">
        <f>'Raw data'!C8</f>
        <v>19695</v>
      </c>
      <c r="E13" s="61">
        <f>'Raw data'!D8</f>
        <v>23445</v>
      </c>
      <c r="F13" s="61">
        <f>'Raw data'!E8</f>
        <v>27288</v>
      </c>
      <c r="G13" s="61">
        <f>'Raw data'!F8</f>
        <v>34070</v>
      </c>
      <c r="H13" s="61">
        <f>'Raw data'!G8</f>
        <v>38042</v>
      </c>
      <c r="I13" s="61">
        <f>'Raw data'!H8</f>
        <v>42381</v>
      </c>
      <c r="J13" s="61">
        <f>'Raw data'!I8</f>
        <v>53713</v>
      </c>
      <c r="K13" s="61">
        <f>'Raw data'!J8</f>
        <v>62137</v>
      </c>
      <c r="L13" s="61">
        <f>'Raw data'!K8</f>
        <v>59248</v>
      </c>
      <c r="M13" s="61">
        <f>'Raw data'!L8</f>
        <v>58584</v>
      </c>
      <c r="N13" s="61">
        <f>'Raw data'!M8</f>
        <v>77780</v>
      </c>
      <c r="O13" s="61">
        <f>'Raw data'!N8</f>
        <v>154139</v>
      </c>
      <c r="P13" s="54"/>
    </row>
    <row r="14" spans="3:16">
      <c r="C14" s="97" t="s">
        <v>124</v>
      </c>
      <c r="D14" s="99">
        <f>D13/D7</f>
        <v>0.54920387049998609</v>
      </c>
      <c r="E14" s="99">
        <f>E13/E7</f>
        <v>0.55093408530137467</v>
      </c>
      <c r="F14" s="99">
        <f t="shared" ref="F14:O14" si="3">F13/F7</f>
        <v>0.53858603402676353</v>
      </c>
      <c r="G14" s="99">
        <f t="shared" si="3"/>
        <v>0.5394066052373262</v>
      </c>
      <c r="H14" s="99">
        <f t="shared" si="3"/>
        <v>0.51919586193719203</v>
      </c>
      <c r="I14" s="99">
        <f t="shared" si="3"/>
        <v>0.49691633055060502</v>
      </c>
      <c r="J14" s="99">
        <f t="shared" si="3"/>
        <v>0.51076920151006555</v>
      </c>
      <c r="K14" s="99">
        <f t="shared" si="3"/>
        <v>0.50853186457046051</v>
      </c>
      <c r="L14" s="99">
        <f t="shared" si="3"/>
        <v>0.46088742298836266</v>
      </c>
      <c r="M14" s="99">
        <f t="shared" si="3"/>
        <v>0.43096751412429379</v>
      </c>
      <c r="N14" s="99">
        <f t="shared" si="3"/>
        <v>0.45550909495531583</v>
      </c>
      <c r="O14" s="99">
        <f t="shared" si="3"/>
        <v>0.54341457223540357</v>
      </c>
      <c r="P14" s="54"/>
    </row>
    <row r="15" spans="3:16">
      <c r="C15" t="s">
        <v>12</v>
      </c>
      <c r="D15" s="62">
        <f>'Raw data'!C13</f>
        <v>663</v>
      </c>
      <c r="E15" s="62">
        <f>'Raw data'!D13</f>
        <v>689</v>
      </c>
      <c r="F15" s="62">
        <f>'Raw data'!E13</f>
        <v>680</v>
      </c>
      <c r="G15" s="62">
        <f>'Raw data'!F13</f>
        <v>738</v>
      </c>
      <c r="H15" s="62">
        <f>'Raw data'!G13</f>
        <v>886</v>
      </c>
      <c r="I15" s="62">
        <f>'Raw data'!H13</f>
        <v>967</v>
      </c>
      <c r="J15" s="62">
        <f>'Raw data'!I13</f>
        <v>1221</v>
      </c>
      <c r="K15" s="62">
        <f>'Raw data'!J13</f>
        <v>1277</v>
      </c>
      <c r="L15" s="62">
        <f>'Raw data'!K13</f>
        <v>1385</v>
      </c>
      <c r="M15" s="62">
        <f>'Raw data'!L13</f>
        <v>1681</v>
      </c>
      <c r="N15" s="62">
        <f>'Raw data'!M13</f>
        <v>2345</v>
      </c>
      <c r="O15" s="62">
        <f>'Raw data'!N13</f>
        <v>3092</v>
      </c>
      <c r="P15" s="54"/>
    </row>
    <row r="16" spans="3:16">
      <c r="C16" s="97" t="s">
        <v>125</v>
      </c>
      <c r="D16" s="99">
        <f>D15/D9</f>
        <v>9.2948268610682741E-2</v>
      </c>
      <c r="E16" s="99">
        <f>E15/E9</f>
        <v>8.3032055917088454E-2</v>
      </c>
      <c r="F16" s="99">
        <f t="shared" ref="F16" si="4">F15/F9</f>
        <v>7.1234024722396816E-2</v>
      </c>
      <c r="G16" s="99">
        <f t="shared" ref="G16" si="5">G15/G9</f>
        <v>6.5822333214413123E-2</v>
      </c>
      <c r="H16" s="99">
        <f t="shared" ref="H16" si="6">H15/H9</f>
        <v>6.8655559860519175E-2</v>
      </c>
      <c r="I16" s="99">
        <f t="shared" ref="I16" si="7">I15/I9</f>
        <v>6.0222955720246621E-2</v>
      </c>
      <c r="J16" s="99">
        <f t="shared" ref="J16" si="8">J15/J9</f>
        <v>6.444291972343906E-2</v>
      </c>
      <c r="K16" s="99">
        <f t="shared" ref="K16" si="9">K15/K9</f>
        <v>5.1328429599260421E-2</v>
      </c>
      <c r="L16" s="99">
        <f t="shared" ref="L16" si="10">L15/L9</f>
        <v>5.0671349650605498E-2</v>
      </c>
      <c r="M16" s="99">
        <f t="shared" ref="M16" si="11">M15/M9</f>
        <v>5.2929878144777856E-2</v>
      </c>
      <c r="N16" s="99">
        <f t="shared" ref="N16" si="12">N15/N9</f>
        <v>6.9149563576315173E-2</v>
      </c>
      <c r="O16" s="99">
        <f t="shared" ref="O16" si="13">O15/O9</f>
        <v>2.4866099432229425E-2</v>
      </c>
      <c r="P16" s="54"/>
    </row>
    <row r="17" spans="3:16">
      <c r="C17" t="s">
        <v>18</v>
      </c>
      <c r="D17" s="61">
        <f>'Raw data'!C9</f>
        <v>12631</v>
      </c>
      <c r="E17" s="61">
        <f>'Raw data'!D9</f>
        <v>13508</v>
      </c>
      <c r="F17" s="61">
        <f>'Raw data'!E9</f>
        <v>16164</v>
      </c>
      <c r="G17" s="61">
        <f>'Raw data'!F9</f>
        <v>20055</v>
      </c>
      <c r="H17" s="61">
        <f>'Raw data'!G9</f>
        <v>23856</v>
      </c>
      <c r="I17" s="61">
        <f>'Raw data'!H9</f>
        <v>29532</v>
      </c>
      <c r="J17" s="61">
        <f>'Raw data'!I9</f>
        <v>34856</v>
      </c>
      <c r="K17" s="61">
        <f>'Raw data'!J9</f>
        <v>45459</v>
      </c>
      <c r="L17" s="61">
        <f>'Raw data'!K9</f>
        <v>52457</v>
      </c>
      <c r="M17" s="61">
        <f>'Raw data'!L9</f>
        <v>56557</v>
      </c>
      <c r="N17" s="61">
        <f>'Raw data'!M9</f>
        <v>63042</v>
      </c>
      <c r="O17" s="61">
        <f>'Raw data'!N9</f>
        <v>174196</v>
      </c>
      <c r="P17" s="54"/>
    </row>
    <row r="18" spans="3:16">
      <c r="C18" s="97" t="s">
        <v>126</v>
      </c>
      <c r="D18" s="99">
        <f>D17/D11</f>
        <v>0.29378517932734799</v>
      </c>
      <c r="E18" s="99">
        <f>E17/E11</f>
        <v>0.26562740480626151</v>
      </c>
      <c r="F18" s="99">
        <f t="shared" ref="F18" si="14">F17/F11</f>
        <v>0.26845062169009942</v>
      </c>
      <c r="G18" s="99">
        <f t="shared" ref="G18" si="15">G17/G11</f>
        <v>0.26964979018166857</v>
      </c>
      <c r="H18" s="99">
        <f t="shared" ref="H18" si="16">H17/H11</f>
        <v>0.27682830131327368</v>
      </c>
      <c r="I18" s="99">
        <f t="shared" ref="I18" si="17">I17/I11</f>
        <v>0.29140018953236657</v>
      </c>
      <c r="J18" s="99">
        <f t="shared" ref="J18" si="18">J17/J11</f>
        <v>0.28085163372722816</v>
      </c>
      <c r="K18" s="99">
        <f t="shared" ref="K18" si="19">K17/K11</f>
        <v>0.30910157171717129</v>
      </c>
      <c r="L18" s="99">
        <f t="shared" ref="L18" si="20">L17/L11</f>
        <v>0.33651077702267529</v>
      </c>
      <c r="M18" s="99">
        <f t="shared" ref="M18" si="21">M17/M11</f>
        <v>0.33726098349861133</v>
      </c>
      <c r="N18" s="99">
        <f t="shared" ref="N18" si="22">N17/N11</f>
        <v>0.30802341915290071</v>
      </c>
      <c r="O18" s="99">
        <f t="shared" ref="O18" si="23">O17/O11</f>
        <v>0.42695552081735011</v>
      </c>
      <c r="P18" s="54"/>
    </row>
    <row r="19" spans="3:16">
      <c r="C19" t="s">
        <v>13</v>
      </c>
      <c r="D19" s="61">
        <f>D11-SUM(D13:D17)</f>
        <v>10004.357847860883</v>
      </c>
      <c r="E19" s="61">
        <f t="shared" ref="E19:O19" si="24">E11-SUM(E13:E17)</f>
        <v>13210.55269903822</v>
      </c>
      <c r="F19" s="61">
        <f t="shared" si="24"/>
        <v>16079.58078034073</v>
      </c>
      <c r="G19" s="61">
        <f t="shared" si="24"/>
        <v>19510.64140588569</v>
      </c>
      <c r="H19" s="61">
        <f t="shared" si="24"/>
        <v>23391.572197341702</v>
      </c>
      <c r="I19" s="61">
        <f t="shared" si="24"/>
        <v>28464.606868301998</v>
      </c>
      <c r="J19" s="61">
        <f t="shared" si="24"/>
        <v>34317.65779838436</v>
      </c>
      <c r="K19" s="61">
        <f t="shared" si="24"/>
        <v>38194.602062852238</v>
      </c>
      <c r="L19" s="61">
        <f t="shared" si="24"/>
        <v>42794.540516291396</v>
      </c>
      <c r="M19" s="61">
        <f t="shared" si="24"/>
        <v>50872.573542398619</v>
      </c>
      <c r="N19" s="61">
        <f t="shared" si="24"/>
        <v>61498.731476581568</v>
      </c>
      <c r="O19" s="61">
        <f t="shared" si="24"/>
        <v>76568.092875143106</v>
      </c>
      <c r="P19" s="54"/>
    </row>
    <row r="20" spans="3:16">
      <c r="C20" s="97" t="s">
        <v>128</v>
      </c>
      <c r="D20" s="99">
        <f>D19/D13</f>
        <v>0.50796434871088514</v>
      </c>
      <c r="E20" s="99">
        <f>E19/E13</f>
        <v>0.56346993811210155</v>
      </c>
      <c r="F20" s="99">
        <f>F19/F13</f>
        <v>0.58925464601072741</v>
      </c>
      <c r="G20" s="99">
        <f>G19/G13</f>
        <v>0.57266338144660078</v>
      </c>
      <c r="H20" s="99">
        <f>H19/H13</f>
        <v>0.61488807626680253</v>
      </c>
      <c r="I20" s="99">
        <f>I19/I13</f>
        <v>0.67163603662730942</v>
      </c>
      <c r="J20" s="99">
        <f>J19/J13</f>
        <v>0.63890785840270248</v>
      </c>
      <c r="K20" s="99">
        <f>K19/K13</f>
        <v>0.61468371602832839</v>
      </c>
      <c r="L20" s="99">
        <f>L19/L13</f>
        <v>0.722295107282801</v>
      </c>
      <c r="M20" s="99">
        <f>M19/M13</f>
        <v>0.86836975185031096</v>
      </c>
      <c r="N20" s="99">
        <f>N19/N13</f>
        <v>0.79067538540218008</v>
      </c>
      <c r="O20" s="99">
        <f>O19/O13</f>
        <v>0.49674704568696504</v>
      </c>
      <c r="P20" s="54"/>
    </row>
    <row r="21" spans="3:16">
      <c r="C21" s="97" t="s">
        <v>129</v>
      </c>
      <c r="D21" s="99"/>
      <c r="E21" s="99">
        <f>(E19-D19)/D19</f>
        <v>0.32047982488580024</v>
      </c>
      <c r="F21" s="99">
        <f t="shared" ref="F21:O21" si="25">(F19-E19)/E19</f>
        <v>0.21717699074856919</v>
      </c>
      <c r="G21" s="99">
        <f t="shared" si="25"/>
        <v>0.21337998001414657</v>
      </c>
      <c r="H21" s="99">
        <f t="shared" si="25"/>
        <v>0.19891354213938189</v>
      </c>
      <c r="I21" s="99">
        <f t="shared" si="25"/>
        <v>0.21687446351027287</v>
      </c>
      <c r="J21" s="99">
        <f t="shared" si="25"/>
        <v>0.20562556711788915</v>
      </c>
      <c r="K21" s="99">
        <f t="shared" si="25"/>
        <v>0.11297228637352986</v>
      </c>
      <c r="L21" s="99">
        <f t="shared" si="25"/>
        <v>0.12043425523506161</v>
      </c>
      <c r="M21" s="99">
        <f t="shared" si="25"/>
        <v>0.18876316765293946</v>
      </c>
      <c r="N21" s="99">
        <f t="shared" si="25"/>
        <v>0.20887793155042203</v>
      </c>
      <c r="O21" s="99">
        <f t="shared" si="25"/>
        <v>0.24503532083909535</v>
      </c>
      <c r="P21" s="101">
        <f>RATE(11,,-D19,O19)</f>
        <v>0.20323590497177893</v>
      </c>
    </row>
    <row r="22" spans="3:16">
      <c r="C22" t="s">
        <v>19</v>
      </c>
      <c r="D22" s="61">
        <f>D19-D23</f>
        <v>3101.3509328368737</v>
      </c>
      <c r="E22" s="61">
        <f>E19-E23</f>
        <v>4491.5879176729941</v>
      </c>
      <c r="F22" s="61">
        <f>F19-F23</f>
        <v>5306.2616575124412</v>
      </c>
      <c r="G22" s="61">
        <f>G19-G23</f>
        <v>6633.6180780011346</v>
      </c>
      <c r="H22" s="61">
        <f>H19-H23</f>
        <v>8187.0502690695939</v>
      </c>
      <c r="I22" s="61">
        <f>I19-I23</f>
        <v>9962.6124039056995</v>
      </c>
      <c r="J22" s="61">
        <f>J19-J23</f>
        <v>12011.180229434525</v>
      </c>
      <c r="K22" s="61">
        <f>K19-K23</f>
        <v>11076.434598227148</v>
      </c>
      <c r="L22" s="61">
        <f>L19-L23</f>
        <v>11126.580534235763</v>
      </c>
      <c r="M22" s="61">
        <f>M19-M23</f>
        <v>12718.143385599658</v>
      </c>
      <c r="N22" s="61">
        <f>N19-N23</f>
        <v>15374.682869145392</v>
      </c>
      <c r="O22" s="61">
        <f>O19-O23</f>
        <v>11485.213931271464</v>
      </c>
      <c r="P22" s="54"/>
    </row>
    <row r="23" spans="3:16">
      <c r="C23" s="36" t="s">
        <v>20</v>
      </c>
      <c r="D23" s="100">
        <f>D19-(0.31*D19)</f>
        <v>6903.0069150240097</v>
      </c>
      <c r="E23" s="100">
        <f>E19-(0.34*E19)</f>
        <v>8718.9647813652264</v>
      </c>
      <c r="F23" s="100">
        <f>F19-(0.33*F19)</f>
        <v>10773.319122828289</v>
      </c>
      <c r="G23" s="100">
        <f>G19-(0.34*G19)</f>
        <v>12877.023327884555</v>
      </c>
      <c r="H23" s="100">
        <f>H19-(0.35*H19)</f>
        <v>15204.521928272108</v>
      </c>
      <c r="I23" s="100">
        <f>I19-(0.35*I19)</f>
        <v>18501.994464396299</v>
      </c>
      <c r="J23" s="100">
        <f>J19-(0.35*J19)</f>
        <v>22306.477568949835</v>
      </c>
      <c r="K23" s="100">
        <f>K19-(0.29*K19)</f>
        <v>27118.16746462509</v>
      </c>
      <c r="L23" s="100">
        <f>L19-(0.26*L19)</f>
        <v>31667.959982055632</v>
      </c>
      <c r="M23" s="100">
        <f>M19-(0.25*M19)</f>
        <v>38154.430156798961</v>
      </c>
      <c r="N23" s="100">
        <f>N19-(0.25*N19)</f>
        <v>46124.048607436176</v>
      </c>
      <c r="O23" s="100">
        <f>O19-(0.15*O19)</f>
        <v>65082.878943871641</v>
      </c>
      <c r="P23" s="54"/>
    </row>
    <row r="24" spans="3:16">
      <c r="C24" s="97" t="s">
        <v>127</v>
      </c>
      <c r="D24" s="99">
        <f>D23/D7</f>
        <v>0.19249343060773569</v>
      </c>
      <c r="E24" s="99">
        <f>E23/E7</f>
        <v>0.2048869646660845</v>
      </c>
      <c r="F24" s="99">
        <f>F23/F7</f>
        <v>0.21263409629393062</v>
      </c>
      <c r="G24" s="99">
        <f>G23/G7</f>
        <v>0.20387295094969374</v>
      </c>
      <c r="H24" s="99">
        <f>H23/H7</f>
        <v>0.2075107740889589</v>
      </c>
      <c r="I24" s="99">
        <f>I23/I7</f>
        <v>0.2169354946111563</v>
      </c>
      <c r="J24" s="99">
        <f>J23/J7</f>
        <v>0.21211739683865535</v>
      </c>
      <c r="K24" s="99">
        <f>K23/K7</f>
        <v>0.22193624192541955</v>
      </c>
      <c r="L24" s="99">
        <f>L23/L7</f>
        <v>0.2463435806681781</v>
      </c>
      <c r="M24" s="99">
        <f>M23/M7</f>
        <v>0.28067936497174378</v>
      </c>
      <c r="N24" s="99">
        <f>N23/N7</f>
        <v>0.27011987190599446</v>
      </c>
      <c r="O24" s="99">
        <f>O23/O7</f>
        <v>0.22944864584000521</v>
      </c>
      <c r="P24" s="54"/>
    </row>
    <row r="25" spans="3:16">
      <c r="C25" s="97" t="s">
        <v>129</v>
      </c>
      <c r="D25" s="99"/>
      <c r="E25" s="99">
        <f>(E23-D23)/D23</f>
        <v>0.26306765858641767</v>
      </c>
      <c r="F25" s="99">
        <f t="shared" ref="F25:O25" si="26">(F23-E23)/E23</f>
        <v>0.23561906636597157</v>
      </c>
      <c r="G25" s="99">
        <f t="shared" si="26"/>
        <v>0.1952698310587116</v>
      </c>
      <c r="H25" s="99">
        <f t="shared" si="26"/>
        <v>0.1807481854403005</v>
      </c>
      <c r="I25" s="99">
        <f t="shared" si="26"/>
        <v>0.21687446351027273</v>
      </c>
      <c r="J25" s="99">
        <f t="shared" si="26"/>
        <v>0.20562556711788921</v>
      </c>
      <c r="K25" s="99">
        <f t="shared" si="26"/>
        <v>0.21570818973108649</v>
      </c>
      <c r="L25" s="99">
        <f t="shared" si="26"/>
        <v>0.16777654770978245</v>
      </c>
      <c r="M25" s="99">
        <f t="shared" si="26"/>
        <v>0.2048275347833845</v>
      </c>
      <c r="N25" s="99">
        <f t="shared" si="26"/>
        <v>0.20887793155042214</v>
      </c>
      <c r="O25" s="99">
        <f t="shared" si="26"/>
        <v>0.41104003028430813</v>
      </c>
      <c r="P25" s="101">
        <f>RATE(11,,-D23,O23)</f>
        <v>0.22626520180807697</v>
      </c>
    </row>
    <row r="27" spans="3:16">
      <c r="C27" s="55" t="s">
        <v>22</v>
      </c>
      <c r="D27" s="94">
        <f>D23/'Camel Factors &amp; Ratio Analysis'!C22</f>
        <v>478.04757029252147</v>
      </c>
      <c r="E27" s="94">
        <f>E23/'Camel Factors &amp; Ratio Analysis'!D22</f>
        <v>478.53813289600589</v>
      </c>
      <c r="F27" s="94">
        <f>F23/'Camel Factors &amp; Ratio Analysis'!E22</f>
        <v>505.31515585498539</v>
      </c>
      <c r="G27" s="94">
        <f>G23/'Camel Factors &amp; Ratio Analysis'!F22</f>
        <v>508.57122148043265</v>
      </c>
      <c r="H27" s="94">
        <f>H23/'Camel Factors &amp; Ratio Analysis'!G22</f>
        <v>510.047699707216</v>
      </c>
      <c r="I27" s="94">
        <f>I23/'Camel Factors &amp; Ratio Analysis'!H22</f>
        <v>518.84448862580768</v>
      </c>
      <c r="J27" s="94">
        <f>J23/'Camel Factors &amp; Ratio Analysis'!I22</f>
        <v>544.06042851097163</v>
      </c>
      <c r="K27" s="94">
        <f>K23/'Camel Factors &amp; Ratio Analysis'!J22</f>
        <v>545.63717232646059</v>
      </c>
      <c r="L27" s="94">
        <f>L23/'Camel Factors &amp; Ratio Analysis'!K22</f>
        <v>548.4579144796611</v>
      </c>
      <c r="M27" s="94">
        <f>M23/'Camel Factors &amp; Ratio Analysis'!L22</f>
        <v>556.02492213347364</v>
      </c>
      <c r="N27" s="94">
        <f>N23/'Camel Factors &amp; Ratio Analysis'!M22</f>
        <v>559.4862761697741</v>
      </c>
      <c r="O27" s="94">
        <f>O23/'Camel Factors &amp; Ratio Analysis'!N22</f>
        <v>771.76424693313936</v>
      </c>
    </row>
    <row r="28" spans="3:16">
      <c r="C28" s="55" t="s">
        <v>35</v>
      </c>
      <c r="D28" s="55">
        <v>407723</v>
      </c>
      <c r="E28" s="55">
        <v>503620</v>
      </c>
      <c r="F28" s="55">
        <v>607097</v>
      </c>
      <c r="G28" s="55">
        <v>762212</v>
      </c>
      <c r="H28" s="55">
        <v>892344</v>
      </c>
      <c r="I28" s="55">
        <v>1103186</v>
      </c>
      <c r="J28" s="55">
        <v>1292806</v>
      </c>
      <c r="K28" s="55">
        <v>1580830</v>
      </c>
      <c r="L28" s="55">
        <v>1799507</v>
      </c>
      <c r="M28" s="55">
        <v>2122934</v>
      </c>
      <c r="N28" s="55">
        <v>2530432</v>
      </c>
      <c r="O28" s="55">
        <v>4030194</v>
      </c>
    </row>
    <row r="29" spans="3:16">
      <c r="C29" s="55" t="s">
        <v>36</v>
      </c>
      <c r="D29" s="55">
        <v>27531</v>
      </c>
      <c r="E29" s="55">
        <v>39913</v>
      </c>
      <c r="F29" s="55">
        <v>36526</v>
      </c>
      <c r="G29" s="55">
        <v>39069</v>
      </c>
      <c r="H29" s="55">
        <v>49311</v>
      </c>
      <c r="I29" s="55">
        <v>123062</v>
      </c>
      <c r="J29" s="55">
        <v>81818</v>
      </c>
      <c r="K29" s="55">
        <v>87940</v>
      </c>
      <c r="L29" s="55">
        <v>121273</v>
      </c>
      <c r="M29" s="55">
        <v>155386</v>
      </c>
      <c r="N29" s="55">
        <v>197148</v>
      </c>
      <c r="O29" s="55">
        <v>228835</v>
      </c>
    </row>
    <row r="30" spans="3:16">
      <c r="C30" s="55" t="s">
        <v>25</v>
      </c>
      <c r="D30" s="55">
        <v>476</v>
      </c>
      <c r="E30" s="55">
        <v>480</v>
      </c>
      <c r="F30" s="55">
        <v>501</v>
      </c>
      <c r="G30" s="55">
        <v>506</v>
      </c>
      <c r="H30" s="55">
        <v>513</v>
      </c>
      <c r="I30" s="55">
        <v>519</v>
      </c>
      <c r="J30" s="55">
        <v>545</v>
      </c>
      <c r="K30" s="55">
        <v>548</v>
      </c>
      <c r="L30" s="55">
        <v>551</v>
      </c>
      <c r="M30" s="55">
        <v>555</v>
      </c>
      <c r="N30" s="55">
        <v>558</v>
      </c>
      <c r="O30" s="55">
        <v>760</v>
      </c>
    </row>
    <row r="31" spans="3:16">
      <c r="C31" s="55" t="s">
        <v>24</v>
      </c>
      <c r="D31" s="55">
        <v>36167</v>
      </c>
      <c r="E31" s="55">
        <v>43687</v>
      </c>
      <c r="F31" s="55">
        <v>62653</v>
      </c>
      <c r="G31" s="55">
        <v>73798</v>
      </c>
      <c r="H31" s="55">
        <v>91281</v>
      </c>
      <c r="I31" s="55">
        <v>109080</v>
      </c>
      <c r="J31" s="55">
        <v>153128</v>
      </c>
      <c r="K31" s="55">
        <v>175810</v>
      </c>
      <c r="L31" s="55">
        <v>209259</v>
      </c>
      <c r="M31" s="55">
        <v>246772</v>
      </c>
      <c r="N31" s="55">
        <v>288880</v>
      </c>
      <c r="O31" s="55">
        <v>455636</v>
      </c>
    </row>
    <row r="32" spans="3:16">
      <c r="C32" s="55" t="s">
        <v>23</v>
      </c>
      <c r="D32" s="95">
        <f>SUM(D30:D31)</f>
        <v>36643</v>
      </c>
      <c r="E32" s="95">
        <f>SUM(E30:E31)</f>
        <v>44167</v>
      </c>
      <c r="F32" s="95">
        <f t="shared" ref="F32:O32" si="27">SUM(F30:F31)</f>
        <v>63154</v>
      </c>
      <c r="G32" s="95">
        <f t="shared" si="27"/>
        <v>74304</v>
      </c>
      <c r="H32" s="95">
        <f t="shared" si="27"/>
        <v>91794</v>
      </c>
      <c r="I32" s="95">
        <f t="shared" si="27"/>
        <v>109599</v>
      </c>
      <c r="J32" s="95">
        <f t="shared" si="27"/>
        <v>153673</v>
      </c>
      <c r="K32" s="95">
        <f t="shared" si="27"/>
        <v>176358</v>
      </c>
      <c r="L32" s="95">
        <f t="shared" si="27"/>
        <v>209810</v>
      </c>
      <c r="M32" s="95">
        <f t="shared" si="27"/>
        <v>247327</v>
      </c>
      <c r="N32" s="95">
        <f t="shared" si="27"/>
        <v>289438</v>
      </c>
      <c r="O32" s="95">
        <f t="shared" si="27"/>
        <v>456396</v>
      </c>
    </row>
    <row r="33" spans="3:15">
      <c r="C33" s="55" t="s">
        <v>27</v>
      </c>
      <c r="D33" s="55">
        <v>335588</v>
      </c>
      <c r="E33" s="55">
        <v>416677</v>
      </c>
      <c r="F33" s="55">
        <v>509762</v>
      </c>
      <c r="G33" s="55">
        <v>649587</v>
      </c>
      <c r="H33" s="55">
        <v>741550</v>
      </c>
      <c r="I33" s="55">
        <v>944817</v>
      </c>
      <c r="J33" s="55">
        <v>1080235</v>
      </c>
      <c r="K33" s="55">
        <v>1333041</v>
      </c>
      <c r="L33" s="55">
        <v>1511418</v>
      </c>
      <c r="M33" s="55">
        <v>1784970</v>
      </c>
      <c r="N33" s="55">
        <v>2139212</v>
      </c>
      <c r="O33" s="55">
        <v>3107503</v>
      </c>
    </row>
    <row r="34" spans="3:15">
      <c r="C34" s="55" t="s">
        <v>30</v>
      </c>
      <c r="D34" s="55">
        <v>407723</v>
      </c>
      <c r="E34" s="55">
        <v>503620</v>
      </c>
      <c r="F34" s="55">
        <v>607097</v>
      </c>
      <c r="G34" s="55">
        <v>762212</v>
      </c>
      <c r="H34" s="55">
        <v>892344</v>
      </c>
      <c r="I34" s="55">
        <v>1103186</v>
      </c>
      <c r="J34" s="55">
        <v>1292806</v>
      </c>
      <c r="K34" s="55">
        <v>1580830</v>
      </c>
      <c r="L34" s="55">
        <v>1799507</v>
      </c>
      <c r="M34" s="55">
        <v>2122934</v>
      </c>
      <c r="N34" s="55">
        <v>2530432</v>
      </c>
      <c r="O34" s="55">
        <v>4030194</v>
      </c>
    </row>
    <row r="35" spans="3:15">
      <c r="C35" s="55" t="s">
        <v>42</v>
      </c>
      <c r="D35" s="96">
        <f>D19+D13</f>
        <v>29699.357847860883</v>
      </c>
      <c r="E35" s="96">
        <f>E19+E13</f>
        <v>36655.55269903822</v>
      </c>
      <c r="F35" s="96">
        <f>F19+F13</f>
        <v>43367.58078034073</v>
      </c>
      <c r="G35" s="96">
        <f>G19+G13</f>
        <v>53580.64140588569</v>
      </c>
      <c r="H35" s="96">
        <f>H19+H13</f>
        <v>61433.572197341702</v>
      </c>
      <c r="I35" s="96">
        <f>I19+I13</f>
        <v>70845.606868301998</v>
      </c>
      <c r="J35" s="96">
        <f>J19+J13</f>
        <v>88030.65779838436</v>
      </c>
      <c r="K35" s="96">
        <f>K19+K13</f>
        <v>100331.60206285224</v>
      </c>
      <c r="L35" s="96">
        <f>L19+L13</f>
        <v>102042.5405162914</v>
      </c>
      <c r="M35" s="96">
        <f>M19+M13</f>
        <v>109456.57354239862</v>
      </c>
      <c r="N35" s="96">
        <f>N19+N13</f>
        <v>139278.73147658157</v>
      </c>
      <c r="O35" s="96">
        <f>O19+O13</f>
        <v>230707.09287514311</v>
      </c>
    </row>
  </sheetData>
  <mergeCells count="1">
    <mergeCell ref="C1:O4"/>
  </mergeCells>
  <pageMargins left="0.7" right="0.7" top="0.75" bottom="0.75" header="0.3" footer="0.3"/>
  <ignoredErrors>
    <ignoredError sqref="D32:O32"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DEB0A-B1AB-4529-9F4E-EB523B1F03FD}">
  <dimension ref="B1:N49"/>
  <sheetViews>
    <sheetView showGridLines="0" zoomScale="65" workbookViewId="0">
      <selection activeCell="P52" sqref="P52"/>
    </sheetView>
  </sheetViews>
  <sheetFormatPr defaultRowHeight="14.4"/>
  <cols>
    <col min="2" max="2" width="34.77734375" customWidth="1"/>
    <col min="3" max="3" width="12.44140625" customWidth="1"/>
    <col min="4" max="4" width="11.6640625" bestFit="1" customWidth="1"/>
    <col min="5" max="5" width="10.5546875" bestFit="1" customWidth="1"/>
    <col min="6" max="6" width="11.5546875" bestFit="1" customWidth="1"/>
    <col min="7" max="7" width="11.77734375" customWidth="1"/>
    <col min="8" max="14" width="11.5546875" bestFit="1" customWidth="1"/>
  </cols>
  <sheetData>
    <row r="1" spans="2:14">
      <c r="B1" s="53" t="s">
        <v>111</v>
      </c>
      <c r="C1" s="49"/>
      <c r="D1" s="49"/>
      <c r="E1" s="49"/>
      <c r="F1" s="49"/>
      <c r="G1" s="49"/>
      <c r="H1" s="49"/>
      <c r="I1" s="49"/>
      <c r="J1" s="49"/>
      <c r="K1" s="49"/>
      <c r="L1" s="49"/>
      <c r="M1" s="49"/>
      <c r="N1" s="49"/>
    </row>
    <row r="2" spans="2:14">
      <c r="B2" s="49"/>
      <c r="C2" s="49"/>
      <c r="D2" s="49"/>
      <c r="E2" s="49"/>
      <c r="F2" s="49"/>
      <c r="G2" s="49"/>
      <c r="H2" s="49"/>
      <c r="I2" s="49"/>
      <c r="J2" s="49"/>
      <c r="K2" s="49"/>
      <c r="L2" s="49"/>
      <c r="M2" s="49"/>
      <c r="N2" s="49"/>
    </row>
    <row r="3" spans="2:14">
      <c r="B3" s="49"/>
      <c r="C3" s="49"/>
      <c r="D3" s="49"/>
      <c r="E3" s="49"/>
      <c r="F3" s="49"/>
      <c r="G3" s="49"/>
      <c r="H3" s="49"/>
      <c r="I3" s="49"/>
      <c r="J3" s="49"/>
      <c r="K3" s="49"/>
      <c r="L3" s="49"/>
      <c r="M3" s="49"/>
      <c r="N3" s="49"/>
    </row>
    <row r="4" spans="2:14">
      <c r="B4" s="49"/>
      <c r="C4" s="49"/>
      <c r="D4" s="49"/>
      <c r="E4" s="49"/>
      <c r="F4" s="49"/>
      <c r="G4" s="49"/>
      <c r="H4" s="49"/>
      <c r="I4" s="49"/>
      <c r="J4" s="49"/>
      <c r="K4" s="49"/>
      <c r="L4" s="49"/>
      <c r="M4" s="49"/>
      <c r="N4" s="49"/>
    </row>
    <row r="6" spans="2:14">
      <c r="B6" s="29" t="s">
        <v>4</v>
      </c>
      <c r="C6" s="59">
        <f>'P&amp;L '!D6</f>
        <v>41334</v>
      </c>
      <c r="D6" s="59">
        <f>'P&amp;L '!E6</f>
        <v>41699</v>
      </c>
      <c r="E6" s="59">
        <f>'P&amp;L '!F6</f>
        <v>42064</v>
      </c>
      <c r="F6" s="59">
        <f>'P&amp;L '!G6</f>
        <v>42430</v>
      </c>
      <c r="G6" s="59">
        <f>'P&amp;L '!H6</f>
        <v>42795</v>
      </c>
      <c r="H6" s="59">
        <f>'P&amp;L '!I6</f>
        <v>43160</v>
      </c>
      <c r="I6" s="59">
        <f>'P&amp;L '!J6</f>
        <v>43525</v>
      </c>
      <c r="J6" s="59">
        <f>'P&amp;L '!K6</f>
        <v>43891</v>
      </c>
      <c r="K6" s="59">
        <f>'P&amp;L '!L6</f>
        <v>44256</v>
      </c>
      <c r="L6" s="59">
        <f>'P&amp;L '!M6</f>
        <v>44621</v>
      </c>
      <c r="M6" s="59">
        <f>'P&amp;L '!N6</f>
        <v>44986</v>
      </c>
      <c r="N6" s="59">
        <f>'P&amp;L '!O6</f>
        <v>45352</v>
      </c>
    </row>
    <row r="7" spans="2:14">
      <c r="B7" t="s">
        <v>39</v>
      </c>
      <c r="C7" s="62">
        <f>'P&amp;L '!D32</f>
        <v>36643</v>
      </c>
      <c r="D7" s="62">
        <f>'P&amp;L '!E32</f>
        <v>44167</v>
      </c>
      <c r="E7" s="62">
        <f>'P&amp;L '!F32</f>
        <v>63154</v>
      </c>
      <c r="F7" s="62">
        <f>'P&amp;L '!G32</f>
        <v>74304</v>
      </c>
      <c r="G7" s="62">
        <f>'P&amp;L '!H32</f>
        <v>91794</v>
      </c>
      <c r="H7" s="62">
        <f>'P&amp;L '!I32</f>
        <v>109599</v>
      </c>
      <c r="I7" s="62">
        <f>'P&amp;L '!J32</f>
        <v>153673</v>
      </c>
      <c r="J7" s="62">
        <f>'P&amp;L '!K32</f>
        <v>176358</v>
      </c>
      <c r="K7" s="62">
        <f>'P&amp;L '!L32</f>
        <v>209810</v>
      </c>
      <c r="L7" s="62">
        <f>'P&amp;L '!M32</f>
        <v>247327</v>
      </c>
      <c r="M7" s="62">
        <f>'P&amp;L '!N32</f>
        <v>289438</v>
      </c>
      <c r="N7" s="62">
        <f>'P&amp;L '!O32</f>
        <v>456396</v>
      </c>
    </row>
    <row r="8" spans="2:14">
      <c r="B8" t="s">
        <v>40</v>
      </c>
      <c r="C8" s="62">
        <f>'P&amp;L '!D33</f>
        <v>335588</v>
      </c>
      <c r="D8" s="62">
        <f>'P&amp;L '!E33</f>
        <v>416677</v>
      </c>
      <c r="E8" s="62">
        <f>'P&amp;L '!F33</f>
        <v>509762</v>
      </c>
      <c r="F8" s="62">
        <f>'P&amp;L '!G33</f>
        <v>649587</v>
      </c>
      <c r="G8" s="62">
        <f>'P&amp;L '!H33</f>
        <v>741550</v>
      </c>
      <c r="H8" s="62">
        <f>'P&amp;L '!I33</f>
        <v>944817</v>
      </c>
      <c r="I8" s="62">
        <f>'P&amp;L '!J33</f>
        <v>1080235</v>
      </c>
      <c r="J8" s="62">
        <f>'P&amp;L '!K33</f>
        <v>1333041</v>
      </c>
      <c r="K8" s="62">
        <f>'P&amp;L '!L33</f>
        <v>1511418</v>
      </c>
      <c r="L8" s="62">
        <f>'P&amp;L '!M33</f>
        <v>1784970</v>
      </c>
      <c r="M8" s="62">
        <f>'P&amp;L '!N33</f>
        <v>2139212</v>
      </c>
      <c r="N8" s="62">
        <f>'P&amp;L '!O33</f>
        <v>3107503</v>
      </c>
    </row>
    <row r="9" spans="2:14">
      <c r="B9" t="s">
        <v>36</v>
      </c>
      <c r="C9" s="62">
        <f>'P&amp;L '!D29</f>
        <v>27531</v>
      </c>
      <c r="D9" s="62">
        <f>'P&amp;L '!E29</f>
        <v>39913</v>
      </c>
      <c r="E9" s="62">
        <f>'P&amp;L '!F29</f>
        <v>36526</v>
      </c>
      <c r="F9" s="62">
        <f>'P&amp;L '!G29</f>
        <v>39069</v>
      </c>
      <c r="G9" s="62">
        <f>'P&amp;L '!H29</f>
        <v>49311</v>
      </c>
      <c r="H9" s="62">
        <f>'P&amp;L '!I29</f>
        <v>123062</v>
      </c>
      <c r="I9" s="62">
        <f>'P&amp;L '!J29</f>
        <v>81818</v>
      </c>
      <c r="J9" s="62">
        <f>'P&amp;L '!K29</f>
        <v>87940</v>
      </c>
      <c r="K9" s="62">
        <f>'P&amp;L '!L29</f>
        <v>121273</v>
      </c>
      <c r="L9" s="62">
        <f>'P&amp;L '!M29</f>
        <v>155386</v>
      </c>
      <c r="M9" s="62">
        <f>'P&amp;L '!N29</f>
        <v>197148</v>
      </c>
      <c r="N9" s="62">
        <f>'P&amp;L '!O29</f>
        <v>228835</v>
      </c>
    </row>
    <row r="10" spans="2:14">
      <c r="B10" s="32" t="s">
        <v>38</v>
      </c>
      <c r="C10" s="64">
        <f>C7+C8-C9</f>
        <v>344700</v>
      </c>
      <c r="D10" s="64">
        <f>D7+D8-D9</f>
        <v>420931</v>
      </c>
      <c r="E10" s="64">
        <f>E7+E8-E9</f>
        <v>536390</v>
      </c>
      <c r="F10" s="64">
        <f t="shared" ref="F10:N10" si="0">F7+F8-F9</f>
        <v>684822</v>
      </c>
      <c r="G10" s="64">
        <f t="shared" si="0"/>
        <v>784033</v>
      </c>
      <c r="H10" s="64">
        <f t="shared" si="0"/>
        <v>931354</v>
      </c>
      <c r="I10" s="64">
        <f t="shared" si="0"/>
        <v>1152090</v>
      </c>
      <c r="J10" s="64">
        <f t="shared" si="0"/>
        <v>1421459</v>
      </c>
      <c r="K10" s="64">
        <f t="shared" si="0"/>
        <v>1599955</v>
      </c>
      <c r="L10" s="64">
        <f t="shared" si="0"/>
        <v>1876911</v>
      </c>
      <c r="M10" s="64">
        <f t="shared" si="0"/>
        <v>2231502</v>
      </c>
      <c r="N10" s="64">
        <f t="shared" si="0"/>
        <v>3335064</v>
      </c>
    </row>
    <row r="11" spans="2:14">
      <c r="B11" t="s">
        <v>14</v>
      </c>
      <c r="C11">
        <v>0.31</v>
      </c>
      <c r="D11">
        <v>0.34</v>
      </c>
      <c r="E11">
        <v>0.33</v>
      </c>
      <c r="F11">
        <v>0.34</v>
      </c>
      <c r="G11">
        <v>0.35</v>
      </c>
      <c r="H11">
        <v>0.35</v>
      </c>
      <c r="I11">
        <v>0.35</v>
      </c>
      <c r="J11">
        <v>0.28999999999999998</v>
      </c>
      <c r="K11">
        <v>0.26</v>
      </c>
      <c r="L11">
        <v>0.25</v>
      </c>
      <c r="M11">
        <v>0.25</v>
      </c>
      <c r="N11">
        <v>0.15</v>
      </c>
    </row>
    <row r="12" spans="2:14">
      <c r="B12" s="32" t="s">
        <v>41</v>
      </c>
      <c r="C12" s="65">
        <f>'P&amp;L '!D35*(1-C11)</f>
        <v>20492.556915024008</v>
      </c>
      <c r="D12" s="65">
        <f>'P&amp;L '!E35*(1-D11)</f>
        <v>24192.664781365223</v>
      </c>
      <c r="E12" s="65">
        <f>'P&amp;L '!F35*(1-E11)</f>
        <v>29056.279122828284</v>
      </c>
      <c r="F12" s="65">
        <f>'P&amp;L '!G35*(1-F11)</f>
        <v>35363.223327884552</v>
      </c>
      <c r="G12" s="65">
        <f>'P&amp;L '!H35*(1-G11)</f>
        <v>39931.821928272111</v>
      </c>
      <c r="H12" s="65">
        <f>'P&amp;L '!I35*(1-H11)</f>
        <v>46049.644464396304</v>
      </c>
      <c r="I12" s="65">
        <f>'P&amp;L '!J35*(1-I11)</f>
        <v>57219.927568949839</v>
      </c>
      <c r="J12" s="65">
        <f>'P&amp;L '!K35*(1-J11)</f>
        <v>71235.43746462508</v>
      </c>
      <c r="K12" s="65">
        <f>'P&amp;L '!L35*(1-K11)</f>
        <v>75511.479982055636</v>
      </c>
      <c r="L12" s="65">
        <f>'P&amp;L '!M35*(1-L11)</f>
        <v>82092.430156798961</v>
      </c>
      <c r="M12" s="65">
        <f>'P&amp;L '!N35*(1-M11)</f>
        <v>104459.04860743618</v>
      </c>
      <c r="N12" s="65">
        <f>'P&amp;L '!O35*(1-N11)</f>
        <v>196101.02894387164</v>
      </c>
    </row>
    <row r="14" spans="2:14">
      <c r="B14" s="32" t="s">
        <v>43</v>
      </c>
      <c r="C14" s="66">
        <f>(C12/C10)</f>
        <v>5.9450411705900805E-2</v>
      </c>
      <c r="D14" s="66">
        <f t="shared" ref="D14:M14" si="1">(D12/D10)</f>
        <v>5.7474181709983876E-2</v>
      </c>
      <c r="E14" s="66">
        <f t="shared" si="1"/>
        <v>5.4170061192095831E-2</v>
      </c>
      <c r="F14" s="66">
        <f t="shared" si="1"/>
        <v>5.1638562032009123E-2</v>
      </c>
      <c r="G14" s="66">
        <f t="shared" si="1"/>
        <v>5.0931302545010368E-2</v>
      </c>
      <c r="H14" s="66">
        <f t="shared" si="1"/>
        <v>4.9443760873305216E-2</v>
      </c>
      <c r="I14" s="66">
        <f t="shared" si="1"/>
        <v>4.9666195843163154E-2</v>
      </c>
      <c r="J14" s="66">
        <f t="shared" si="1"/>
        <v>5.0114310342137959E-2</v>
      </c>
      <c r="K14" s="66">
        <f t="shared" si="1"/>
        <v>4.719600237635161E-2</v>
      </c>
      <c r="L14" s="66">
        <f t="shared" si="1"/>
        <v>4.3738051594774049E-2</v>
      </c>
      <c r="M14" s="66">
        <f t="shared" si="1"/>
        <v>4.6811093428299047E-2</v>
      </c>
      <c r="N14" s="66">
        <f>(N12/N10)</f>
        <v>5.8799779837469882E-2</v>
      </c>
    </row>
    <row r="17" spans="2:14">
      <c r="B17" s="29" t="s">
        <v>4</v>
      </c>
      <c r="C17" s="59">
        <f>C6</f>
        <v>41334</v>
      </c>
      <c r="D17" s="59">
        <f t="shared" ref="D17:N17" si="2">D6</f>
        <v>41699</v>
      </c>
      <c r="E17" s="59">
        <f t="shared" si="2"/>
        <v>42064</v>
      </c>
      <c r="F17" s="59">
        <f t="shared" si="2"/>
        <v>42430</v>
      </c>
      <c r="G17" s="59">
        <f t="shared" si="2"/>
        <v>42795</v>
      </c>
      <c r="H17" s="59">
        <f t="shared" si="2"/>
        <v>43160</v>
      </c>
      <c r="I17" s="59">
        <f t="shared" si="2"/>
        <v>43525</v>
      </c>
      <c r="J17" s="59">
        <f t="shared" si="2"/>
        <v>43891</v>
      </c>
      <c r="K17" s="59">
        <f t="shared" si="2"/>
        <v>44256</v>
      </c>
      <c r="L17" s="59">
        <f t="shared" si="2"/>
        <v>44621</v>
      </c>
      <c r="M17" s="59">
        <f t="shared" si="2"/>
        <v>44986</v>
      </c>
      <c r="N17" s="59">
        <f t="shared" si="2"/>
        <v>45352</v>
      </c>
    </row>
    <row r="18" spans="2:14">
      <c r="B18" t="s">
        <v>44</v>
      </c>
      <c r="C18" s="67">
        <f>-SUM('Raw data'!C19,'Raw data'!C20)</f>
        <v>906</v>
      </c>
      <c r="D18" s="67">
        <f>-SUM('Raw data'!D19,'Raw data'!D20)</f>
        <v>840</v>
      </c>
      <c r="E18" s="67">
        <f>-SUM('Raw data'!E19,'Raw data'!E20)</f>
        <v>739</v>
      </c>
      <c r="F18" s="67">
        <f>-SUM('Raw data'!F19,'Raw data'!F20)</f>
        <v>865</v>
      </c>
      <c r="G18" s="67">
        <f>-SUM('Raw data'!G19,'Raw data'!G20)</f>
        <v>1148</v>
      </c>
      <c r="H18" s="67">
        <f>-SUM('Raw data'!H19,'Raw data'!H20)</f>
        <v>838</v>
      </c>
      <c r="I18" s="67">
        <f>-SUM('Raw data'!I19,'Raw data'!I20)</f>
        <v>1599</v>
      </c>
      <c r="J18" s="67">
        <f>-SUM('Raw data'!J19,'Raw data'!J20)</f>
        <v>1617</v>
      </c>
      <c r="K18" s="67">
        <f>-SUM('Raw data'!K19,'Raw data'!K20)</f>
        <v>1681</v>
      </c>
      <c r="L18" s="67">
        <f>-SUM('Raw data'!L19,'Raw data'!L20)</f>
        <v>2216</v>
      </c>
      <c r="M18" s="67">
        <f>-SUM('Raw data'!M19,'Raw data'!M20)</f>
        <v>3424</v>
      </c>
      <c r="N18" s="67">
        <f>-SUM('Raw data'!N19,'Raw data'!N20)</f>
        <v>4187</v>
      </c>
    </row>
    <row r="19" spans="2:14">
      <c r="B19" t="s">
        <v>48</v>
      </c>
      <c r="D19" s="63">
        <f>('Raw data'!D25-'Raw data'!C25)</f>
        <v>83658.244999999995</v>
      </c>
      <c r="E19" s="63">
        <f>('Raw data'!E25-'Raw data'!D25)</f>
        <v>62072.800000000047</v>
      </c>
      <c r="F19" s="63">
        <f>('Raw data'!F25-'Raw data'!E25)</f>
        <v>116454.59999999998</v>
      </c>
      <c r="G19" s="63">
        <f>('Raw data'!G25-'Raw data'!F25)</f>
        <v>84149.29999999993</v>
      </c>
      <c r="H19" s="63">
        <f>('Raw data'!H25-'Raw data'!G25)</f>
        <v>183322.40000000014</v>
      </c>
      <c r="I19" s="63">
        <f>('Raw data'!I25-'Raw data'!H25)</f>
        <v>122451.29999999993</v>
      </c>
      <c r="J19" s="63">
        <f>('Raw data'!J25-'Raw data'!I25)</f>
        <v>172043.80000000005</v>
      </c>
      <c r="K19" s="63">
        <f>('Raw data'!K25-'Raw data'!J25)</f>
        <v>158772.39999999991</v>
      </c>
      <c r="L19" s="63">
        <f>('Raw data'!L25-'Raw data'!K25)</f>
        <v>296877.5</v>
      </c>
      <c r="M19" s="63">
        <f>('Raw data'!M25-'Raw data'!L25)</f>
        <v>322833.10000000009</v>
      </c>
      <c r="N19" s="63">
        <f>('Raw data'!N25-'Raw data'!M25)</f>
        <v>923029.90000000014</v>
      </c>
    </row>
    <row r="21" spans="2:14">
      <c r="B21" t="s">
        <v>41</v>
      </c>
      <c r="C21" s="61">
        <f>C12</f>
        <v>20492.556915024008</v>
      </c>
      <c r="D21" s="61">
        <f>D12</f>
        <v>24192.664781365223</v>
      </c>
      <c r="E21" s="61">
        <f t="shared" ref="E21:N21" si="3">E12</f>
        <v>29056.279122828284</v>
      </c>
      <c r="F21" s="61">
        <f t="shared" si="3"/>
        <v>35363.223327884552</v>
      </c>
      <c r="G21" s="61">
        <f t="shared" si="3"/>
        <v>39931.821928272111</v>
      </c>
      <c r="H21" s="61">
        <f t="shared" si="3"/>
        <v>46049.644464396304</v>
      </c>
      <c r="I21" s="61">
        <f t="shared" si="3"/>
        <v>57219.927568949839</v>
      </c>
      <c r="J21" s="61">
        <f t="shared" si="3"/>
        <v>71235.43746462508</v>
      </c>
      <c r="K21" s="61">
        <f t="shared" si="3"/>
        <v>75511.479982055636</v>
      </c>
      <c r="L21" s="61">
        <f t="shared" si="3"/>
        <v>82092.430156798961</v>
      </c>
      <c r="M21" s="61">
        <f t="shared" si="3"/>
        <v>104459.04860743618</v>
      </c>
      <c r="N21" s="61">
        <f t="shared" si="3"/>
        <v>196101.02894387164</v>
      </c>
    </row>
    <row r="23" spans="2:14">
      <c r="B23" s="32" t="s">
        <v>49</v>
      </c>
      <c r="C23" s="32"/>
      <c r="D23" s="68">
        <f>SUM(D18:D19)</f>
        <v>84498.244999999995</v>
      </c>
      <c r="E23" s="68">
        <f t="shared" ref="E23:N23" si="4">SUM(E18:E19)</f>
        <v>62811.800000000047</v>
      </c>
      <c r="F23" s="68">
        <f t="shared" si="4"/>
        <v>117319.59999999998</v>
      </c>
      <c r="G23" s="68">
        <f t="shared" si="4"/>
        <v>85297.29999999993</v>
      </c>
      <c r="H23" s="68">
        <f t="shared" si="4"/>
        <v>184160.40000000014</v>
      </c>
      <c r="I23" s="68">
        <f t="shared" si="4"/>
        <v>124050.29999999993</v>
      </c>
      <c r="J23" s="68">
        <f t="shared" si="4"/>
        <v>173660.80000000005</v>
      </c>
      <c r="K23" s="68">
        <f t="shared" si="4"/>
        <v>160453.39999999991</v>
      </c>
      <c r="L23" s="68">
        <f t="shared" si="4"/>
        <v>299093.5</v>
      </c>
      <c r="M23" s="68">
        <f t="shared" si="4"/>
        <v>326257.10000000009</v>
      </c>
      <c r="N23" s="68">
        <f t="shared" si="4"/>
        <v>927216.90000000014</v>
      </c>
    </row>
    <row r="25" spans="2:14">
      <c r="B25" s="33" t="s">
        <v>50</v>
      </c>
      <c r="C25" s="33"/>
      <c r="D25" s="69">
        <f>D23/D21</f>
        <v>3.4927216891413337</v>
      </c>
      <c r="E25" s="69">
        <f t="shared" ref="E25:N25" si="5">E23/E21</f>
        <v>2.1617289582908601</v>
      </c>
      <c r="F25" s="69">
        <f t="shared" si="5"/>
        <v>3.3175595706370835</v>
      </c>
      <c r="G25" s="69">
        <f t="shared" si="5"/>
        <v>2.136073334024577</v>
      </c>
      <c r="H25" s="69">
        <f t="shared" si="5"/>
        <v>3.9991709413171561</v>
      </c>
      <c r="I25" s="69">
        <f t="shared" si="5"/>
        <v>2.1679562570316033</v>
      </c>
      <c r="J25" s="69">
        <f t="shared" si="5"/>
        <v>2.4378428234716538</v>
      </c>
      <c r="K25" s="69">
        <f t="shared" si="5"/>
        <v>2.1248875010545372</v>
      </c>
      <c r="L25" s="69">
        <f t="shared" si="5"/>
        <v>3.6433749059288729</v>
      </c>
      <c r="M25" s="69">
        <f t="shared" si="5"/>
        <v>3.1233014693259866</v>
      </c>
      <c r="N25" s="69">
        <f t="shared" si="5"/>
        <v>4.728261269171564</v>
      </c>
    </row>
    <row r="27" spans="2:14">
      <c r="M27" s="34" t="s">
        <v>52</v>
      </c>
      <c r="N27" s="70">
        <f>AVERAGE(D25:N25)</f>
        <v>3.0302617017632021</v>
      </c>
    </row>
    <row r="28" spans="2:14">
      <c r="M28" s="34" t="s">
        <v>53</v>
      </c>
      <c r="N28" s="70">
        <f>MEDIAN(D25:N25)</f>
        <v>3.1233014693259866</v>
      </c>
    </row>
    <row r="31" spans="2:14">
      <c r="B31" s="29" t="s">
        <v>4</v>
      </c>
      <c r="C31" s="59">
        <f>C17</f>
        <v>41334</v>
      </c>
      <c r="D31" s="59">
        <f t="shared" ref="D31:N31" si="6">D17</f>
        <v>41699</v>
      </c>
      <c r="E31" s="59">
        <f t="shared" si="6"/>
        <v>42064</v>
      </c>
      <c r="F31" s="59">
        <f t="shared" si="6"/>
        <v>42430</v>
      </c>
      <c r="G31" s="59">
        <f t="shared" si="6"/>
        <v>42795</v>
      </c>
      <c r="H31" s="59">
        <f t="shared" si="6"/>
        <v>43160</v>
      </c>
      <c r="I31" s="59">
        <f t="shared" si="6"/>
        <v>43525</v>
      </c>
      <c r="J31" s="59">
        <f t="shared" si="6"/>
        <v>43891</v>
      </c>
      <c r="K31" s="59">
        <f t="shared" si="6"/>
        <v>44256</v>
      </c>
      <c r="L31" s="59">
        <f t="shared" si="6"/>
        <v>44621</v>
      </c>
      <c r="M31" s="59">
        <f t="shared" si="6"/>
        <v>44986</v>
      </c>
      <c r="N31" s="59">
        <f t="shared" si="6"/>
        <v>45352</v>
      </c>
    </row>
    <row r="32" spans="2:14">
      <c r="B32" s="33" t="s">
        <v>50</v>
      </c>
      <c r="C32" s="33"/>
      <c r="D32" s="71">
        <f>D25</f>
        <v>3.4927216891413337</v>
      </c>
      <c r="E32" s="71">
        <f t="shared" ref="E32:N32" si="7">E25</f>
        <v>2.1617289582908601</v>
      </c>
      <c r="F32" s="71">
        <f t="shared" si="7"/>
        <v>3.3175595706370835</v>
      </c>
      <c r="G32" s="71">
        <f t="shared" si="7"/>
        <v>2.136073334024577</v>
      </c>
      <c r="H32" s="71">
        <f t="shared" si="7"/>
        <v>3.9991709413171561</v>
      </c>
      <c r="I32" s="71">
        <f t="shared" si="7"/>
        <v>2.1679562570316033</v>
      </c>
      <c r="J32" s="71">
        <f t="shared" si="7"/>
        <v>2.4378428234716538</v>
      </c>
      <c r="K32" s="71">
        <f t="shared" si="7"/>
        <v>2.1248875010545372</v>
      </c>
      <c r="L32" s="71">
        <f t="shared" si="7"/>
        <v>3.6433749059288729</v>
      </c>
      <c r="M32" s="71">
        <f t="shared" si="7"/>
        <v>3.1233014693259866</v>
      </c>
      <c r="N32" s="71">
        <f t="shared" si="7"/>
        <v>4.728261269171564</v>
      </c>
    </row>
    <row r="33" spans="2:14">
      <c r="B33" s="33" t="s">
        <v>43</v>
      </c>
      <c r="C33" s="33"/>
      <c r="D33" s="72">
        <f>(D14)</f>
        <v>5.7474181709983876E-2</v>
      </c>
      <c r="E33" s="72">
        <f t="shared" ref="E33:N33" si="8">(E14)</f>
        <v>5.4170061192095831E-2</v>
      </c>
      <c r="F33" s="72">
        <f t="shared" si="8"/>
        <v>5.1638562032009123E-2</v>
      </c>
      <c r="G33" s="72">
        <f t="shared" si="8"/>
        <v>5.0931302545010368E-2</v>
      </c>
      <c r="H33" s="72">
        <f t="shared" si="8"/>
        <v>4.9443760873305216E-2</v>
      </c>
      <c r="I33" s="72">
        <f t="shared" si="8"/>
        <v>4.9666195843163154E-2</v>
      </c>
      <c r="J33" s="72">
        <f t="shared" si="8"/>
        <v>5.0114310342137959E-2</v>
      </c>
      <c r="K33" s="72">
        <f t="shared" si="8"/>
        <v>4.719600237635161E-2</v>
      </c>
      <c r="L33" s="72">
        <f t="shared" si="8"/>
        <v>4.3738051594774049E-2</v>
      </c>
      <c r="M33" s="72">
        <f t="shared" si="8"/>
        <v>4.6811093428299047E-2</v>
      </c>
      <c r="N33" s="72">
        <f t="shared" si="8"/>
        <v>5.8799779837469882E-2</v>
      </c>
    </row>
    <row r="34" spans="2:14">
      <c r="B34" s="33" t="s">
        <v>51</v>
      </c>
      <c r="C34" s="33"/>
      <c r="D34" s="73">
        <f>D32*D33</f>
        <v>0.20074132102411082</v>
      </c>
      <c r="E34" s="73">
        <f t="shared" ref="E34:M34" si="9">E32*E33</f>
        <v>0.11710098995134147</v>
      </c>
      <c r="F34" s="73">
        <f t="shared" si="9"/>
        <v>0.1713140056832286</v>
      </c>
      <c r="G34" s="73">
        <f t="shared" si="9"/>
        <v>0.10879299723353472</v>
      </c>
      <c r="H34" s="73">
        <f t="shared" si="9"/>
        <v>0.19773405171395639</v>
      </c>
      <c r="I34" s="73">
        <f t="shared" si="9"/>
        <v>0.10767414004114256</v>
      </c>
      <c r="J34" s="73">
        <f t="shared" si="9"/>
        <v>0.1221708118208123</v>
      </c>
      <c r="K34" s="73">
        <f t="shared" si="9"/>
        <v>0.10028619554924977</v>
      </c>
      <c r="L34" s="73">
        <f t="shared" si="9"/>
        <v>0.15935411961462209</v>
      </c>
      <c r="M34" s="73">
        <f t="shared" si="9"/>
        <v>0.14620515688536245</v>
      </c>
      <c r="N34" s="73">
        <f>N32*N33</f>
        <v>0.27802072164132385</v>
      </c>
    </row>
    <row r="36" spans="2:14">
      <c r="M36" s="34" t="s">
        <v>52</v>
      </c>
      <c r="N36" s="74">
        <f>AVERAGE(D34:N34)</f>
        <v>0.15539950101442593</v>
      </c>
    </row>
    <row r="37" spans="2:14">
      <c r="M37" s="34" t="s">
        <v>53</v>
      </c>
      <c r="N37" s="74">
        <f>MEDIAN(D34:N34)</f>
        <v>0.14620515688536245</v>
      </c>
    </row>
    <row r="39" spans="2:14">
      <c r="B39" s="11" t="s">
        <v>54</v>
      </c>
    </row>
    <row r="41" spans="2:14">
      <c r="B41" s="31" t="s">
        <v>4</v>
      </c>
      <c r="C41" s="31">
        <v>45352</v>
      </c>
      <c r="D41" s="59">
        <f>C41+365</f>
        <v>45717</v>
      </c>
      <c r="E41" s="59">
        <f>D41+365</f>
        <v>46082</v>
      </c>
      <c r="F41" s="59">
        <f>E41+365</f>
        <v>46447</v>
      </c>
      <c r="G41" s="31">
        <v>46813</v>
      </c>
      <c r="H41" s="59">
        <f t="shared" ref="H41" si="10">G41+365</f>
        <v>47178</v>
      </c>
    </row>
    <row r="42" spans="2:14">
      <c r="B42" t="s">
        <v>41</v>
      </c>
      <c r="C42" s="61">
        <f>'Intrinsic Growth'!N21</f>
        <v>196101.02894387164</v>
      </c>
      <c r="D42" s="61">
        <f>C42+C42*'Intrinsic Growth'!$N$37</f>
        <v>224772.01064599139</v>
      </c>
      <c r="E42" s="61">
        <f>D42+D42*'Intrinsic Growth'!$N$37</f>
        <v>257634.83772592692</v>
      </c>
      <c r="F42" s="61">
        <f>E42+E42*'Intrinsic Growth'!$N$37</f>
        <v>295302.37959478097</v>
      </c>
      <c r="G42" s="61">
        <f>F42+F42*'Intrinsic Growth'!$N$37</f>
        <v>338477.11033205676</v>
      </c>
      <c r="H42" s="61">
        <f>G42+G42*'Intrinsic Growth'!$N$37</f>
        <v>387964.20935025928</v>
      </c>
    </row>
    <row r="43" spans="2:14">
      <c r="B43" t="s">
        <v>55</v>
      </c>
      <c r="C43" s="75">
        <f>'Intrinsic Growth'!N28</f>
        <v>3.1233014693259866</v>
      </c>
      <c r="D43" s="75">
        <f>C43</f>
        <v>3.1233014693259866</v>
      </c>
      <c r="E43" s="75">
        <f>D43</f>
        <v>3.1233014693259866</v>
      </c>
      <c r="F43" s="75">
        <f>E43</f>
        <v>3.1233014693259866</v>
      </c>
      <c r="G43" s="75">
        <f>F43</f>
        <v>3.1233014693259866</v>
      </c>
      <c r="H43" s="75">
        <f>G43</f>
        <v>3.1233014693259866</v>
      </c>
    </row>
    <row r="44" spans="2:14" ht="15" thickBot="1">
      <c r="B44" s="10" t="s">
        <v>56</v>
      </c>
      <c r="C44" s="76">
        <f t="shared" ref="C44:H44" si="11">C42-(C42*C43)</f>
        <v>-416381.60289286054</v>
      </c>
      <c r="D44" s="76">
        <f t="shared" si="11"/>
        <v>-477258.74046798982</v>
      </c>
      <c r="E44" s="76">
        <f t="shared" si="11"/>
        <v>-547036.42949302273</v>
      </c>
      <c r="F44" s="76">
        <f t="shared" si="11"/>
        <v>-627015.9764890587</v>
      </c>
      <c r="G44" s="76">
        <f t="shared" si="11"/>
        <v>-718688.94570127025</v>
      </c>
      <c r="H44" s="76">
        <f t="shared" si="11"/>
        <v>-823764.97575930017</v>
      </c>
    </row>
    <row r="49" spans="2:2">
      <c r="B49" s="4"/>
    </row>
  </sheetData>
  <mergeCells count="1">
    <mergeCell ref="B1:N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FEC48-A79A-4697-96B9-F449C6D677D4}">
  <dimension ref="B1:P38"/>
  <sheetViews>
    <sheetView showGridLines="0" tabSelected="1" topLeftCell="A32" zoomScale="95" workbookViewId="0">
      <selection activeCell="M57" sqref="M57"/>
    </sheetView>
  </sheetViews>
  <sheetFormatPr defaultRowHeight="14.4"/>
  <cols>
    <col min="4" max="4" width="12.77734375" customWidth="1"/>
    <col min="5" max="5" width="12" customWidth="1"/>
    <col min="6" max="6" width="12.33203125" customWidth="1"/>
    <col min="11" max="11" width="13.77734375" customWidth="1"/>
    <col min="13" max="13" width="11.77734375" bestFit="1" customWidth="1"/>
    <col min="14" max="14" width="24.88671875" customWidth="1"/>
    <col min="15" max="15" width="17.44140625" bestFit="1" customWidth="1"/>
    <col min="16" max="16" width="14.77734375" customWidth="1"/>
  </cols>
  <sheetData>
    <row r="1" spans="2:16" ht="14.4" customHeight="1">
      <c r="B1" s="50" t="s">
        <v>107</v>
      </c>
      <c r="C1" s="49"/>
      <c r="D1" s="49"/>
      <c r="E1" s="49"/>
      <c r="F1" s="49"/>
      <c r="G1" s="49"/>
      <c r="H1" s="49"/>
      <c r="I1" s="49"/>
      <c r="J1" s="49"/>
      <c r="K1" s="49"/>
      <c r="L1" s="49"/>
      <c r="M1" s="49"/>
      <c r="N1" s="49"/>
      <c r="O1" s="49"/>
      <c r="P1" s="49"/>
    </row>
    <row r="2" spans="2:16" ht="14.4" customHeight="1">
      <c r="B2" s="49"/>
      <c r="C2" s="49"/>
      <c r="D2" s="49"/>
      <c r="E2" s="49"/>
      <c r="F2" s="49"/>
      <c r="G2" s="49"/>
      <c r="H2" s="49"/>
      <c r="I2" s="49"/>
      <c r="J2" s="49"/>
      <c r="K2" s="49"/>
      <c r="L2" s="49"/>
      <c r="M2" s="49"/>
      <c r="N2" s="49"/>
      <c r="O2" s="49"/>
      <c r="P2" s="49"/>
    </row>
    <row r="3" spans="2:16" ht="14.4" customHeight="1">
      <c r="B3" s="49"/>
      <c r="C3" s="49"/>
      <c r="D3" s="49"/>
      <c r="E3" s="49"/>
      <c r="F3" s="49"/>
      <c r="G3" s="49"/>
      <c r="H3" s="49"/>
      <c r="I3" s="49"/>
      <c r="J3" s="49"/>
      <c r="K3" s="49"/>
      <c r="L3" s="49"/>
      <c r="M3" s="49"/>
      <c r="N3" s="49"/>
      <c r="O3" s="49"/>
      <c r="P3" s="49"/>
    </row>
    <row r="4" spans="2:16" ht="14.4" customHeight="1">
      <c r="B4" s="49"/>
      <c r="C4" s="49"/>
      <c r="D4" s="49"/>
      <c r="E4" s="49"/>
      <c r="F4" s="49"/>
      <c r="G4" s="49"/>
      <c r="H4" s="49"/>
      <c r="I4" s="49"/>
      <c r="J4" s="49"/>
      <c r="K4" s="49"/>
      <c r="L4" s="49"/>
      <c r="M4" s="49"/>
      <c r="N4" s="49"/>
      <c r="O4" s="49"/>
      <c r="P4" s="49"/>
    </row>
    <row r="6" spans="2:16" ht="43.2">
      <c r="B6" s="12" t="s">
        <v>57</v>
      </c>
      <c r="C6" s="12" t="s">
        <v>58</v>
      </c>
      <c r="D6" s="13" t="s">
        <v>60</v>
      </c>
      <c r="E6" s="13" t="s">
        <v>61</v>
      </c>
      <c r="F6" s="13" t="s">
        <v>62</v>
      </c>
      <c r="G6" s="13" t="s">
        <v>82</v>
      </c>
      <c r="H6" s="13" t="s">
        <v>104</v>
      </c>
      <c r="I6" s="14" t="s">
        <v>8</v>
      </c>
      <c r="J6" s="14" t="s">
        <v>63</v>
      </c>
      <c r="K6" s="14" t="s">
        <v>64</v>
      </c>
      <c r="L6" s="14"/>
      <c r="M6" s="14" t="s">
        <v>65</v>
      </c>
      <c r="N6" s="14" t="s">
        <v>66</v>
      </c>
      <c r="O6" s="14" t="s">
        <v>67</v>
      </c>
      <c r="P6" s="14" t="s">
        <v>94</v>
      </c>
    </row>
    <row r="7" spans="2:16">
      <c r="B7" s="15"/>
      <c r="C7" s="15"/>
      <c r="D7" s="16"/>
      <c r="E7" s="16"/>
      <c r="F7" s="16"/>
      <c r="G7" s="16"/>
      <c r="H7" s="17"/>
      <c r="I7" s="17"/>
      <c r="J7" s="17"/>
      <c r="K7" s="17"/>
      <c r="L7" s="17"/>
      <c r="M7" s="17"/>
      <c r="N7" s="17"/>
      <c r="O7" s="17"/>
    </row>
    <row r="8" spans="2:16">
      <c r="B8" s="85" t="str">
        <f>'Raw data'!B30</f>
        <v>HDFC Bank</v>
      </c>
      <c r="C8" s="25"/>
      <c r="D8" s="77">
        <f>'Raw data'!E30</f>
        <v>1270493.3500000001</v>
      </c>
      <c r="E8" s="78">
        <f>'Raw data'!H30-'Raw data'!I30</f>
        <v>2878668.2300000004</v>
      </c>
      <c r="F8" s="77">
        <f>D8+E8</f>
        <v>4149161.5800000005</v>
      </c>
      <c r="G8" s="78">
        <f>'Raw data'!C30</f>
        <v>1665.95</v>
      </c>
      <c r="H8" s="77">
        <f>'Raw data'!P30</f>
        <v>456395.25</v>
      </c>
      <c r="I8" s="77">
        <f>'Raw data'!J30</f>
        <v>314027.08</v>
      </c>
      <c r="J8" s="77">
        <f>F8/N8</f>
        <v>258514.74018691591</v>
      </c>
      <c r="K8" s="77">
        <f>('Raw data'!K30)</f>
        <v>65446.5</v>
      </c>
      <c r="L8" s="26"/>
      <c r="M8" s="79">
        <f>$F8/I8</f>
        <v>13.212750887598611</v>
      </c>
      <c r="N8" s="79">
        <f>'Raw data'!N30</f>
        <v>16.05</v>
      </c>
      <c r="O8" s="79">
        <f>D8/K8</f>
        <v>19.412701213968663</v>
      </c>
      <c r="P8" s="80">
        <f>D8/H8</f>
        <v>2.7837567327880826</v>
      </c>
    </row>
    <row r="9" spans="2:16">
      <c r="B9" s="85" t="str">
        <f>'Raw data'!B31</f>
        <v>ICICI Bank</v>
      </c>
      <c r="C9" s="27"/>
      <c r="D9" s="77">
        <f>'Raw data'!E31</f>
        <v>880761.43</v>
      </c>
      <c r="E9" s="78">
        <f>'Raw data'!H31-'Raw data'!I31</f>
        <v>1488239.05</v>
      </c>
      <c r="F9" s="77">
        <f t="shared" ref="F9:F17" si="0">D9+E9</f>
        <v>2369000.48</v>
      </c>
      <c r="G9" s="78">
        <f>'Raw data'!C31</f>
        <v>1250.3499999999999</v>
      </c>
      <c r="H9" s="77">
        <f>'Raw data'!P31</f>
        <v>256143.84</v>
      </c>
      <c r="I9" s="77">
        <f>'Raw data'!J31</f>
        <v>166991.67999999999</v>
      </c>
      <c r="J9" s="77">
        <f t="shared" ref="J9:J17" si="1">F9/N9</f>
        <v>144539.38255033558</v>
      </c>
      <c r="K9" s="77">
        <f>('Raw data'!K31)</f>
        <v>46080.51</v>
      </c>
      <c r="L9" s="28"/>
      <c r="M9" s="79">
        <f t="shared" ref="M9:M17" si="2">$F9/I9</f>
        <v>14.186338385241708</v>
      </c>
      <c r="N9" s="79">
        <f>'Raw data'!N31</f>
        <v>16.39</v>
      </c>
      <c r="O9" s="79">
        <f t="shared" ref="O9:O17" si="3">D9/K9</f>
        <v>19.11353476773586</v>
      </c>
      <c r="P9" s="80">
        <f t="shared" ref="P9:P17" si="4">D9/H9</f>
        <v>3.4385423049798898</v>
      </c>
    </row>
    <row r="10" spans="2:16">
      <c r="B10" s="85" t="str">
        <f>'Raw data'!B32</f>
        <v>Axis Bank</v>
      </c>
      <c r="C10" s="27"/>
      <c r="D10" s="77">
        <f>'Raw data'!E32</f>
        <v>376478.07</v>
      </c>
      <c r="E10" s="78">
        <f>'Raw data'!H32-'Raw data'!I32</f>
        <v>1178808.77</v>
      </c>
      <c r="F10" s="77">
        <f t="shared" si="0"/>
        <v>1555286.84</v>
      </c>
      <c r="G10" s="78">
        <f>'Raw data'!C32</f>
        <v>1217.45</v>
      </c>
      <c r="H10" s="77">
        <f>'Raw data'!P32</f>
        <v>157023.51999999999</v>
      </c>
      <c r="I10" s="77">
        <f>'Raw data'!J32</f>
        <v>117671.83</v>
      </c>
      <c r="J10" s="77">
        <f t="shared" si="1"/>
        <v>101719.21778940485</v>
      </c>
      <c r="K10" s="77">
        <f>('Raw data'!K32)</f>
        <v>26492.25</v>
      </c>
      <c r="L10" s="28"/>
      <c r="M10" s="79">
        <f t="shared" si="2"/>
        <v>13.217155201886467</v>
      </c>
      <c r="N10" s="79">
        <f>'Raw data'!N32</f>
        <v>15.29</v>
      </c>
      <c r="O10" s="79">
        <f t="shared" si="3"/>
        <v>14.210875633439969</v>
      </c>
      <c r="P10" s="80">
        <f t="shared" si="4"/>
        <v>2.3975903100376303</v>
      </c>
    </row>
    <row r="11" spans="2:16">
      <c r="B11" s="85" t="str">
        <f>'Raw data'!B33</f>
        <v>Kotak Mah. Bank</v>
      </c>
      <c r="C11" s="27"/>
      <c r="D11" s="77">
        <f>'Raw data'!E33</f>
        <v>361907.43</v>
      </c>
      <c r="E11" s="78">
        <f>'Raw data'!H33-'Raw data'!I33</f>
        <v>455167.98</v>
      </c>
      <c r="F11" s="77">
        <f t="shared" si="0"/>
        <v>817075.40999999992</v>
      </c>
      <c r="G11" s="78">
        <f>'Raw data'!C33</f>
        <v>1820.35</v>
      </c>
      <c r="H11" s="77">
        <f>'Raw data'!P33</f>
        <v>129971.69</v>
      </c>
      <c r="I11" s="77">
        <f>'Raw data'!J33</f>
        <v>59204.49</v>
      </c>
      <c r="J11" s="77">
        <f t="shared" si="1"/>
        <v>49609.921675774131</v>
      </c>
      <c r="K11" s="77">
        <f>('Raw data'!K33)</f>
        <v>18213.21</v>
      </c>
      <c r="L11" s="28"/>
      <c r="M11" s="79">
        <f t="shared" si="2"/>
        <v>13.80090276936766</v>
      </c>
      <c r="N11" s="79">
        <f>'Raw data'!N33</f>
        <v>16.47</v>
      </c>
      <c r="O11" s="79">
        <f t="shared" si="3"/>
        <v>19.87060106373341</v>
      </c>
      <c r="P11" s="80">
        <f t="shared" si="4"/>
        <v>2.7845096882251821</v>
      </c>
    </row>
    <row r="12" spans="2:16">
      <c r="B12" s="85" t="str">
        <f>'Raw data'!B34</f>
        <v>IndusInd Bank</v>
      </c>
      <c r="C12" s="27"/>
      <c r="D12" s="77">
        <f>'Raw data'!E34</f>
        <v>114047.95</v>
      </c>
      <c r="E12" s="78">
        <f>'Raw data'!H34-'Raw data'!I34</f>
        <v>395602.72000000003</v>
      </c>
      <c r="F12" s="77">
        <f t="shared" si="0"/>
        <v>509650.67000000004</v>
      </c>
      <c r="G12" s="78">
        <f>'Raw data'!C34</f>
        <v>1464.05</v>
      </c>
      <c r="H12" s="77">
        <f>'Raw data'!P34</f>
        <v>62797.11</v>
      </c>
      <c r="I12" s="77">
        <f>'Raw data'!J34</f>
        <v>47565.33</v>
      </c>
      <c r="J12" s="77">
        <f t="shared" si="1"/>
        <v>38815.740289413559</v>
      </c>
      <c r="K12" s="77">
        <f>('Raw data'!K34)</f>
        <v>8949.7800000000007</v>
      </c>
      <c r="L12" s="28"/>
      <c r="M12" s="79">
        <f t="shared" si="2"/>
        <v>10.714751059227384</v>
      </c>
      <c r="N12" s="79">
        <f>'Raw data'!N34</f>
        <v>13.13</v>
      </c>
      <c r="O12" s="79">
        <f t="shared" si="3"/>
        <v>12.743100947732792</v>
      </c>
      <c r="P12" s="80">
        <f t="shared" si="4"/>
        <v>1.8161337360907213</v>
      </c>
    </row>
    <row r="13" spans="2:16">
      <c r="B13" s="85" t="str">
        <f>'Raw data'!B35</f>
        <v>IDBI Bank</v>
      </c>
      <c r="C13" s="27"/>
      <c r="D13" s="77">
        <f>'Raw data'!E35</f>
        <v>102061.8</v>
      </c>
      <c r="E13" s="78">
        <f>'Raw data'!H35-'Raw data'!I35</f>
        <v>268438.73000000004</v>
      </c>
      <c r="F13" s="77">
        <f t="shared" si="0"/>
        <v>370500.53</v>
      </c>
      <c r="G13" s="78">
        <f>'Raw data'!C35</f>
        <v>94.92</v>
      </c>
      <c r="H13" s="77">
        <f>'Raw data'!P35</f>
        <v>51073.06</v>
      </c>
      <c r="I13" s="77">
        <f>'Raw data'!J35</f>
        <v>26251.87</v>
      </c>
      <c r="J13" s="77">
        <f t="shared" si="1"/>
        <v>22413.825166364186</v>
      </c>
      <c r="K13" s="77">
        <f>('Raw data'!K35)</f>
        <v>5814.1</v>
      </c>
      <c r="L13" s="28"/>
      <c r="M13" s="79">
        <f t="shared" si="2"/>
        <v>14.113300500116756</v>
      </c>
      <c r="N13" s="79">
        <f>'Raw data'!N35</f>
        <v>16.53</v>
      </c>
      <c r="O13" s="79">
        <f t="shared" si="3"/>
        <v>17.554187234481692</v>
      </c>
      <c r="P13" s="80">
        <f t="shared" si="4"/>
        <v>1.9983490317596011</v>
      </c>
    </row>
    <row r="14" spans="2:16">
      <c r="B14" s="85" t="str">
        <f>'Raw data'!B36</f>
        <v>Yes Bank</v>
      </c>
      <c r="C14" s="27"/>
      <c r="D14" s="77">
        <f>'Raw data'!E36</f>
        <v>73031.59</v>
      </c>
      <c r="E14" s="78">
        <f>'Raw data'!H36-'Raw data'!I36</f>
        <v>327418.69</v>
      </c>
      <c r="F14" s="77">
        <f t="shared" si="0"/>
        <v>400450.28</v>
      </c>
      <c r="G14" s="78">
        <f>'Raw data'!C36</f>
        <v>23.3</v>
      </c>
      <c r="H14" s="77">
        <f>'Raw data'!P36</f>
        <v>41206.800000000003</v>
      </c>
      <c r="I14" s="77">
        <f>'Raw data'!J36</f>
        <v>28885.91</v>
      </c>
      <c r="J14" s="77">
        <f t="shared" si="1"/>
        <v>22869.804683038263</v>
      </c>
      <c r="K14" s="77">
        <f>('Raw data'!K36)</f>
        <v>1285.2</v>
      </c>
      <c r="L14" s="28"/>
      <c r="M14" s="79">
        <f t="shared" si="2"/>
        <v>13.863169967641664</v>
      </c>
      <c r="N14" s="79">
        <f>'Raw data'!N36</f>
        <v>17.510000000000002</v>
      </c>
      <c r="O14" s="79">
        <f t="shared" si="3"/>
        <v>56.825077808901334</v>
      </c>
      <c r="P14" s="80">
        <f t="shared" si="4"/>
        <v>1.7723188891153885</v>
      </c>
    </row>
    <row r="15" spans="2:16">
      <c r="B15" s="85" t="str">
        <f>'Raw data'!B37</f>
        <v>IDFC First Bank</v>
      </c>
      <c r="C15" s="27"/>
      <c r="D15" s="77">
        <f>'Raw data'!E37</f>
        <v>54920.6</v>
      </c>
      <c r="E15" s="78">
        <f>'Raw data'!H37-'Raw data'!I37</f>
        <v>239024.78</v>
      </c>
      <c r="F15" s="77">
        <f t="shared" si="0"/>
        <v>293945.38</v>
      </c>
      <c r="G15" s="78">
        <f>'Raw data'!C37</f>
        <v>73.42</v>
      </c>
      <c r="H15" s="77">
        <f>'Raw data'!P37</f>
        <v>32273.57</v>
      </c>
      <c r="I15" s="77">
        <f>'Raw data'!J37</f>
        <v>32244.94</v>
      </c>
      <c r="J15" s="77">
        <f t="shared" si="1"/>
        <v>19187.035248041775</v>
      </c>
      <c r="K15" s="77">
        <f>('Raw data'!K37)</f>
        <v>2942.35</v>
      </c>
      <c r="L15" s="28"/>
      <c r="M15" s="79">
        <f t="shared" si="2"/>
        <v>9.1160157221567175</v>
      </c>
      <c r="N15" s="79">
        <f>'Raw data'!N37</f>
        <v>15.32</v>
      </c>
      <c r="O15" s="79">
        <f t="shared" si="3"/>
        <v>18.665556442979252</v>
      </c>
      <c r="P15" s="80">
        <f t="shared" si="4"/>
        <v>1.7017206339428828</v>
      </c>
    </row>
    <row r="16" spans="2:16">
      <c r="B16" s="85" t="str">
        <f>'Raw data'!B38</f>
        <v>AU Small Finance</v>
      </c>
      <c r="C16" s="27"/>
      <c r="D16" s="77">
        <f>'Raw data'!E38</f>
        <v>53742.07</v>
      </c>
      <c r="E16" s="78">
        <f>'Raw data'!H38-'Raw data'!I38</f>
        <v>86285.16</v>
      </c>
      <c r="F16" s="77">
        <f t="shared" si="0"/>
        <v>140027.23000000001</v>
      </c>
      <c r="G16" s="78">
        <f>'Raw data'!C38</f>
        <v>722.9</v>
      </c>
      <c r="H16" s="77">
        <f>'Raw data'!P38</f>
        <v>12559.53</v>
      </c>
      <c r="I16" s="77">
        <f>'Raw data'!J38</f>
        <v>11865.41</v>
      </c>
      <c r="J16" s="77">
        <f t="shared" si="1"/>
        <v>8491.6452395391152</v>
      </c>
      <c r="K16" s="77">
        <f>('Raw data'!K38)</f>
        <v>1534.72</v>
      </c>
      <c r="L16" s="28"/>
      <c r="M16" s="79">
        <f t="shared" si="2"/>
        <v>11.801297216025405</v>
      </c>
      <c r="N16" s="79">
        <f>'Raw data'!N38</f>
        <v>16.489999999999998</v>
      </c>
      <c r="O16" s="79">
        <f t="shared" si="3"/>
        <v>35.017508079649708</v>
      </c>
      <c r="P16" s="80">
        <f t="shared" si="4"/>
        <v>4.2789873506413052</v>
      </c>
    </row>
    <row r="17" spans="2:16">
      <c r="B17" s="85" t="str">
        <f>'Raw data'!B39</f>
        <v>Federal Bank</v>
      </c>
      <c r="C17" s="27"/>
      <c r="D17" s="77">
        <f>'Raw data'!E39</f>
        <v>45713.9</v>
      </c>
      <c r="E17" s="78">
        <f>'Raw data'!H39-'Raw data'!I39</f>
        <v>258420.81</v>
      </c>
      <c r="F17" s="77">
        <f t="shared" si="0"/>
        <v>304134.71000000002</v>
      </c>
      <c r="G17" s="78">
        <f>'Raw data'!C39</f>
        <v>186.52</v>
      </c>
      <c r="H17" s="77">
        <f>'Raw data'!P39</f>
        <v>30105.35</v>
      </c>
      <c r="I17" s="77">
        <f>'Raw data'!J39</f>
        <v>24943.3</v>
      </c>
      <c r="J17" s="77">
        <f t="shared" si="1"/>
        <v>21149.840751043117</v>
      </c>
      <c r="K17" s="77">
        <f>('Raw data'!K39)</f>
        <v>3964.04</v>
      </c>
      <c r="L17" s="28"/>
      <c r="M17" s="79">
        <f t="shared" si="2"/>
        <v>12.193042219754405</v>
      </c>
      <c r="N17" s="79">
        <f>'Raw data'!N39</f>
        <v>14.38</v>
      </c>
      <c r="O17" s="79">
        <f t="shared" si="3"/>
        <v>11.532149019686987</v>
      </c>
      <c r="P17" s="80">
        <f t="shared" si="4"/>
        <v>1.5184643261081503</v>
      </c>
    </row>
    <row r="19" spans="2:16">
      <c r="B19" s="18" t="s">
        <v>68</v>
      </c>
      <c r="C19" s="18"/>
      <c r="D19" s="18"/>
      <c r="E19" s="18"/>
      <c r="F19" s="18"/>
      <c r="G19" s="18"/>
      <c r="H19" s="18"/>
      <c r="I19" s="18"/>
      <c r="J19" s="18"/>
      <c r="K19" s="18"/>
      <c r="L19" s="18"/>
      <c r="M19" s="81">
        <f>AVERAGE(M8:M17)</f>
        <v>12.621872392901677</v>
      </c>
      <c r="N19" s="81">
        <f>AVERAGE(N8:N17)</f>
        <v>15.756</v>
      </c>
      <c r="O19" s="81">
        <f>AVERAGE(O8:O17)</f>
        <v>22.494529221230966</v>
      </c>
      <c r="P19" s="81">
        <f>AVERAGE(P8:P17)</f>
        <v>2.4490373003688837</v>
      </c>
    </row>
    <row r="20" spans="2:16">
      <c r="B20" s="18" t="s">
        <v>53</v>
      </c>
      <c r="C20" s="18"/>
      <c r="D20" s="18"/>
      <c r="E20" s="18"/>
      <c r="F20" s="18"/>
      <c r="G20" s="18"/>
      <c r="H20" s="18"/>
      <c r="I20" s="18"/>
      <c r="J20" s="18"/>
      <c r="K20" s="18"/>
      <c r="L20" s="18"/>
      <c r="M20" s="81">
        <f>MEDIAN(M8:M17)</f>
        <v>13.21495304474254</v>
      </c>
      <c r="N20" s="81">
        <f>MEDIAN(N8:N17)</f>
        <v>16.22</v>
      </c>
      <c r="O20" s="81">
        <f>MEDIAN(O8:O17)</f>
        <v>18.889545605357554</v>
      </c>
      <c r="P20" s="81">
        <f>MEDIAN(P8:P17)</f>
        <v>2.1979696708986158</v>
      </c>
    </row>
    <row r="22" spans="2:16">
      <c r="B22" s="19" t="s">
        <v>108</v>
      </c>
      <c r="C22" s="9"/>
      <c r="D22" s="9"/>
      <c r="E22" s="9"/>
      <c r="F22" s="9"/>
      <c r="G22" s="9"/>
      <c r="H22" s="9"/>
      <c r="I22" s="9"/>
      <c r="J22" s="9"/>
      <c r="K22" s="9"/>
      <c r="L22" s="9"/>
      <c r="M22" s="14" t="s">
        <v>65</v>
      </c>
      <c r="N22" s="20" t="s">
        <v>66</v>
      </c>
      <c r="O22" s="14" t="s">
        <v>67</v>
      </c>
      <c r="P22" s="14" t="s">
        <v>94</v>
      </c>
    </row>
    <row r="24" spans="2:16">
      <c r="B24" s="21" t="s">
        <v>79</v>
      </c>
      <c r="C24" s="21"/>
      <c r="D24" s="21"/>
      <c r="E24" s="21"/>
      <c r="F24" s="21"/>
      <c r="G24" s="21"/>
      <c r="H24" s="21"/>
      <c r="I24" s="21"/>
      <c r="J24" s="21"/>
      <c r="K24" s="21"/>
      <c r="L24" s="21"/>
      <c r="M24" s="82">
        <f>I8*M20</f>
        <v>4149853.1169776092</v>
      </c>
      <c r="N24" s="82">
        <f>J8*N20</f>
        <v>4193109.0858317758</v>
      </c>
      <c r="O24" s="22"/>
      <c r="P24" s="22"/>
    </row>
    <row r="25" spans="2:16">
      <c r="B25" s="21" t="s">
        <v>61</v>
      </c>
      <c r="C25" s="21"/>
      <c r="D25" s="21"/>
      <c r="E25" s="21"/>
      <c r="F25" s="21"/>
      <c r="G25" s="21"/>
      <c r="H25" s="21"/>
      <c r="I25" s="21"/>
      <c r="J25" s="21"/>
      <c r="K25" s="21"/>
      <c r="L25" s="21"/>
      <c r="M25" s="82">
        <f>E8</f>
        <v>2878668.2300000004</v>
      </c>
      <c r="N25" s="82">
        <f>E8</f>
        <v>2878668.2300000004</v>
      </c>
      <c r="O25" s="22"/>
      <c r="P25" s="22"/>
    </row>
    <row r="26" spans="2:16">
      <c r="B26" s="21" t="s">
        <v>80</v>
      </c>
      <c r="C26" s="21"/>
      <c r="D26" s="21"/>
      <c r="E26" s="21"/>
      <c r="F26" s="21"/>
      <c r="G26" s="21"/>
      <c r="H26" s="21"/>
      <c r="I26" s="21"/>
      <c r="J26" s="21"/>
      <c r="K26" s="21"/>
      <c r="L26" s="21"/>
      <c r="M26" s="82">
        <f>M24-M25</f>
        <v>1271184.8869776088</v>
      </c>
      <c r="N26" s="82">
        <f>N24-N25</f>
        <v>1314440.8558317753</v>
      </c>
      <c r="O26" s="82">
        <f>K8*O20</f>
        <v>1236254.6464610333</v>
      </c>
      <c r="P26" s="82">
        <f>H8*P20</f>
        <v>1003142.9174421915</v>
      </c>
    </row>
    <row r="27" spans="2:16">
      <c r="B27" s="21" t="s">
        <v>59</v>
      </c>
      <c r="C27" s="21"/>
      <c r="D27" s="21"/>
      <c r="E27" s="21"/>
      <c r="F27" s="21"/>
      <c r="G27" s="21"/>
      <c r="H27" s="21"/>
      <c r="I27" s="21"/>
      <c r="J27" s="21"/>
      <c r="K27" s="21"/>
      <c r="L27" s="21"/>
      <c r="M27" s="83">
        <f>'Raw data'!D30</f>
        <v>762.62</v>
      </c>
      <c r="N27" s="83">
        <f>M27</f>
        <v>762.62</v>
      </c>
      <c r="O27" s="83">
        <f>N27</f>
        <v>762.62</v>
      </c>
      <c r="P27" s="83">
        <f>O27</f>
        <v>762.62</v>
      </c>
    </row>
    <row r="28" spans="2:16">
      <c r="M28" s="5"/>
      <c r="N28" s="5"/>
      <c r="O28" s="5"/>
    </row>
    <row r="29" spans="2:16">
      <c r="B29" s="23" t="s">
        <v>81</v>
      </c>
      <c r="C29" s="23"/>
      <c r="D29" s="23"/>
      <c r="E29" s="23"/>
      <c r="F29" s="23"/>
      <c r="G29" s="23"/>
      <c r="H29" s="23"/>
      <c r="I29" s="23"/>
      <c r="J29" s="23"/>
      <c r="K29" s="23"/>
      <c r="L29" s="23"/>
      <c r="M29" s="84">
        <f>M26/M27</f>
        <v>1666.8653942692413</v>
      </c>
      <c r="N29" s="84">
        <f t="shared" ref="N29:O29" si="5">N26/N27</f>
        <v>1723.5856072903614</v>
      </c>
      <c r="O29" s="84">
        <f t="shared" si="5"/>
        <v>1621.0624511041322</v>
      </c>
      <c r="P29" s="84">
        <f>P26/P27</f>
        <v>1315.3902565395499</v>
      </c>
    </row>
    <row r="30" spans="2:16" ht="28.8">
      <c r="B30" s="11"/>
      <c r="C30" s="11"/>
      <c r="D30" s="11"/>
      <c r="E30" s="11"/>
      <c r="F30" s="11"/>
      <c r="G30" s="11"/>
      <c r="H30" s="11"/>
      <c r="I30" s="11"/>
      <c r="J30" s="11"/>
      <c r="K30" s="11"/>
      <c r="L30" s="11"/>
      <c r="M30" s="47" t="s">
        <v>83</v>
      </c>
      <c r="N30" s="47" t="s">
        <v>84</v>
      </c>
      <c r="O30" s="47" t="s">
        <v>85</v>
      </c>
      <c r="P30" s="48" t="s">
        <v>106</v>
      </c>
    </row>
    <row r="31" spans="2:16">
      <c r="B31" s="11"/>
      <c r="C31" s="11"/>
      <c r="D31" s="11"/>
      <c r="E31" s="11"/>
      <c r="F31" s="11"/>
      <c r="G31" s="11"/>
      <c r="H31" s="11"/>
      <c r="I31" s="11"/>
      <c r="J31" s="11"/>
      <c r="K31" s="11"/>
      <c r="L31" s="11"/>
      <c r="M31" s="47"/>
      <c r="N31" s="47"/>
      <c r="O31" s="47"/>
      <c r="P31" s="48"/>
    </row>
    <row r="32" spans="2:16">
      <c r="B32" s="11"/>
      <c r="C32" s="11"/>
      <c r="D32" s="11"/>
      <c r="E32" s="11"/>
      <c r="F32" s="11"/>
      <c r="G32" s="11"/>
      <c r="H32" s="11"/>
      <c r="I32" s="11"/>
      <c r="J32" s="11"/>
      <c r="K32" s="11"/>
      <c r="L32" s="11"/>
      <c r="M32" s="47"/>
      <c r="N32" s="47"/>
    </row>
    <row r="33" spans="2:14">
      <c r="B33" s="11"/>
      <c r="C33" s="11"/>
      <c r="D33" s="11"/>
      <c r="E33" s="11"/>
      <c r="F33" s="11"/>
      <c r="G33" s="11"/>
      <c r="H33" s="11"/>
      <c r="I33" s="11"/>
      <c r="J33" s="11"/>
      <c r="K33" s="11"/>
      <c r="L33" s="11"/>
      <c r="M33" s="47"/>
      <c r="N33" s="47"/>
    </row>
    <row r="34" spans="2:14">
      <c r="B34" s="11"/>
      <c r="C34" s="11"/>
      <c r="D34" s="11"/>
      <c r="E34" s="11"/>
      <c r="F34" s="11"/>
      <c r="G34" s="11"/>
      <c r="H34" s="11"/>
      <c r="I34" s="11"/>
      <c r="J34" s="11"/>
      <c r="K34" s="11"/>
      <c r="L34" s="11"/>
      <c r="M34" s="47"/>
      <c r="N34" s="47"/>
    </row>
    <row r="35" spans="2:14">
      <c r="B35" s="11"/>
      <c r="C35" s="11"/>
      <c r="D35" s="11"/>
      <c r="E35" s="11"/>
      <c r="F35" s="11"/>
      <c r="G35" s="11"/>
      <c r="H35" s="11"/>
      <c r="I35" s="11"/>
      <c r="J35" s="11"/>
      <c r="K35" s="11"/>
      <c r="L35" s="11"/>
      <c r="M35" s="47"/>
      <c r="N35" s="47"/>
    </row>
    <row r="36" spans="2:14">
      <c r="B36" s="24" t="s">
        <v>117</v>
      </c>
      <c r="M36">
        <v>1666</v>
      </c>
    </row>
    <row r="37" spans="2:14">
      <c r="B37" s="88" t="s">
        <v>115</v>
      </c>
      <c r="C37" s="88"/>
      <c r="D37" s="88"/>
      <c r="E37" s="88"/>
      <c r="F37" s="88"/>
      <c r="G37" s="88"/>
      <c r="H37" s="88"/>
      <c r="I37" s="88"/>
      <c r="J37" s="88"/>
      <c r="K37" s="88"/>
      <c r="L37" s="88"/>
      <c r="M37" s="89">
        <f>AVERAGE(M29:P29)</f>
        <v>1581.7259273008212</v>
      </c>
      <c r="N37" s="92" t="s">
        <v>119</v>
      </c>
    </row>
    <row r="38" spans="2:14">
      <c r="B38" s="90" t="s">
        <v>116</v>
      </c>
      <c r="C38" s="90"/>
      <c r="D38" s="90"/>
      <c r="E38" s="90"/>
      <c r="F38" s="90"/>
      <c r="G38" s="90"/>
      <c r="H38" s="90"/>
      <c r="I38" s="90"/>
      <c r="J38" s="90"/>
      <c r="K38" s="90"/>
      <c r="L38" s="90"/>
      <c r="M38" s="91">
        <f>MEDIAN(M29:P29)</f>
        <v>1643.9639226866866</v>
      </c>
      <c r="N38" s="93" t="s">
        <v>118</v>
      </c>
    </row>
  </sheetData>
  <mergeCells count="1">
    <mergeCell ref="B1:P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8CFC28-860F-4C08-B4C4-D8A0DBA268DE}">
  <dimension ref="B1:T51"/>
  <sheetViews>
    <sheetView showGridLines="0" topLeftCell="A24" zoomScale="79" workbookViewId="0">
      <selection activeCell="E46" sqref="E46:E60"/>
    </sheetView>
  </sheetViews>
  <sheetFormatPr defaultRowHeight="14.4"/>
  <cols>
    <col min="2" max="2" width="27.77734375" customWidth="1"/>
    <col min="3" max="3" width="10.6640625" bestFit="1" customWidth="1"/>
    <col min="4" max="4" width="18.6640625" bestFit="1" customWidth="1"/>
    <col min="5" max="5" width="19.5546875" bestFit="1" customWidth="1"/>
    <col min="6" max="6" width="15.5546875" bestFit="1" customWidth="1"/>
    <col min="7" max="7" width="13" bestFit="1" customWidth="1"/>
    <col min="8" max="8" width="9" bestFit="1" customWidth="1"/>
    <col min="9" max="9" width="8" bestFit="1" customWidth="1"/>
    <col min="10" max="10" width="9" bestFit="1" customWidth="1"/>
    <col min="11" max="11" width="9.5546875" bestFit="1" customWidth="1"/>
    <col min="12" max="12" width="9" bestFit="1" customWidth="1"/>
    <col min="13" max="14" width="10.21875" bestFit="1" customWidth="1"/>
    <col min="15" max="15" width="4.109375" bestFit="1" customWidth="1"/>
    <col min="16" max="16" width="10.77734375" bestFit="1" customWidth="1"/>
  </cols>
  <sheetData>
    <row r="1" spans="2:14">
      <c r="B1" s="53" t="s">
        <v>110</v>
      </c>
      <c r="C1" s="49"/>
      <c r="D1" s="49"/>
      <c r="E1" s="49"/>
      <c r="F1" s="49"/>
      <c r="G1" s="49"/>
      <c r="H1" s="49"/>
      <c r="I1" s="49"/>
      <c r="J1" s="49"/>
      <c r="K1" s="49"/>
      <c r="L1" s="49"/>
      <c r="M1" s="49"/>
      <c r="N1" s="49"/>
    </row>
    <row r="2" spans="2:14">
      <c r="B2" s="49"/>
      <c r="C2" s="49"/>
      <c r="D2" s="49"/>
      <c r="E2" s="49"/>
      <c r="F2" s="49"/>
      <c r="G2" s="49"/>
      <c r="H2" s="49"/>
      <c r="I2" s="49"/>
      <c r="J2" s="49"/>
      <c r="K2" s="49"/>
      <c r="L2" s="49"/>
      <c r="M2" s="49"/>
      <c r="N2" s="49"/>
    </row>
    <row r="3" spans="2:14">
      <c r="B3" s="49"/>
      <c r="C3" s="49"/>
      <c r="D3" s="49"/>
      <c r="E3" s="49"/>
      <c r="F3" s="49"/>
      <c r="G3" s="49"/>
      <c r="H3" s="49"/>
      <c r="I3" s="49"/>
      <c r="J3" s="49"/>
      <c r="K3" s="49"/>
      <c r="L3" s="49"/>
      <c r="M3" s="49"/>
      <c r="N3" s="49"/>
    </row>
    <row r="4" spans="2:14">
      <c r="B4" s="49"/>
      <c r="C4" s="49"/>
      <c r="D4" s="49"/>
      <c r="E4" s="49"/>
      <c r="F4" s="49"/>
      <c r="G4" s="49"/>
      <c r="H4" s="49"/>
      <c r="I4" s="49"/>
      <c r="J4" s="49"/>
      <c r="K4" s="49"/>
      <c r="L4" s="49"/>
      <c r="M4" s="49"/>
      <c r="N4" s="49"/>
    </row>
    <row r="6" spans="2:14">
      <c r="B6" s="29" t="s">
        <v>4</v>
      </c>
      <c r="C6" s="30">
        <v>41334</v>
      </c>
      <c r="D6" s="30">
        <v>41699</v>
      </c>
      <c r="E6" s="30">
        <v>42064</v>
      </c>
      <c r="F6" s="30">
        <v>42430</v>
      </c>
      <c r="G6" s="30">
        <v>42795</v>
      </c>
      <c r="H6" s="30">
        <v>43160</v>
      </c>
      <c r="I6" s="30">
        <v>43525</v>
      </c>
      <c r="J6" s="30">
        <v>43891</v>
      </c>
      <c r="K6" s="30">
        <v>44256</v>
      </c>
      <c r="L6" s="30">
        <v>44621</v>
      </c>
      <c r="M6" s="30">
        <v>44986</v>
      </c>
      <c r="N6" s="30">
        <v>45352</v>
      </c>
    </row>
    <row r="7" spans="2:14">
      <c r="B7" s="4" t="s">
        <v>8</v>
      </c>
      <c r="C7" s="4">
        <v>35861</v>
      </c>
      <c r="D7" s="4">
        <v>42555</v>
      </c>
      <c r="E7" s="4">
        <v>50666</v>
      </c>
      <c r="F7" s="4">
        <v>63162</v>
      </c>
      <c r="G7" s="4">
        <v>73271</v>
      </c>
      <c r="H7" s="4">
        <v>85288</v>
      </c>
      <c r="I7" s="4">
        <v>105161</v>
      </c>
      <c r="J7" s="4">
        <v>122189</v>
      </c>
      <c r="K7" s="4">
        <v>128552</v>
      </c>
      <c r="L7" s="4">
        <v>135936</v>
      </c>
      <c r="M7" s="4">
        <v>170754</v>
      </c>
      <c r="N7" s="4">
        <v>283649</v>
      </c>
    </row>
    <row r="8" spans="2:14">
      <c r="B8" s="4" t="s">
        <v>9</v>
      </c>
      <c r="C8" s="4">
        <v>19695</v>
      </c>
      <c r="D8" s="4">
        <v>23445</v>
      </c>
      <c r="E8" s="4">
        <v>27288</v>
      </c>
      <c r="F8" s="4">
        <v>34070</v>
      </c>
      <c r="G8" s="4">
        <v>38042</v>
      </c>
      <c r="H8" s="4">
        <v>42381</v>
      </c>
      <c r="I8" s="4">
        <v>53713</v>
      </c>
      <c r="J8" s="4">
        <v>62137</v>
      </c>
      <c r="K8" s="4">
        <v>59248</v>
      </c>
      <c r="L8" s="4">
        <v>58584</v>
      </c>
      <c r="M8" s="4">
        <v>77780</v>
      </c>
      <c r="N8" s="4">
        <v>154139</v>
      </c>
    </row>
    <row r="9" spans="2:14">
      <c r="B9" s="4" t="s">
        <v>86</v>
      </c>
      <c r="C9" s="4">
        <v>12631</v>
      </c>
      <c r="D9" s="4">
        <v>13508</v>
      </c>
      <c r="E9" s="4">
        <v>16164</v>
      </c>
      <c r="F9" s="4">
        <v>20055</v>
      </c>
      <c r="G9" s="4">
        <v>23856</v>
      </c>
      <c r="H9" s="4">
        <v>29532</v>
      </c>
      <c r="I9" s="4">
        <v>34856</v>
      </c>
      <c r="J9" s="4">
        <v>45459</v>
      </c>
      <c r="K9" s="4">
        <v>52457</v>
      </c>
      <c r="L9" s="4">
        <v>56557</v>
      </c>
      <c r="M9" s="4">
        <v>63042</v>
      </c>
      <c r="N9" s="4">
        <v>174196</v>
      </c>
    </row>
    <row r="10" spans="2:14">
      <c r="B10" s="4" t="s">
        <v>10</v>
      </c>
      <c r="C10" s="4">
        <v>3534</v>
      </c>
      <c r="D10" s="4">
        <v>5602</v>
      </c>
      <c r="E10" s="4">
        <v>7214</v>
      </c>
      <c r="F10" s="4">
        <v>9037</v>
      </c>
      <c r="G10" s="4">
        <v>11374</v>
      </c>
      <c r="H10" s="4">
        <v>13374</v>
      </c>
      <c r="I10" s="4">
        <v>16592</v>
      </c>
      <c r="J10" s="4">
        <v>14593</v>
      </c>
      <c r="K10" s="4">
        <v>16848</v>
      </c>
      <c r="L10" s="4">
        <v>20795</v>
      </c>
      <c r="M10" s="4">
        <v>29932</v>
      </c>
      <c r="N10" s="4">
        <v>-44685</v>
      </c>
    </row>
    <row r="11" spans="2:14">
      <c r="B11" s="4" t="s">
        <v>11</v>
      </c>
      <c r="C11" s="52">
        <f>C10/C7</f>
        <v>9.8547168232899246E-2</v>
      </c>
      <c r="D11" s="52">
        <f t="shared" ref="D11:N11" si="0">D10/D7</f>
        <v>0.13164140524027729</v>
      </c>
      <c r="E11" s="52">
        <f t="shared" si="0"/>
        <v>0.14238345241384756</v>
      </c>
      <c r="F11" s="52">
        <f t="shared" si="0"/>
        <v>0.14307653335866502</v>
      </c>
      <c r="G11" s="52">
        <f t="shared" si="0"/>
        <v>0.15523194715508182</v>
      </c>
      <c r="H11" s="52">
        <f t="shared" si="0"/>
        <v>0.15680986774223807</v>
      </c>
      <c r="I11" s="52">
        <f t="shared" si="0"/>
        <v>0.15777712269757799</v>
      </c>
      <c r="J11" s="52">
        <f t="shared" si="0"/>
        <v>0.11942973590094035</v>
      </c>
      <c r="K11" s="52">
        <f t="shared" si="0"/>
        <v>0.13105980459269401</v>
      </c>
      <c r="L11" s="52">
        <f t="shared" si="0"/>
        <v>0.1529764006591337</v>
      </c>
      <c r="M11" s="52">
        <f t="shared" si="0"/>
        <v>0.17529311172798295</v>
      </c>
      <c r="N11" s="52">
        <f t="shared" si="0"/>
        <v>-0.15753625078882705</v>
      </c>
    </row>
    <row r="12" spans="2:14">
      <c r="B12" s="4" t="s">
        <v>87</v>
      </c>
      <c r="C12" s="4">
        <v>7133</v>
      </c>
      <c r="D12" s="4">
        <v>8298</v>
      </c>
      <c r="E12" s="4">
        <v>9546</v>
      </c>
      <c r="F12" s="4">
        <v>11212</v>
      </c>
      <c r="G12" s="4">
        <v>12905</v>
      </c>
      <c r="H12" s="4">
        <v>16057</v>
      </c>
      <c r="I12" s="4">
        <v>18947</v>
      </c>
      <c r="J12" s="4">
        <v>24879</v>
      </c>
      <c r="K12" s="4">
        <v>27333</v>
      </c>
      <c r="L12" s="4">
        <v>31759</v>
      </c>
      <c r="M12" s="4">
        <v>33912</v>
      </c>
      <c r="N12" s="4">
        <v>124346</v>
      </c>
    </row>
    <row r="13" spans="2:14">
      <c r="B13" s="4" t="s">
        <v>12</v>
      </c>
      <c r="C13" s="4">
        <v>663</v>
      </c>
      <c r="D13" s="4">
        <v>689</v>
      </c>
      <c r="E13" s="4">
        <v>680</v>
      </c>
      <c r="F13" s="4">
        <v>738</v>
      </c>
      <c r="G13" s="4">
        <v>886</v>
      </c>
      <c r="H13" s="4">
        <v>967</v>
      </c>
      <c r="I13" s="4">
        <v>1221</v>
      </c>
      <c r="J13" s="4">
        <v>1277</v>
      </c>
      <c r="K13" s="4">
        <v>1385</v>
      </c>
      <c r="L13" s="4">
        <v>1681</v>
      </c>
      <c r="M13" s="4">
        <v>2345</v>
      </c>
      <c r="N13" s="4">
        <v>3092</v>
      </c>
    </row>
    <row r="14" spans="2:14">
      <c r="B14" s="4" t="s">
        <v>13</v>
      </c>
      <c r="C14" s="4">
        <v>10004</v>
      </c>
      <c r="D14" s="4">
        <v>13211</v>
      </c>
      <c r="E14" s="4">
        <v>16079</v>
      </c>
      <c r="F14" s="4">
        <v>19511</v>
      </c>
      <c r="G14" s="4">
        <v>23393</v>
      </c>
      <c r="H14" s="4">
        <v>28464</v>
      </c>
      <c r="I14" s="4">
        <v>34318</v>
      </c>
      <c r="J14" s="4">
        <v>38195</v>
      </c>
      <c r="K14" s="4">
        <v>42796</v>
      </c>
      <c r="L14" s="4">
        <v>50873</v>
      </c>
      <c r="M14" s="4">
        <v>61498</v>
      </c>
      <c r="N14" s="4">
        <v>76569</v>
      </c>
    </row>
    <row r="15" spans="2:14">
      <c r="B15" s="52" t="s">
        <v>14</v>
      </c>
      <c r="C15" s="52">
        <v>0.31</v>
      </c>
      <c r="D15" s="52">
        <v>0.34</v>
      </c>
      <c r="E15" s="52">
        <v>0.33</v>
      </c>
      <c r="F15" s="52">
        <v>0.34</v>
      </c>
      <c r="G15" s="52">
        <v>0.35</v>
      </c>
      <c r="H15" s="52">
        <v>0.35</v>
      </c>
      <c r="I15" s="52">
        <v>0.35</v>
      </c>
      <c r="J15" s="52">
        <v>0.28999999999999998</v>
      </c>
      <c r="K15" s="52">
        <v>0.26</v>
      </c>
      <c r="L15" s="52">
        <v>0.25</v>
      </c>
      <c r="M15" s="52">
        <v>0.25</v>
      </c>
      <c r="N15" s="52">
        <v>0.15</v>
      </c>
    </row>
    <row r="16" spans="2:14">
      <c r="B16" s="4" t="s">
        <v>88</v>
      </c>
      <c r="C16" s="4">
        <v>6903</v>
      </c>
      <c r="D16" s="4">
        <v>8768</v>
      </c>
      <c r="E16" s="4">
        <v>10703</v>
      </c>
      <c r="F16" s="4">
        <v>12821</v>
      </c>
      <c r="G16" s="4">
        <v>15317</v>
      </c>
      <c r="H16" s="4">
        <v>18561</v>
      </c>
      <c r="I16" s="4">
        <v>22446</v>
      </c>
      <c r="J16" s="4">
        <v>27296</v>
      </c>
      <c r="K16" s="4">
        <v>31857</v>
      </c>
      <c r="L16" s="4">
        <v>38151</v>
      </c>
      <c r="M16" s="4">
        <v>46149</v>
      </c>
      <c r="N16" s="4">
        <v>65446</v>
      </c>
    </row>
    <row r="17" spans="2:20">
      <c r="B17" s="4" t="s">
        <v>15</v>
      </c>
      <c r="C17" s="4">
        <v>14.44</v>
      </c>
      <c r="D17" s="4">
        <v>18.22</v>
      </c>
      <c r="E17" s="4">
        <v>21.32</v>
      </c>
      <c r="F17" s="4">
        <v>25.32</v>
      </c>
      <c r="G17" s="4">
        <v>29.81</v>
      </c>
      <c r="H17" s="4">
        <v>35.659999999999997</v>
      </c>
      <c r="I17" s="4">
        <v>41</v>
      </c>
      <c r="J17" s="4">
        <v>49.7</v>
      </c>
      <c r="K17" s="4">
        <v>57.74</v>
      </c>
      <c r="L17" s="4">
        <v>68.62</v>
      </c>
      <c r="M17" s="4">
        <v>82.44</v>
      </c>
      <c r="N17" s="4">
        <v>84.33</v>
      </c>
    </row>
    <row r="18" spans="2:20">
      <c r="B18" s="4"/>
      <c r="C18" s="4"/>
      <c r="D18" s="4"/>
      <c r="E18" s="4"/>
      <c r="F18" s="4"/>
      <c r="G18" s="4"/>
      <c r="H18" s="4"/>
      <c r="I18" s="4"/>
      <c r="J18" s="4"/>
      <c r="K18" s="4"/>
      <c r="L18" s="4"/>
      <c r="M18" s="4"/>
      <c r="N18" s="4"/>
    </row>
    <row r="19" spans="2:20">
      <c r="B19" s="4" t="s">
        <v>45</v>
      </c>
      <c r="C19" s="4">
        <v>-911</v>
      </c>
      <c r="D19" s="4">
        <v>-853</v>
      </c>
      <c r="E19" s="4">
        <v>-772</v>
      </c>
      <c r="F19" s="4">
        <v>-877</v>
      </c>
      <c r="G19" s="4">
        <v>-1158</v>
      </c>
      <c r="H19" s="4">
        <v>-848</v>
      </c>
      <c r="I19" s="4">
        <v>-1621</v>
      </c>
      <c r="J19" s="4">
        <v>-1636</v>
      </c>
      <c r="K19" s="4">
        <v>-1696</v>
      </c>
      <c r="L19" s="4">
        <v>-2236</v>
      </c>
      <c r="M19" s="4">
        <v>-3467</v>
      </c>
      <c r="N19" s="4">
        <v>-4287</v>
      </c>
    </row>
    <row r="20" spans="2:20">
      <c r="B20" s="4" t="s">
        <v>46</v>
      </c>
      <c r="C20" s="4">
        <v>5</v>
      </c>
      <c r="D20" s="4">
        <v>13</v>
      </c>
      <c r="E20" s="4">
        <v>33</v>
      </c>
      <c r="F20" s="4">
        <v>12</v>
      </c>
      <c r="G20" s="4">
        <v>10</v>
      </c>
      <c r="H20" s="4">
        <v>10</v>
      </c>
      <c r="I20" s="4">
        <v>22</v>
      </c>
      <c r="J20" s="4">
        <v>19</v>
      </c>
      <c r="K20" s="4">
        <v>15</v>
      </c>
      <c r="L20" s="4">
        <v>20</v>
      </c>
      <c r="M20" s="4">
        <v>43</v>
      </c>
      <c r="N20" s="4">
        <v>100</v>
      </c>
    </row>
    <row r="21" spans="2:20">
      <c r="B21" s="4"/>
      <c r="C21" s="4"/>
      <c r="D21" s="4"/>
      <c r="E21" s="4"/>
      <c r="F21" s="4"/>
      <c r="G21" s="4"/>
      <c r="H21" s="4"/>
      <c r="I21" s="4"/>
      <c r="J21" s="4"/>
      <c r="K21" s="4"/>
      <c r="L21" s="4"/>
      <c r="M21" s="4"/>
      <c r="N21" s="4"/>
    </row>
    <row r="22" spans="2:20">
      <c r="B22" s="4" t="s">
        <v>89</v>
      </c>
      <c r="C22" s="4">
        <v>275781.375</v>
      </c>
      <c r="D22" s="4">
        <v>367708.5</v>
      </c>
      <c r="E22" s="4">
        <v>420921.4</v>
      </c>
      <c r="F22" s="4">
        <v>541616.6</v>
      </c>
      <c r="G22" s="4">
        <v>645750.1</v>
      </c>
      <c r="H22" s="4">
        <v>818126.9</v>
      </c>
      <c r="I22" s="4">
        <v>949922.8</v>
      </c>
      <c r="J22" s="4">
        <v>1134252.7</v>
      </c>
      <c r="K22" s="4">
        <v>1298232.8999999999</v>
      </c>
      <c r="L22" s="4">
        <v>1606915.7</v>
      </c>
      <c r="M22" s="4">
        <v>1941063.5</v>
      </c>
      <c r="N22" s="4">
        <v>2903809.1</v>
      </c>
    </row>
    <row r="23" spans="2:20">
      <c r="B23" s="4" t="s">
        <v>90</v>
      </c>
      <c r="C23" s="4">
        <v>33075.520000000004</v>
      </c>
      <c r="D23" s="4">
        <v>41344.400000000001</v>
      </c>
      <c r="E23" s="4">
        <v>32484.5</v>
      </c>
      <c r="F23" s="4">
        <v>36725.1</v>
      </c>
      <c r="G23" s="4">
        <v>56709.3</v>
      </c>
      <c r="H23" s="4">
        <v>45763.7</v>
      </c>
      <c r="I23" s="4">
        <v>55108.3</v>
      </c>
      <c r="J23" s="4">
        <v>67394.399999999994</v>
      </c>
      <c r="K23" s="4">
        <v>72602.2</v>
      </c>
      <c r="L23" s="4">
        <v>84407.5</v>
      </c>
      <c r="M23" s="4">
        <v>95722.2</v>
      </c>
      <c r="N23" s="4">
        <v>135437.9</v>
      </c>
    </row>
    <row r="24" spans="2:20">
      <c r="B24" s="4"/>
      <c r="C24" s="4"/>
      <c r="D24" s="4"/>
      <c r="E24" s="4"/>
      <c r="F24" s="4"/>
      <c r="G24" s="4"/>
      <c r="H24" s="4"/>
      <c r="I24" s="4"/>
      <c r="J24" s="4"/>
      <c r="K24" s="4"/>
      <c r="L24" s="4"/>
      <c r="M24" s="4"/>
      <c r="N24" s="4"/>
    </row>
    <row r="25" spans="2:20">
      <c r="B25" s="4" t="s">
        <v>47</v>
      </c>
      <c r="C25" s="4">
        <f>(C22-C23)</f>
        <v>242705.85499999998</v>
      </c>
      <c r="D25" s="4">
        <f>(D22-D23)</f>
        <v>326364.09999999998</v>
      </c>
      <c r="E25" s="4">
        <f t="shared" ref="E25:N25" si="1">(E22-E23)</f>
        <v>388436.9</v>
      </c>
      <c r="F25" s="4">
        <f t="shared" si="1"/>
        <v>504891.5</v>
      </c>
      <c r="G25" s="4">
        <f t="shared" si="1"/>
        <v>589040.79999999993</v>
      </c>
      <c r="H25" s="4">
        <f t="shared" si="1"/>
        <v>772363.20000000007</v>
      </c>
      <c r="I25" s="4">
        <f t="shared" si="1"/>
        <v>894814.5</v>
      </c>
      <c r="J25" s="4">
        <f t="shared" si="1"/>
        <v>1066858.3</v>
      </c>
      <c r="K25" s="4">
        <f t="shared" si="1"/>
        <v>1225630.7</v>
      </c>
      <c r="L25" s="4">
        <f t="shared" si="1"/>
        <v>1522508.2</v>
      </c>
      <c r="M25" s="4">
        <f t="shared" si="1"/>
        <v>1845341.3</v>
      </c>
      <c r="N25" s="4">
        <f t="shared" si="1"/>
        <v>2768371.2</v>
      </c>
      <c r="O25" s="8"/>
    </row>
    <row r="29" spans="2:20">
      <c r="B29" s="29" t="s">
        <v>95</v>
      </c>
      <c r="C29" s="29" t="s">
        <v>96</v>
      </c>
      <c r="D29" s="29" t="s">
        <v>97</v>
      </c>
      <c r="E29" s="29" t="s">
        <v>98</v>
      </c>
      <c r="F29" s="29" t="s">
        <v>62</v>
      </c>
      <c r="G29" s="29" t="s">
        <v>25</v>
      </c>
      <c r="H29" s="29" t="s">
        <v>99</v>
      </c>
      <c r="I29" s="29" t="s">
        <v>100</v>
      </c>
      <c r="J29" s="29" t="s">
        <v>101</v>
      </c>
      <c r="K29" s="29" t="s">
        <v>102</v>
      </c>
      <c r="L29" s="29" t="s">
        <v>103</v>
      </c>
      <c r="M29" s="29" t="s">
        <v>66</v>
      </c>
      <c r="N29" s="29" t="s">
        <v>66</v>
      </c>
      <c r="O29" s="29" t="s">
        <v>94</v>
      </c>
      <c r="P29" s="29" t="s">
        <v>105</v>
      </c>
    </row>
    <row r="30" spans="2:20">
      <c r="B30" s="4" t="s">
        <v>69</v>
      </c>
      <c r="C30" s="4">
        <v>1665.95</v>
      </c>
      <c r="D30" s="4">
        <v>762.62</v>
      </c>
      <c r="E30" s="4">
        <v>1270493.3500000001</v>
      </c>
      <c r="F30" s="4">
        <v>4149161.58</v>
      </c>
      <c r="G30" s="4">
        <v>759.69</v>
      </c>
      <c r="H30" s="4">
        <v>3107502.74</v>
      </c>
      <c r="I30" s="4">
        <v>228834.51</v>
      </c>
      <c r="J30" s="4">
        <v>314027.08</v>
      </c>
      <c r="K30" s="4">
        <v>65446.5</v>
      </c>
      <c r="L30" s="4">
        <v>18.64</v>
      </c>
      <c r="M30" s="4">
        <v>16.05</v>
      </c>
      <c r="N30" s="4">
        <v>16.05</v>
      </c>
      <c r="O30" s="46">
        <v>2.77</v>
      </c>
      <c r="P30" s="46">
        <v>456395.25</v>
      </c>
      <c r="T30" s="3"/>
    </row>
    <row r="31" spans="2:20">
      <c r="B31" s="4" t="s">
        <v>70</v>
      </c>
      <c r="C31" s="4">
        <v>1250.3499999999999</v>
      </c>
      <c r="D31" s="4">
        <v>704.47</v>
      </c>
      <c r="E31" s="4">
        <v>880761.43</v>
      </c>
      <c r="F31" s="4">
        <v>2369000.48</v>
      </c>
      <c r="G31" s="4">
        <v>1404.68</v>
      </c>
      <c r="H31" s="4">
        <v>1651007.95</v>
      </c>
      <c r="I31" s="4">
        <v>162768.9</v>
      </c>
      <c r="J31" s="4">
        <v>166991.67999999999</v>
      </c>
      <c r="K31" s="4">
        <v>46080.51</v>
      </c>
      <c r="L31" s="4">
        <v>19.440000000000001</v>
      </c>
      <c r="M31" s="4">
        <v>16.39</v>
      </c>
      <c r="N31" s="4">
        <v>16.39</v>
      </c>
      <c r="O31" s="46">
        <v>3.43</v>
      </c>
      <c r="P31" s="46">
        <v>256143.84</v>
      </c>
    </row>
    <row r="32" spans="2:20">
      <c r="B32" s="4" t="s">
        <v>71</v>
      </c>
      <c r="C32" s="4">
        <v>1217.45</v>
      </c>
      <c r="D32" s="4">
        <v>309.25</v>
      </c>
      <c r="E32" s="4">
        <v>376478.07</v>
      </c>
      <c r="F32" s="4">
        <v>1555286.84</v>
      </c>
      <c r="G32" s="4">
        <v>617.30999999999995</v>
      </c>
      <c r="H32" s="4">
        <v>1295301.95</v>
      </c>
      <c r="I32" s="4">
        <v>116493.18</v>
      </c>
      <c r="J32" s="4">
        <v>117671.83</v>
      </c>
      <c r="K32" s="4">
        <v>26492.25</v>
      </c>
      <c r="L32" s="4">
        <v>14.08</v>
      </c>
      <c r="M32" s="4">
        <v>15.29</v>
      </c>
      <c r="N32" s="4">
        <v>15.29</v>
      </c>
      <c r="O32" s="46">
        <v>2.39</v>
      </c>
      <c r="P32" s="46">
        <v>157023.51999999999</v>
      </c>
    </row>
    <row r="33" spans="2:19">
      <c r="B33" s="4" t="s">
        <v>72</v>
      </c>
      <c r="C33" s="4">
        <v>1820.35</v>
      </c>
      <c r="D33" s="4">
        <v>198.81</v>
      </c>
      <c r="E33" s="4">
        <v>361907.43</v>
      </c>
      <c r="F33" s="4">
        <v>817075.41</v>
      </c>
      <c r="G33" s="4">
        <v>993.96</v>
      </c>
      <c r="H33" s="4">
        <v>520374.37</v>
      </c>
      <c r="I33" s="4">
        <v>65206.39</v>
      </c>
      <c r="J33" s="4">
        <v>59204.49</v>
      </c>
      <c r="K33" s="4">
        <v>18213.21</v>
      </c>
      <c r="L33" s="4">
        <v>19.41</v>
      </c>
      <c r="M33" s="4">
        <v>16.47</v>
      </c>
      <c r="N33" s="4">
        <v>16.47</v>
      </c>
      <c r="O33" s="46">
        <v>2.78</v>
      </c>
      <c r="P33" s="46">
        <v>129971.69</v>
      </c>
    </row>
    <row r="34" spans="2:19">
      <c r="B34" s="4" t="s">
        <v>73</v>
      </c>
      <c r="C34" s="4">
        <v>1464.05</v>
      </c>
      <c r="D34" s="4">
        <v>77.900000000000006</v>
      </c>
      <c r="E34" s="4">
        <v>114047.95</v>
      </c>
      <c r="F34" s="4">
        <v>509650.67</v>
      </c>
      <c r="G34" s="4">
        <v>778.32</v>
      </c>
      <c r="H34" s="4">
        <v>432404.33</v>
      </c>
      <c r="I34" s="4">
        <v>36801.61</v>
      </c>
      <c r="J34" s="4">
        <v>47565.33</v>
      </c>
      <c r="K34" s="4">
        <v>8949.7800000000007</v>
      </c>
      <c r="L34" s="4">
        <v>12.7</v>
      </c>
      <c r="M34" s="4">
        <v>13.13</v>
      </c>
      <c r="N34" s="4">
        <v>13.13</v>
      </c>
      <c r="O34" s="46">
        <v>1.81</v>
      </c>
      <c r="P34" s="46">
        <v>62797.11</v>
      </c>
    </row>
    <row r="35" spans="2:19">
      <c r="B35" s="4" t="s">
        <v>74</v>
      </c>
      <c r="C35" s="4">
        <v>94.92</v>
      </c>
      <c r="D35" s="4">
        <v>1075.24</v>
      </c>
      <c r="E35" s="4">
        <v>102061.8</v>
      </c>
      <c r="F35" s="4">
        <v>370500.53</v>
      </c>
      <c r="G35" s="4">
        <v>10752.4</v>
      </c>
      <c r="H35" s="4">
        <v>294448.21000000002</v>
      </c>
      <c r="I35" s="4">
        <v>26009.48</v>
      </c>
      <c r="J35" s="4">
        <v>26251.87</v>
      </c>
      <c r="K35" s="4">
        <v>5814.1</v>
      </c>
      <c r="L35" s="4">
        <v>16.22</v>
      </c>
      <c r="M35" s="4">
        <v>16.53</v>
      </c>
      <c r="N35" s="4">
        <v>16.53</v>
      </c>
      <c r="O35" s="46">
        <v>2</v>
      </c>
      <c r="P35" s="46">
        <v>51073.06</v>
      </c>
    </row>
    <row r="36" spans="2:19">
      <c r="B36" s="4" t="s">
        <v>75</v>
      </c>
      <c r="C36" s="4">
        <v>23.3</v>
      </c>
      <c r="D36" s="4">
        <v>3134.4</v>
      </c>
      <c r="E36" s="4">
        <v>73031.59</v>
      </c>
      <c r="F36" s="4">
        <v>400450.28</v>
      </c>
      <c r="G36" s="4">
        <v>5753.58</v>
      </c>
      <c r="H36" s="4">
        <v>346737.14</v>
      </c>
      <c r="I36" s="4">
        <v>19318.45</v>
      </c>
      <c r="J36" s="4">
        <v>28885.91</v>
      </c>
      <c r="K36" s="4">
        <v>1285.2</v>
      </c>
      <c r="L36" s="4">
        <v>50.21</v>
      </c>
      <c r="M36" s="4">
        <v>17.510000000000002</v>
      </c>
      <c r="N36" s="4">
        <v>17.510000000000002</v>
      </c>
      <c r="O36" s="46">
        <v>1.63</v>
      </c>
      <c r="P36" s="46">
        <v>41206.800000000003</v>
      </c>
    </row>
    <row r="37" spans="2:19">
      <c r="B37" s="4" t="s">
        <v>76</v>
      </c>
      <c r="C37" s="4">
        <v>73.42</v>
      </c>
      <c r="D37" s="4">
        <v>748.03</v>
      </c>
      <c r="E37" s="4">
        <v>54920.6</v>
      </c>
      <c r="F37" s="4">
        <v>293945.38</v>
      </c>
      <c r="G37" s="4">
        <v>7069.92</v>
      </c>
      <c r="H37" s="4">
        <v>251505.94</v>
      </c>
      <c r="I37" s="4">
        <v>12481.16</v>
      </c>
      <c r="J37" s="4">
        <v>32244.94</v>
      </c>
      <c r="K37" s="4">
        <v>2942.35</v>
      </c>
      <c r="L37" s="4">
        <v>19.25</v>
      </c>
      <c r="M37" s="4">
        <v>15.32</v>
      </c>
      <c r="N37" s="4">
        <v>15.32</v>
      </c>
      <c r="O37" s="46">
        <v>1.61</v>
      </c>
      <c r="P37" s="46">
        <v>32273.57</v>
      </c>
    </row>
    <row r="38" spans="2:19">
      <c r="B38" s="4" t="s">
        <v>77</v>
      </c>
      <c r="C38" s="4">
        <v>722.9</v>
      </c>
      <c r="D38" s="4">
        <v>74.34</v>
      </c>
      <c r="E38" s="4">
        <v>53742.07</v>
      </c>
      <c r="F38" s="4">
        <v>140027.23000000001</v>
      </c>
      <c r="G38" s="4">
        <v>669.16</v>
      </c>
      <c r="H38" s="4">
        <v>92661.49</v>
      </c>
      <c r="I38" s="4">
        <v>6376.33</v>
      </c>
      <c r="J38" s="4">
        <v>11865.41</v>
      </c>
      <c r="K38" s="4">
        <v>1534.72</v>
      </c>
      <c r="L38" s="4">
        <v>31.37</v>
      </c>
      <c r="M38" s="4">
        <v>16.489999999999998</v>
      </c>
      <c r="N38" s="4">
        <v>16.489999999999998</v>
      </c>
      <c r="O38" s="46">
        <v>3.85</v>
      </c>
      <c r="P38" s="46">
        <v>12559.53</v>
      </c>
    </row>
    <row r="39" spans="2:19">
      <c r="B39" s="4" t="s">
        <v>78</v>
      </c>
      <c r="C39" s="4">
        <v>186.52</v>
      </c>
      <c r="D39" s="4">
        <v>245.09</v>
      </c>
      <c r="E39" s="4">
        <v>45713.9</v>
      </c>
      <c r="F39" s="4">
        <v>304134.71000000002</v>
      </c>
      <c r="G39" s="4">
        <v>487.07</v>
      </c>
      <c r="H39" s="4">
        <v>277614.63</v>
      </c>
      <c r="I39" s="4">
        <v>19193.82</v>
      </c>
      <c r="J39" s="4">
        <v>24943.3</v>
      </c>
      <c r="K39" s="4">
        <v>3964.04</v>
      </c>
      <c r="L39" s="4">
        <v>11.35</v>
      </c>
      <c r="M39" s="4">
        <v>14.38</v>
      </c>
      <c r="N39" s="4">
        <v>14.38</v>
      </c>
      <c r="O39" s="46">
        <v>1.51</v>
      </c>
      <c r="P39" s="46">
        <v>30105.35</v>
      </c>
    </row>
    <row r="41" spans="2:19">
      <c r="B41" s="42"/>
      <c r="C41" s="42"/>
      <c r="D41" s="45"/>
      <c r="E41" s="45"/>
      <c r="F41" s="45"/>
      <c r="G41" s="45"/>
      <c r="H41" s="45"/>
      <c r="I41" s="45"/>
      <c r="J41" s="45"/>
      <c r="K41" s="45"/>
      <c r="L41" s="45"/>
      <c r="M41" s="45"/>
      <c r="N41" s="45"/>
      <c r="O41" s="45"/>
      <c r="P41" s="45"/>
      <c r="Q41" s="45"/>
      <c r="R41" s="45"/>
      <c r="S41" s="45"/>
    </row>
    <row r="42" spans="2:19">
      <c r="B42" s="42"/>
      <c r="C42" s="44"/>
      <c r="D42" s="44"/>
      <c r="E42" s="44"/>
      <c r="F42" s="44"/>
      <c r="G42" s="44"/>
      <c r="H42" s="44"/>
      <c r="I42" s="44"/>
      <c r="J42" s="44"/>
      <c r="K42" s="44"/>
      <c r="L42" s="44"/>
      <c r="M42" s="44"/>
      <c r="N42" s="44"/>
      <c r="O42" s="44"/>
      <c r="P42" s="44"/>
      <c r="Q42" s="44"/>
      <c r="S42" s="44"/>
    </row>
    <row r="43" spans="2:19">
      <c r="B43" s="43"/>
      <c r="C43" s="42"/>
      <c r="D43" s="44"/>
      <c r="E43" s="44"/>
      <c r="F43" s="44"/>
      <c r="G43" s="44"/>
      <c r="H43" s="44"/>
      <c r="I43" s="44"/>
      <c r="J43" s="44"/>
      <c r="K43" s="44"/>
      <c r="L43" s="44"/>
      <c r="M43" s="44"/>
      <c r="N43" s="44"/>
      <c r="O43" s="44"/>
      <c r="P43" s="44"/>
      <c r="Q43" s="44"/>
      <c r="R43" s="44"/>
      <c r="S43" s="44"/>
    </row>
    <row r="44" spans="2:19">
      <c r="B44" s="43"/>
      <c r="C44" s="42"/>
      <c r="D44" s="44"/>
      <c r="E44" s="44"/>
      <c r="F44" s="44"/>
      <c r="G44" s="44"/>
      <c r="H44" s="44"/>
      <c r="I44" s="44"/>
      <c r="J44" s="44"/>
      <c r="K44" s="44"/>
      <c r="L44" s="44"/>
      <c r="M44" s="44"/>
      <c r="N44" s="44"/>
      <c r="O44" s="44"/>
      <c r="P44" s="44"/>
      <c r="Q44" s="44"/>
      <c r="R44" s="44"/>
      <c r="S44" s="44"/>
    </row>
    <row r="45" spans="2:19">
      <c r="B45" s="43"/>
      <c r="C45" s="42"/>
      <c r="D45" s="44"/>
      <c r="E45" s="44"/>
      <c r="F45" s="44"/>
      <c r="G45" s="44"/>
      <c r="H45" s="44"/>
      <c r="I45" s="44"/>
      <c r="J45" s="44"/>
      <c r="K45" s="44"/>
      <c r="L45" s="44"/>
      <c r="M45" s="44"/>
      <c r="N45" s="44"/>
      <c r="O45" s="44"/>
      <c r="P45" s="44"/>
      <c r="Q45" s="44"/>
      <c r="R45" s="44"/>
      <c r="S45" s="44"/>
    </row>
    <row r="46" spans="2:19">
      <c r="B46" s="43"/>
      <c r="C46" s="42"/>
      <c r="D46" s="44"/>
      <c r="E46" s="44"/>
      <c r="F46" s="44"/>
      <c r="G46" s="44"/>
      <c r="H46" s="44"/>
      <c r="I46" s="44"/>
      <c r="J46" s="44"/>
      <c r="K46" s="44"/>
      <c r="L46" s="44"/>
      <c r="M46" s="44"/>
      <c r="N46" s="44"/>
      <c r="O46" s="44"/>
      <c r="P46" s="44"/>
      <c r="Q46" s="44"/>
      <c r="R46" s="44"/>
      <c r="S46" s="44"/>
    </row>
    <row r="47" spans="2:19">
      <c r="B47" s="43"/>
      <c r="C47" s="42"/>
      <c r="D47" s="44"/>
      <c r="E47" s="44"/>
      <c r="F47" s="44"/>
      <c r="G47" s="44"/>
      <c r="H47" s="44"/>
      <c r="I47" s="44"/>
      <c r="J47" s="44"/>
      <c r="K47" s="44"/>
      <c r="L47" s="44"/>
      <c r="M47" s="44"/>
      <c r="N47" s="44"/>
      <c r="O47" s="44"/>
      <c r="P47" s="44"/>
      <c r="Q47" s="44"/>
      <c r="R47" s="44"/>
      <c r="S47" s="44"/>
    </row>
    <row r="48" spans="2:19">
      <c r="B48" s="43"/>
      <c r="C48" s="42"/>
      <c r="D48" s="44"/>
      <c r="E48" s="44"/>
      <c r="F48" s="44"/>
      <c r="G48" s="44"/>
      <c r="H48" s="44"/>
      <c r="I48" s="44"/>
      <c r="J48" s="44"/>
      <c r="K48" s="44"/>
      <c r="L48" s="44"/>
      <c r="M48" s="44"/>
      <c r="N48" s="44"/>
      <c r="O48" s="44"/>
      <c r="P48" s="44"/>
      <c r="Q48" s="44"/>
      <c r="R48" s="44"/>
      <c r="S48" s="44"/>
    </row>
    <row r="49" spans="2:19">
      <c r="B49" s="43"/>
      <c r="C49" s="42"/>
      <c r="D49" s="44"/>
      <c r="E49" s="44"/>
      <c r="F49" s="44"/>
      <c r="G49" s="44"/>
      <c r="H49" s="44"/>
      <c r="I49" s="44"/>
      <c r="J49" s="44"/>
      <c r="K49" s="44"/>
      <c r="L49" s="44"/>
      <c r="M49" s="44"/>
      <c r="N49" s="44"/>
      <c r="O49" s="44"/>
      <c r="P49" s="44"/>
      <c r="Q49" s="44"/>
      <c r="R49" s="44"/>
      <c r="S49" s="44"/>
    </row>
    <row r="50" spans="2:19">
      <c r="B50" s="43"/>
      <c r="C50" s="42"/>
      <c r="D50" s="44"/>
      <c r="E50" s="44"/>
      <c r="F50" s="44"/>
      <c r="G50" s="44"/>
      <c r="H50" s="44"/>
      <c r="I50" s="44"/>
      <c r="J50" s="44"/>
      <c r="K50" s="44"/>
      <c r="L50" s="44"/>
      <c r="M50" s="44"/>
      <c r="N50" s="44"/>
      <c r="O50" s="44"/>
      <c r="P50" s="44"/>
      <c r="Q50" s="44"/>
      <c r="R50" s="44"/>
      <c r="S50" s="44"/>
    </row>
    <row r="51" spans="2:19">
      <c r="B51" s="43"/>
      <c r="C51" s="42"/>
      <c r="D51" s="44"/>
      <c r="E51" s="44"/>
      <c r="F51" s="44"/>
      <c r="G51" s="44"/>
      <c r="H51" s="44"/>
      <c r="I51" s="44"/>
      <c r="J51" s="44"/>
      <c r="K51" s="44"/>
      <c r="L51" s="44"/>
      <c r="M51" s="44"/>
      <c r="N51" s="44"/>
      <c r="O51" s="44"/>
      <c r="P51" s="44"/>
      <c r="Q51" s="44"/>
      <c r="R51" s="44"/>
      <c r="S51" s="44"/>
    </row>
  </sheetData>
  <mergeCells count="1">
    <mergeCell ref="B1:N4"/>
  </mergeCells>
  <hyperlinks>
    <hyperlink ref="B30" r:id="rId1" display="https://www.screener.in/company/HDFCBANK/consolidated/" xr:uid="{F0A49495-29C6-4C76-B9E9-49B515F0394E}"/>
    <hyperlink ref="B31" r:id="rId2" display="https://www.screener.in/company/ICICIBANK/consolidated/" xr:uid="{E7CCC602-5887-442D-BC6D-C307AD83AD8C}"/>
    <hyperlink ref="B32" r:id="rId3" display="https://www.screener.in/company/AXISBANK/consolidated/" xr:uid="{B56680EF-ACF6-425C-BB78-85505DA0084F}"/>
    <hyperlink ref="B33" r:id="rId4" display="https://www.screener.in/company/KOTAKBANK/consolidated/" xr:uid="{D185E32F-3F53-4259-8279-9B68C0B0169B}"/>
    <hyperlink ref="B34" r:id="rId5" display="https://www.screener.in/company/INDUSINDBK/" xr:uid="{FB6AABCE-578A-4959-A3B4-FBE60743593D}"/>
    <hyperlink ref="B35" r:id="rId6" display="https://www.screener.in/company/IDBI/consolidated/" xr:uid="{EBEA0693-05A5-491B-9DB7-05BB53913615}"/>
    <hyperlink ref="B36" r:id="rId7" display="https://www.screener.in/company/YESBANK/consolidated/" xr:uid="{BEB1D597-B36A-4838-AE8C-6EBFD1BF0B2C}"/>
    <hyperlink ref="B37" r:id="rId8" display="https://www.screener.in/company/IDFCFIRSTB/consolidated/" xr:uid="{52CEAD31-C339-4457-9991-7742B6F1AAE0}"/>
    <hyperlink ref="B38" r:id="rId9" display="https://www.screener.in/company/AUBANK/" xr:uid="{305A3EDC-F892-4619-A510-D9F0C67369C2}"/>
    <hyperlink ref="B39" r:id="rId10" display="https://www.screener.in/company/FEDERALBNK/consolidated/" xr:uid="{13FB0514-AA07-4282-822B-D56F9A9ECBDD}"/>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Camel Factors &amp; Ratio Analysis</vt:lpstr>
      <vt:lpstr>P&amp;L </vt:lpstr>
      <vt:lpstr>Intrinsic Growth</vt:lpstr>
      <vt:lpstr>Relative Valuation</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ActSoftware</dc:creator>
  <cp:lastModifiedBy>ActSoftware</cp:lastModifiedBy>
  <dcterms:created xsi:type="dcterms:W3CDTF">2024-09-14T13:41:21Z</dcterms:created>
  <dcterms:modified xsi:type="dcterms:W3CDTF">2024-09-20T17:48:58Z</dcterms:modified>
</cp:coreProperties>
</file>