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 kumar\Downloads\"/>
    </mc:Choice>
  </mc:AlternateContent>
  <xr:revisionPtr revIDLastSave="0" documentId="13_ncr:1_{6AB4C24E-40FD-4C03-ABC5-0C02F1AD3001}" xr6:coauthVersionLast="47" xr6:coauthVersionMax="47" xr10:uidLastSave="{00000000-0000-0000-0000-000000000000}"/>
  <bookViews>
    <workbookView xWindow="-108" yWindow="-108" windowWidth="23256" windowHeight="12456" activeTab="3" xr2:uid="{923FAD7A-9803-40B4-9DFF-8BD176EF3021}"/>
  </bookViews>
  <sheets>
    <sheet name="Data Sheet" sheetId="2" r:id="rId1"/>
    <sheet name="HistoricalFS" sheetId="3" r:id="rId2"/>
    <sheet name="Intrinsic Growth" sheetId="1" r:id="rId3"/>
    <sheet name="DCF" sheetId="4" r:id="rId4"/>
    <sheet name="Raw data" sheetId="5" r:id="rId5"/>
    <sheet name="Relative Valution" sheetId="6" r:id="rId6"/>
  </sheets>
  <externalReferences>
    <externalReference r:id="rId7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"04/29/2023 08:53:12"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6" l="1"/>
  <c r="P23" i="6"/>
  <c r="P22" i="6"/>
  <c r="O22" i="6"/>
  <c r="N22" i="6"/>
  <c r="N20" i="6"/>
  <c r="M23" i="6"/>
  <c r="M22" i="6"/>
  <c r="M21" i="6"/>
  <c r="M20" i="6"/>
  <c r="M25" i="6"/>
  <c r="P15" i="6"/>
  <c r="P16" i="6"/>
  <c r="O15" i="6"/>
  <c r="H5" i="6"/>
  <c r="H6" i="6"/>
  <c r="H7" i="6"/>
  <c r="H8" i="6"/>
  <c r="H9" i="6"/>
  <c r="H10" i="6"/>
  <c r="H11" i="6"/>
  <c r="H12" i="6"/>
  <c r="H13" i="6"/>
  <c r="H4" i="6"/>
  <c r="P4" i="6"/>
  <c r="P5" i="6"/>
  <c r="P6" i="6"/>
  <c r="P7" i="6"/>
  <c r="P8" i="6"/>
  <c r="P9" i="6"/>
  <c r="P10" i="6"/>
  <c r="P11" i="6"/>
  <c r="P12" i="6"/>
  <c r="P13" i="6"/>
  <c r="J5" i="6"/>
  <c r="J6" i="6"/>
  <c r="J7" i="6"/>
  <c r="J8" i="6"/>
  <c r="J9" i="6"/>
  <c r="J10" i="6"/>
  <c r="J11" i="6"/>
  <c r="J12" i="6"/>
  <c r="J13" i="6"/>
  <c r="J4" i="6"/>
  <c r="K5" i="6"/>
  <c r="K6" i="6"/>
  <c r="K7" i="6"/>
  <c r="K8" i="6"/>
  <c r="K9" i="6"/>
  <c r="O9" i="6" s="1"/>
  <c r="K10" i="6"/>
  <c r="O10" i="6" s="1"/>
  <c r="K11" i="6"/>
  <c r="K12" i="6"/>
  <c r="K13" i="6"/>
  <c r="K4" i="6"/>
  <c r="O4" i="6" s="1"/>
  <c r="O5" i="6"/>
  <c r="M4" i="6"/>
  <c r="M5" i="6"/>
  <c r="M6" i="6"/>
  <c r="M7" i="6"/>
  <c r="M8" i="6"/>
  <c r="M9" i="6"/>
  <c r="M10" i="6"/>
  <c r="M11" i="6"/>
  <c r="M12" i="6"/>
  <c r="M13" i="6"/>
  <c r="N5" i="6"/>
  <c r="N6" i="6"/>
  <c r="N7" i="6"/>
  <c r="N8" i="6"/>
  <c r="N9" i="6"/>
  <c r="N10" i="6"/>
  <c r="N11" i="6"/>
  <c r="N12" i="6"/>
  <c r="N13" i="6"/>
  <c r="N4" i="6"/>
  <c r="N16" i="6" s="1"/>
  <c r="I5" i="6"/>
  <c r="I6" i="6"/>
  <c r="I7" i="6"/>
  <c r="I8" i="6"/>
  <c r="I9" i="6"/>
  <c r="I10" i="6"/>
  <c r="I11" i="6"/>
  <c r="I12" i="6"/>
  <c r="I13" i="6"/>
  <c r="I4" i="6"/>
  <c r="G5" i="6"/>
  <c r="G6" i="6"/>
  <c r="G7" i="6"/>
  <c r="G8" i="6"/>
  <c r="G9" i="6"/>
  <c r="G10" i="6"/>
  <c r="G11" i="6"/>
  <c r="G12" i="6"/>
  <c r="G13" i="6"/>
  <c r="G4" i="6"/>
  <c r="F4" i="6"/>
  <c r="E5" i="6"/>
  <c r="E6" i="6"/>
  <c r="E7" i="6"/>
  <c r="E8" i="6"/>
  <c r="E9" i="6"/>
  <c r="E10" i="6"/>
  <c r="F10" i="6" s="1"/>
  <c r="E11" i="6"/>
  <c r="E12" i="6"/>
  <c r="F12" i="6" s="1"/>
  <c r="E13" i="6"/>
  <c r="E4" i="6"/>
  <c r="D5" i="6"/>
  <c r="D6" i="6"/>
  <c r="D7" i="6"/>
  <c r="D8" i="6"/>
  <c r="D9" i="6"/>
  <c r="D10" i="6"/>
  <c r="D11" i="6"/>
  <c r="D12" i="6"/>
  <c r="D13" i="6"/>
  <c r="D4" i="6"/>
  <c r="B5" i="6"/>
  <c r="B6" i="6"/>
  <c r="B7" i="6"/>
  <c r="B8" i="6"/>
  <c r="B9" i="6"/>
  <c r="B10" i="6"/>
  <c r="B11" i="6"/>
  <c r="B12" i="6"/>
  <c r="B13" i="6"/>
  <c r="B4" i="6"/>
  <c r="N23" i="6"/>
  <c r="O23" i="6" s="1"/>
  <c r="N21" i="6"/>
  <c r="O8" i="6"/>
  <c r="O7" i="6"/>
  <c r="O6" i="6"/>
  <c r="F5" i="6"/>
  <c r="F11" i="6" l="1"/>
  <c r="F9" i="6"/>
  <c r="F13" i="6"/>
  <c r="O13" i="6"/>
  <c r="N25" i="6"/>
  <c r="O12" i="6"/>
  <c r="O16" i="6" s="1"/>
  <c r="O25" i="6" s="1"/>
  <c r="F6" i="6"/>
  <c r="O11" i="6"/>
  <c r="N15" i="6"/>
  <c r="F7" i="6"/>
  <c r="F8" i="6"/>
  <c r="M15" i="6" l="1"/>
  <c r="M16" i="6" l="1"/>
  <c r="E25" i="4" l="1"/>
  <c r="E43" i="4"/>
  <c r="L27" i="1"/>
  <c r="E19" i="4"/>
  <c r="G5" i="4"/>
  <c r="H5" i="4" s="1"/>
  <c r="I5" i="4" s="1"/>
  <c r="J5" i="4" s="1"/>
  <c r="K5" i="4" s="1"/>
  <c r="E41" i="4"/>
  <c r="E39" i="4"/>
  <c r="E38" i="4"/>
  <c r="H15" i="4"/>
  <c r="G15" i="4"/>
  <c r="F15" i="4"/>
  <c r="I15" i="4"/>
  <c r="J15" i="4"/>
  <c r="F13" i="4"/>
  <c r="F17" i="4" s="1"/>
  <c r="F5" i="4"/>
  <c r="G7" i="4"/>
  <c r="H7" i="4"/>
  <c r="I7" i="4"/>
  <c r="J7" i="4"/>
  <c r="K7" i="4"/>
  <c r="F9" i="4"/>
  <c r="E27" i="4"/>
  <c r="G11" i="4"/>
  <c r="H11" i="4" s="1"/>
  <c r="I11" i="4" s="1"/>
  <c r="J11" i="4" s="1"/>
  <c r="K11" i="4" s="1"/>
  <c r="G25" i="1"/>
  <c r="G23" i="1"/>
  <c r="H23" i="1"/>
  <c r="G22" i="1"/>
  <c r="G20" i="1"/>
  <c r="F8" i="1"/>
  <c r="I33" i="1"/>
  <c r="J33" i="1"/>
  <c r="K33" i="1"/>
  <c r="H33" i="1"/>
  <c r="H22" i="1"/>
  <c r="I22" i="1"/>
  <c r="J22" i="1"/>
  <c r="K22" i="1"/>
  <c r="D47" i="1"/>
  <c r="H19" i="1" s="1"/>
  <c r="H25" i="1" s="1"/>
  <c r="E47" i="1"/>
  <c r="I19" i="1" s="1"/>
  <c r="F47" i="1"/>
  <c r="J19" i="1" s="1"/>
  <c r="G47" i="1"/>
  <c r="K19" i="1" s="1"/>
  <c r="C47" i="1"/>
  <c r="G19" i="1" s="1"/>
  <c r="H17" i="1"/>
  <c r="I17" i="1"/>
  <c r="J17" i="1"/>
  <c r="K17" i="1"/>
  <c r="G17" i="1"/>
  <c r="H13" i="1"/>
  <c r="I13" i="1"/>
  <c r="J13" i="1"/>
  <c r="K13" i="1"/>
  <c r="G13" i="1"/>
  <c r="G8" i="1"/>
  <c r="G12" i="1" s="1"/>
  <c r="K30" i="1"/>
  <c r="J30" i="1"/>
  <c r="I30" i="1"/>
  <c r="H30" i="1"/>
  <c r="G30" i="1"/>
  <c r="J41" i="3"/>
  <c r="I41" i="3"/>
  <c r="G41" i="3"/>
  <c r="D41" i="3"/>
  <c r="L36" i="3"/>
  <c r="L41" i="3" s="1"/>
  <c r="K36" i="3"/>
  <c r="K41" i="3" s="1"/>
  <c r="J36" i="3"/>
  <c r="I36" i="3"/>
  <c r="H36" i="3"/>
  <c r="H41" i="3" s="1"/>
  <c r="G36" i="3"/>
  <c r="F36" i="3"/>
  <c r="F41" i="3" s="1"/>
  <c r="E36" i="3"/>
  <c r="E41" i="3" s="1"/>
  <c r="D36" i="3"/>
  <c r="C36" i="3"/>
  <c r="C41" i="3" s="1"/>
  <c r="L30" i="3"/>
  <c r="K30" i="3"/>
  <c r="J30" i="3"/>
  <c r="I30" i="3"/>
  <c r="H30" i="3"/>
  <c r="G30" i="3"/>
  <c r="F30" i="3"/>
  <c r="E30" i="3"/>
  <c r="D30" i="3"/>
  <c r="C30" i="3"/>
  <c r="L25" i="3"/>
  <c r="D25" i="3"/>
  <c r="L24" i="3"/>
  <c r="K24" i="3"/>
  <c r="K25" i="3" s="1"/>
  <c r="J24" i="3"/>
  <c r="J25" i="3" s="1"/>
  <c r="I24" i="3"/>
  <c r="H24" i="3"/>
  <c r="H25" i="3" s="1"/>
  <c r="G24" i="3"/>
  <c r="G25" i="3" s="1"/>
  <c r="F24" i="3"/>
  <c r="F25" i="3" s="1"/>
  <c r="E24" i="3"/>
  <c r="E25" i="3" s="1"/>
  <c r="D24" i="3"/>
  <c r="C24" i="3"/>
  <c r="L22" i="3"/>
  <c r="H22" i="3"/>
  <c r="L21" i="3"/>
  <c r="K21" i="3"/>
  <c r="J21" i="3"/>
  <c r="J22" i="3" s="1"/>
  <c r="I21" i="3"/>
  <c r="H21" i="3"/>
  <c r="G21" i="3"/>
  <c r="G22" i="3" s="1"/>
  <c r="F21" i="3"/>
  <c r="F22" i="3" s="1"/>
  <c r="E21" i="3"/>
  <c r="D21" i="3"/>
  <c r="D22" i="3" s="1"/>
  <c r="C21" i="3"/>
  <c r="C22" i="3" s="1"/>
  <c r="L16" i="3"/>
  <c r="D16" i="3"/>
  <c r="L15" i="3"/>
  <c r="K15" i="3"/>
  <c r="K16" i="3" s="1"/>
  <c r="J15" i="3"/>
  <c r="J16" i="3" s="1"/>
  <c r="I15" i="3"/>
  <c r="H15" i="3"/>
  <c r="H16" i="3" s="1"/>
  <c r="G15" i="3"/>
  <c r="G16" i="3" s="1"/>
  <c r="F15" i="3"/>
  <c r="F16" i="3" s="1"/>
  <c r="E15" i="3"/>
  <c r="E16" i="3" s="1"/>
  <c r="D15" i="3"/>
  <c r="C15" i="3"/>
  <c r="G12" i="3"/>
  <c r="G18" i="3" s="1"/>
  <c r="F12" i="3"/>
  <c r="F18" i="3" s="1"/>
  <c r="D12" i="3"/>
  <c r="D18" i="3" s="1"/>
  <c r="H10" i="3"/>
  <c r="E10" i="3"/>
  <c r="D10" i="3"/>
  <c r="L9" i="3"/>
  <c r="L10" i="3" s="1"/>
  <c r="K9" i="3"/>
  <c r="K10" i="3" s="1"/>
  <c r="J9" i="3"/>
  <c r="J10" i="3" s="1"/>
  <c r="I9" i="3"/>
  <c r="I10" i="3" s="1"/>
  <c r="H9" i="3"/>
  <c r="G9" i="3"/>
  <c r="G10" i="3" s="1"/>
  <c r="F9" i="3"/>
  <c r="F10" i="3" s="1"/>
  <c r="E9" i="3"/>
  <c r="D9" i="3"/>
  <c r="C9" i="3"/>
  <c r="C10" i="3" s="1"/>
  <c r="L7" i="3"/>
  <c r="D7" i="3"/>
  <c r="L6" i="3"/>
  <c r="L12" i="3" s="1"/>
  <c r="K6" i="3"/>
  <c r="K12" i="3" s="1"/>
  <c r="J6" i="3"/>
  <c r="J12" i="3" s="1"/>
  <c r="I6" i="3"/>
  <c r="I12" i="3" s="1"/>
  <c r="H6" i="3"/>
  <c r="H12" i="3" s="1"/>
  <c r="G6" i="3"/>
  <c r="G7" i="3" s="1"/>
  <c r="F6" i="3"/>
  <c r="F7" i="3" s="1"/>
  <c r="E6" i="3"/>
  <c r="E7" i="3" s="1"/>
  <c r="D6" i="3"/>
  <c r="C6" i="3"/>
  <c r="C25" i="3" s="1"/>
  <c r="L3" i="3"/>
  <c r="K3" i="3"/>
  <c r="J3" i="3"/>
  <c r="I3" i="3"/>
  <c r="H3" i="3"/>
  <c r="G3" i="3"/>
  <c r="F3" i="3"/>
  <c r="E3" i="3"/>
  <c r="D3" i="3"/>
  <c r="C3" i="3"/>
  <c r="B2" i="3"/>
  <c r="K73" i="2"/>
  <c r="J73" i="2"/>
  <c r="I73" i="2"/>
  <c r="H73" i="2"/>
  <c r="K51" i="2"/>
  <c r="J51" i="2"/>
  <c r="I51" i="2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K32" i="2"/>
  <c r="J32" i="2"/>
  <c r="I32" i="2"/>
  <c r="H32" i="2"/>
  <c r="G32" i="2"/>
  <c r="F32" i="2"/>
  <c r="E32" i="2"/>
  <c r="D32" i="2"/>
  <c r="C32" i="2"/>
  <c r="B32" i="2"/>
  <c r="K15" i="2"/>
  <c r="B15" i="2"/>
  <c r="B6" i="2"/>
  <c r="E1" i="2"/>
  <c r="K15" i="4" l="1"/>
  <c r="G9" i="4"/>
  <c r="G13" i="4" s="1"/>
  <c r="G15" i="1"/>
  <c r="J8" i="1"/>
  <c r="H8" i="1"/>
  <c r="I8" i="1"/>
  <c r="K8" i="1"/>
  <c r="F27" i="3"/>
  <c r="F19" i="3"/>
  <c r="D27" i="3"/>
  <c r="D19" i="3"/>
  <c r="H18" i="3"/>
  <c r="H13" i="3"/>
  <c r="J13" i="3"/>
  <c r="J18" i="3"/>
  <c r="G27" i="3"/>
  <c r="G19" i="3"/>
  <c r="I18" i="3"/>
  <c r="I13" i="3"/>
  <c r="G31" i="3"/>
  <c r="L18" i="3"/>
  <c r="L13" i="3"/>
  <c r="K13" i="3"/>
  <c r="K18" i="3"/>
  <c r="H7" i="3"/>
  <c r="D13" i="3"/>
  <c r="I7" i="3"/>
  <c r="C12" i="3"/>
  <c r="I16" i="3"/>
  <c r="E22" i="3"/>
  <c r="I25" i="3"/>
  <c r="F13" i="3"/>
  <c r="J7" i="3"/>
  <c r="K7" i="3"/>
  <c r="E12" i="3"/>
  <c r="G13" i="3"/>
  <c r="I22" i="3"/>
  <c r="C16" i="3"/>
  <c r="K22" i="3"/>
  <c r="H9" i="4" l="1"/>
  <c r="H13" i="4" s="1"/>
  <c r="K12" i="1"/>
  <c r="K15" i="1" s="1"/>
  <c r="K20" i="1"/>
  <c r="I12" i="1"/>
  <c r="I15" i="1" s="1"/>
  <c r="I20" i="1"/>
  <c r="I23" i="1" s="1"/>
  <c r="H12" i="1"/>
  <c r="H15" i="1" s="1"/>
  <c r="H20" i="1"/>
  <c r="J12" i="1"/>
  <c r="J15" i="1" s="1"/>
  <c r="J20" i="1"/>
  <c r="J23" i="1"/>
  <c r="H32" i="1"/>
  <c r="K23" i="1"/>
  <c r="E18" i="3"/>
  <c r="E13" i="3"/>
  <c r="D33" i="3"/>
  <c r="D28" i="3"/>
  <c r="I27" i="3"/>
  <c r="I19" i="3"/>
  <c r="H27" i="3"/>
  <c r="H19" i="3"/>
  <c r="F28" i="3"/>
  <c r="F33" i="3"/>
  <c r="L27" i="3"/>
  <c r="L19" i="3"/>
  <c r="G28" i="3"/>
  <c r="G33" i="3"/>
  <c r="C13" i="3"/>
  <c r="C18" i="3"/>
  <c r="D31" i="3"/>
  <c r="K19" i="3"/>
  <c r="K27" i="3"/>
  <c r="F31" i="3"/>
  <c r="J19" i="3"/>
  <c r="J27" i="3"/>
  <c r="I9" i="4" l="1"/>
  <c r="I13" i="4" s="1"/>
  <c r="K32" i="1"/>
  <c r="K25" i="1"/>
  <c r="J32" i="1"/>
  <c r="J25" i="1"/>
  <c r="I25" i="1"/>
  <c r="K28" i="1" s="1"/>
  <c r="J35" i="1"/>
  <c r="H35" i="1"/>
  <c r="K35" i="1"/>
  <c r="K27" i="1"/>
  <c r="J33" i="3"/>
  <c r="J28" i="3"/>
  <c r="J31" i="3"/>
  <c r="F34" i="3"/>
  <c r="F38" i="3"/>
  <c r="H28" i="3"/>
  <c r="H31" i="3"/>
  <c r="H33" i="3"/>
  <c r="L31" i="3"/>
  <c r="L33" i="3"/>
  <c r="L28" i="3"/>
  <c r="K28" i="3"/>
  <c r="K33" i="3"/>
  <c r="K31" i="3"/>
  <c r="I28" i="3"/>
  <c r="I31" i="3"/>
  <c r="I33" i="3"/>
  <c r="C27" i="3"/>
  <c r="C19" i="3"/>
  <c r="D38" i="3"/>
  <c r="D34" i="3"/>
  <c r="G34" i="3"/>
  <c r="G38" i="3"/>
  <c r="E19" i="3"/>
  <c r="E27" i="3"/>
  <c r="J9" i="4" l="1"/>
  <c r="J13" i="4" s="1"/>
  <c r="K9" i="4"/>
  <c r="K13" i="4" s="1"/>
  <c r="I32" i="1"/>
  <c r="I35" i="1" s="1"/>
  <c r="K38" i="1"/>
  <c r="K37" i="1"/>
  <c r="L38" i="3"/>
  <c r="L34" i="3"/>
  <c r="D42" i="3"/>
  <c r="D44" i="3" s="1"/>
  <c r="G39" i="3"/>
  <c r="G42" i="3"/>
  <c r="G44" i="3" s="1"/>
  <c r="H34" i="3"/>
  <c r="H38" i="3"/>
  <c r="F44" i="3"/>
  <c r="F42" i="3"/>
  <c r="C33" i="3"/>
  <c r="C28" i="3"/>
  <c r="C31" i="3"/>
  <c r="I38" i="3"/>
  <c r="I34" i="3"/>
  <c r="E33" i="3"/>
  <c r="E31" i="3"/>
  <c r="E28" i="3"/>
  <c r="K38" i="3"/>
  <c r="K34" i="3"/>
  <c r="J38" i="3"/>
  <c r="J34" i="3"/>
  <c r="K17" i="4" l="1"/>
  <c r="E29" i="4"/>
  <c r="E35" i="4" s="1"/>
  <c r="J17" i="4"/>
  <c r="I17" i="4"/>
  <c r="H17" i="4"/>
  <c r="G17" i="4"/>
  <c r="J39" i="3"/>
  <c r="J42" i="3"/>
  <c r="J44" i="3" s="1"/>
  <c r="H39" i="3"/>
  <c r="H42" i="3"/>
  <c r="H44" i="3" s="1"/>
  <c r="I39" i="3"/>
  <c r="I44" i="3"/>
  <c r="I42" i="3"/>
  <c r="K39" i="3"/>
  <c r="K42" i="3"/>
  <c r="K44" i="3" s="1"/>
  <c r="E34" i="3"/>
  <c r="E38" i="3"/>
  <c r="C34" i="3"/>
  <c r="C38" i="3"/>
  <c r="L39" i="3"/>
  <c r="L42" i="3"/>
  <c r="L44" i="3" s="1"/>
  <c r="E34" i="4" l="1"/>
  <c r="E36" i="4" s="1"/>
  <c r="C44" i="3"/>
  <c r="C42" i="3"/>
  <c r="D39" i="3"/>
  <c r="E39" i="3"/>
  <c r="E42" i="3"/>
  <c r="E44" i="3" s="1"/>
  <c r="F39" i="3"/>
  <c r="E40" i="4" l="1"/>
  <c r="E42" i="4" s="1"/>
</calcChain>
</file>

<file path=xl/sharedStrings.xml><?xml version="1.0" encoding="utf-8"?>
<sst xmlns="http://schemas.openxmlformats.org/spreadsheetml/2006/main" count="206" uniqueCount="170">
  <si>
    <t>COMPANY NAME</t>
  </si>
  <si>
    <t>JK PAPER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</si>
  <si>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</si>
  <si>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</si>
  <si>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</si>
  <si>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</si>
  <si>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</si>
  <si>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</si>
  <si>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</si>
  <si>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</si>
  <si>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</si>
  <si>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</si>
  <si>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</si>
  <si>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</si>
  <si>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</si>
  <si>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</si>
  <si>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</si>
  <si>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</si>
  <si>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</si>
  <si>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</si>
  <si>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</si>
  <si>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</si>
  <si>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</si>
  <si>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</si>
  <si>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</si>
  <si>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</si>
  <si>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</si>
  <si>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</si>
  <si>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</si>
  <si>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</si>
  <si>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</si>
  <si>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</si>
  <si>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</si>
  <si>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</si>
  <si>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</si>
  <si>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</si>
  <si>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</si>
  <si>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</si>
  <si>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</si>
  <si>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</si>
  <si>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</si>
  <si>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</si>
  <si>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</si>
  <si>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</si>
  <si>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</si>
  <si>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</si>
  <si>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</si>
  <si>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</si>
  <si>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</si>
  <si>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</si>
  <si>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</si>
  <si>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</si>
  <si>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</si>
  <si>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</si>
  <si>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</si>
  <si>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</si>
  <si>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</si>
  <si>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#</t>
  </si>
  <si>
    <t>Income Statement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</si>
  <si>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</si>
  <si>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</si>
  <si>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</si>
  <si>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</si>
  <si>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</si>
  <si>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</si>
  <si>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</si>
  <si>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</si>
  <si>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 Margins</t>
  </si>
  <si>
    <t>Interest % Sales</t>
  </si>
  <si>
    <t>Depreciation%Sales</t>
  </si>
  <si>
    <t>Earnings Before Tax</t>
  </si>
  <si>
    <t>EBT % Sales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</si>
  <si>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</si>
  <si>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</si>
  <si>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</si>
  <si>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</si>
  <si>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</si>
  <si>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</si>
  <si>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</si>
  <si>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</si>
  <si>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Total Current Assets</t>
  </si>
  <si>
    <t>Calculation of ROIC</t>
  </si>
  <si>
    <t>Total Current Liabilities</t>
  </si>
  <si>
    <t>Net Working Capital</t>
  </si>
  <si>
    <t>Net Non Current Assets</t>
  </si>
  <si>
    <t>Invested Capital</t>
  </si>
  <si>
    <t>EBIT</t>
  </si>
  <si>
    <t>ROIC</t>
  </si>
  <si>
    <t>Calculation of Reinvestment Rate</t>
  </si>
  <si>
    <t>Net Capex</t>
  </si>
  <si>
    <t>Change in Working Capital</t>
  </si>
  <si>
    <t>Reinvestment</t>
  </si>
  <si>
    <t>Reinvestment Rate</t>
  </si>
  <si>
    <t>4 Year Average</t>
  </si>
  <si>
    <t>4 Year Median</t>
  </si>
  <si>
    <t>Calculation of Growth Rate</t>
  </si>
  <si>
    <t>Intrinsic Growth</t>
  </si>
  <si>
    <t>NOPAT</t>
  </si>
  <si>
    <t>Fixed assets purchased</t>
  </si>
  <si>
    <t>Fixed assets sold</t>
  </si>
  <si>
    <t>Particulars</t>
  </si>
  <si>
    <t>Calculation of PV of FCFF</t>
  </si>
  <si>
    <t>Tax Rate</t>
  </si>
  <si>
    <t>EBIT (1-T)</t>
  </si>
  <si>
    <t>Less: Reinvestment Rate</t>
  </si>
  <si>
    <t>Free Cash Flow to Firm</t>
  </si>
  <si>
    <t>Discounting Factor</t>
  </si>
  <si>
    <t>PV of FCFF</t>
  </si>
  <si>
    <t>Expected Growth</t>
  </si>
  <si>
    <t>Terminal Growth</t>
  </si>
  <si>
    <t>Calculation of Terminal Value</t>
  </si>
  <si>
    <t>FCFF (n+1)</t>
  </si>
  <si>
    <t>WACC</t>
  </si>
  <si>
    <t>Terminal Growth Rate</t>
  </si>
  <si>
    <t>Terminal Value</t>
  </si>
  <si>
    <t>Calculation of Enterprise Value</t>
  </si>
  <si>
    <t>PV of Terminal Value</t>
  </si>
  <si>
    <t>Value of Operating Asset</t>
  </si>
  <si>
    <t>Add: Cash</t>
  </si>
  <si>
    <t>Less: Debt</t>
  </si>
  <si>
    <t>Value of Equity</t>
  </si>
  <si>
    <t>No. of Shares</t>
  </si>
  <si>
    <t>Value per Share</t>
  </si>
  <si>
    <t>Alphaspread</t>
  </si>
  <si>
    <t>Current Share Price</t>
  </si>
  <si>
    <t xml:space="preserve">Comment </t>
  </si>
  <si>
    <t>Undervalued</t>
  </si>
  <si>
    <t>Companies</t>
  </si>
  <si>
    <t>Share Price</t>
  </si>
  <si>
    <t>O/S Shares</t>
  </si>
  <si>
    <t>Market Cap</t>
  </si>
  <si>
    <t>EV</t>
  </si>
  <si>
    <t>Eq Capital</t>
  </si>
  <si>
    <t>Debt</t>
  </si>
  <si>
    <t>Cash End</t>
  </si>
  <si>
    <t>PE Ratio</t>
  </si>
  <si>
    <t>EV/EBITDA</t>
  </si>
  <si>
    <t>P/B Book Value</t>
  </si>
  <si>
    <t>Shareholder Fund</t>
  </si>
  <si>
    <t>JK Paper</t>
  </si>
  <si>
    <t>West Coast Paper</t>
  </si>
  <si>
    <t>Seshasayee Paper</t>
  </si>
  <si>
    <t>Andhra Paper</t>
  </si>
  <si>
    <t>T N Newsprint</t>
  </si>
  <si>
    <t>Pakka</t>
  </si>
  <si>
    <t>Kuantum Papers</t>
  </si>
  <si>
    <t>Satia Industries</t>
  </si>
  <si>
    <t>Pudumjee Paper</t>
  </si>
  <si>
    <t>Orient Paper</t>
  </si>
  <si>
    <t>Company</t>
  </si>
  <si>
    <t>Equity Value</t>
  </si>
  <si>
    <t>Net Debt</t>
  </si>
  <si>
    <t>Enterprise Value</t>
  </si>
  <si>
    <t>Revenue</t>
  </si>
  <si>
    <t>Net Income</t>
  </si>
  <si>
    <t>EV/Revenue</t>
  </si>
  <si>
    <t>P/E</t>
  </si>
  <si>
    <t>Average</t>
  </si>
  <si>
    <t>Median</t>
  </si>
  <si>
    <t>Cipla Comparable Valuation</t>
  </si>
  <si>
    <t>Implied Enterprise Value</t>
  </si>
  <si>
    <t>Implied Market Value</t>
  </si>
  <si>
    <t>Shares Outstanding</t>
  </si>
  <si>
    <t>Implied Value per Share</t>
  </si>
  <si>
    <t>Slightly Overvalued</t>
  </si>
  <si>
    <t>P/B</t>
  </si>
  <si>
    <t>Book Value of Shares</t>
  </si>
  <si>
    <t>Overvalued</t>
  </si>
  <si>
    <t>Slightly Undervalued</t>
  </si>
  <si>
    <t xml:space="preserve">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</si>
</sst>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[$-409]mmm\-yy;@"/>
    <numFmt numFmtId="165" formatCode="_(* #,##0.00_);_(* \(#,##0.00\);_(* &quot;-&quot;??_);_(@_)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#,##0.0;\(#,##0.0\);\-"/>
    <numFmt numFmtId="174" formatCode="#,##0.0"/>
    <numFmt numFmtId="175" formatCode="0.0"/>
    <numFmt numFmtId="176" formatCode="0.0\x"/>
    <numFmt numFmtId="177" formatCode="0.00\x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0" tint="-0.499984740745262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Arial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" fillId="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3" fillId="0" borderId="0"/>
  </cellStyleXfs>
  <cellXfs count="100">
    <xf numFmtId="0" fontId="0" fillId="0" borderId="0" xfId="0"/>
    <xf numFmtId="43" fontId="7" fillId="0" borderId="0" xfId="3" applyFont="1" applyBorder="1"/>
    <xf numFmtId="43" fontId="8" fillId="0" borderId="0" xfId="4" applyNumberFormat="1" applyFont="1" applyBorder="1" applyAlignment="1" applyProtection="1">
      <alignment horizontal="center"/>
    </xf>
    <xf numFmtId="43" fontId="9" fillId="0" borderId="0" xfId="3" applyFont="1" applyBorder="1"/>
    <xf numFmtId="43" fontId="11" fillId="2" borderId="0" xfId="5" applyNumberFormat="1" applyFont="1" applyBorder="1" applyAlignment="1">
      <alignment horizontal="center"/>
    </xf>
    <xf numFmtId="0" fontId="9" fillId="0" borderId="0" xfId="6" applyFont="1"/>
    <xf numFmtId="164" fontId="11" fillId="3" borderId="0" xfId="3" applyNumberFormat="1" applyFont="1" applyFill="1" applyBorder="1"/>
    <xf numFmtId="164" fontId="11" fillId="3" borderId="0" xfId="6" applyNumberFormat="1" applyFont="1" applyFill="1" applyAlignment="1">
      <alignment horizontal="center"/>
    </xf>
    <xf numFmtId="164" fontId="12" fillId="0" borderId="0" xfId="3" applyNumberFormat="1" applyFont="1" applyFill="1" applyBorder="1"/>
    <xf numFmtId="0" fontId="6" fillId="0" borderId="0" xfId="6"/>
    <xf numFmtId="9" fontId="9" fillId="0" borderId="0" xfId="7" applyFont="1" applyBorder="1"/>
    <xf numFmtId="0" fontId="13" fillId="0" borderId="0" xfId="8"/>
    <xf numFmtId="165" fontId="9" fillId="0" borderId="0" xfId="3" applyNumberFormat="1" applyFont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17" fontId="2" fillId="4" borderId="0" xfId="0" applyNumberFormat="1" applyFont="1" applyFill="1"/>
    <xf numFmtId="0" fontId="2" fillId="0" borderId="0" xfId="0" applyFont="1"/>
    <xf numFmtId="17" fontId="2" fillId="0" borderId="0" xfId="0" applyNumberFormat="1" applyFont="1"/>
    <xf numFmtId="0" fontId="3" fillId="5" borderId="0" xfId="0" applyFont="1" applyFill="1"/>
    <xf numFmtId="0" fontId="0" fillId="5" borderId="0" xfId="0" applyFill="1"/>
    <xf numFmtId="166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0" fontId="3" fillId="0" borderId="1" xfId="0" applyFont="1" applyBorder="1"/>
    <xf numFmtId="167" fontId="3" fillId="0" borderId="1" xfId="0" applyNumberFormat="1" applyFont="1" applyBorder="1"/>
    <xf numFmtId="167" fontId="0" fillId="0" borderId="0" xfId="0" applyNumberFormat="1"/>
    <xf numFmtId="166" fontId="3" fillId="0" borderId="1" xfId="0" applyNumberFormat="1" applyFont="1" applyBorder="1"/>
    <xf numFmtId="168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15" fillId="0" borderId="0" xfId="0" applyFont="1"/>
    <xf numFmtId="166" fontId="3" fillId="0" borderId="0" xfId="0" applyNumberFormat="1" applyFont="1"/>
    <xf numFmtId="0" fontId="4" fillId="4" borderId="0" xfId="0" applyFont="1" applyFill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0" fontId="3" fillId="0" borderId="2" xfId="0" applyFont="1" applyBorder="1"/>
    <xf numFmtId="169" fontId="3" fillId="0" borderId="2" xfId="0" applyNumberFormat="1" applyFont="1" applyBorder="1"/>
    <xf numFmtId="169" fontId="3" fillId="0" borderId="0" xfId="0" applyNumberFormat="1" applyFont="1"/>
    <xf numFmtId="0" fontId="0" fillId="0" borderId="2" xfId="0" applyBorder="1"/>
    <xf numFmtId="10" fontId="3" fillId="0" borderId="2" xfId="1" applyNumberFormat="1" applyFont="1" applyBorder="1"/>
    <xf numFmtId="3" fontId="0" fillId="0" borderId="0" xfId="0" applyNumberFormat="1"/>
    <xf numFmtId="0" fontId="3" fillId="6" borderId="0" xfId="0" applyFont="1" applyFill="1"/>
    <xf numFmtId="10" fontId="3" fillId="6" borderId="0" xfId="0" applyNumberFormat="1" applyFont="1" applyFill="1"/>
    <xf numFmtId="10" fontId="0" fillId="0" borderId="1" xfId="0" applyNumberFormat="1" applyBorder="1"/>
    <xf numFmtId="10" fontId="3" fillId="0" borderId="2" xfId="0" applyNumberFormat="1" applyFont="1" applyBorder="1"/>
    <xf numFmtId="169" fontId="0" fillId="0" borderId="0" xfId="0" applyNumberFormat="1" applyBorder="1"/>
    <xf numFmtId="4" fontId="3" fillId="0" borderId="2" xfId="0" applyNumberFormat="1" applyFont="1" applyBorder="1"/>
    <xf numFmtId="17" fontId="17" fillId="4" borderId="0" xfId="0" applyNumberFormat="1" applyFont="1" applyFill="1" applyAlignment="1">
      <alignment horizontal="right" vertical="center" wrapText="1"/>
    </xf>
    <xf numFmtId="43" fontId="0" fillId="0" borderId="0" xfId="0" applyNumberFormat="1"/>
    <xf numFmtId="10" fontId="0" fillId="0" borderId="0" xfId="0" applyNumberFormat="1"/>
    <xf numFmtId="43" fontId="3" fillId="0" borderId="2" xfId="0" applyNumberFormat="1" applyFont="1" applyBorder="1"/>
    <xf numFmtId="2" fontId="0" fillId="0" borderId="0" xfId="0" applyNumberFormat="1"/>
    <xf numFmtId="0" fontId="0" fillId="6" borderId="0" xfId="0" applyFill="1"/>
    <xf numFmtId="10" fontId="0" fillId="6" borderId="0" xfId="0" applyNumberFormat="1" applyFill="1"/>
    <xf numFmtId="10" fontId="3" fillId="0" borderId="0" xfId="0" applyNumberFormat="1" applyFont="1"/>
    <xf numFmtId="9" fontId="0" fillId="0" borderId="0" xfId="0" applyNumberFormat="1"/>
    <xf numFmtId="175" fontId="0" fillId="0" borderId="0" xfId="0" applyNumberFormat="1"/>
    <xf numFmtId="43" fontId="3" fillId="0" borderId="0" xfId="0" applyNumberFormat="1" applyFont="1"/>
    <xf numFmtId="0" fontId="2" fillId="0" borderId="0" xfId="0" applyFont="1" applyFill="1"/>
    <xf numFmtId="0" fontId="4" fillId="0" borderId="0" xfId="0" applyFont="1" applyFill="1"/>
    <xf numFmtId="43" fontId="2" fillId="0" borderId="0" xfId="0" applyNumberFormat="1" applyFont="1" applyFill="1" applyAlignment="1">
      <alignment horizontal="left"/>
    </xf>
    <xf numFmtId="10" fontId="3" fillId="0" borderId="0" xfId="0" applyNumberFormat="1" applyFont="1" applyFill="1"/>
    <xf numFmtId="10" fontId="3" fillId="0" borderId="0" xfId="0" applyNumberFormat="1" applyFont="1" applyFill="1" applyAlignment="1">
      <alignment horizontal="left"/>
    </xf>
    <xf numFmtId="174" fontId="0" fillId="0" borderId="0" xfId="0" applyNumberFormat="1" applyFill="1"/>
    <xf numFmtId="0" fontId="5" fillId="0" borderId="0" xfId="2"/>
    <xf numFmtId="175" fontId="3" fillId="0" borderId="0" xfId="0" applyNumberFormat="1" applyFont="1"/>
    <xf numFmtId="0" fontId="1" fillId="0" borderId="0" xfId="2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 wrapText="1"/>
    </xf>
    <xf numFmtId="0" fontId="2" fillId="4" borderId="0" xfId="0" applyFont="1" applyFill="1" applyAlignment="1">
      <alignment horizontal="righ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0" fontId="1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3" fontId="16" fillId="0" borderId="1" xfId="0" applyNumberFormat="1" applyFont="1" applyBorder="1" applyAlignment="1">
      <alignment horizontal="right" wrapText="1"/>
    </xf>
    <xf numFmtId="3" fontId="18" fillId="0" borderId="1" xfId="0" applyNumberFormat="1" applyFont="1" applyBorder="1" applyAlignment="1">
      <alignment horizontal="right" wrapText="1"/>
    </xf>
    <xf numFmtId="3" fontId="16" fillId="0" borderId="1" xfId="0" applyNumberFormat="1" applyFont="1" applyBorder="1" applyAlignment="1">
      <alignment horizontal="right"/>
    </xf>
    <xf numFmtId="176" fontId="1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3" fillId="6" borderId="1" xfId="0" applyFont="1" applyFill="1" applyBorder="1"/>
    <xf numFmtId="176" fontId="3" fillId="6" borderId="1" xfId="0" applyNumberFormat="1" applyFont="1" applyFill="1" applyBorder="1"/>
    <xf numFmtId="0" fontId="2" fillId="4" borderId="3" xfId="0" applyFont="1" applyFill="1" applyBorder="1"/>
    <xf numFmtId="0" fontId="2" fillId="4" borderId="0" xfId="0" applyFont="1" applyFill="1" applyAlignment="1">
      <alignment horizontal="center"/>
    </xf>
    <xf numFmtId="3" fontId="0" fillId="0" borderId="1" xfId="0" applyNumberFormat="1" applyBorder="1"/>
    <xf numFmtId="2" fontId="0" fillId="0" borderId="1" xfId="0" applyNumberFormat="1" applyBorder="1"/>
    <xf numFmtId="0" fontId="3" fillId="6" borderId="4" xfId="0" applyFont="1" applyFill="1" applyBorder="1"/>
    <xf numFmtId="174" fontId="3" fillId="6" borderId="4" xfId="0" applyNumberFormat="1" applyFont="1" applyFill="1" applyBorder="1"/>
    <xf numFmtId="177" fontId="16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2" fontId="18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18" fillId="0" borderId="1" xfId="0" applyNumberFormat="1" applyFont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7" fontId="18" fillId="0" borderId="1" xfId="0" applyNumberFormat="1" applyFont="1" applyBorder="1" applyAlignment="1">
      <alignment horizontal="right"/>
    </xf>
    <xf numFmtId="174" fontId="3" fillId="0" borderId="0" xfId="0" applyNumberFormat="1" applyFont="1" applyAlignment="1">
      <alignment wrapText="1"/>
    </xf>
  </cellXfs>
  <cellStyles count="9">
    <cellStyle name="Accent6 2" xfId="5" xr:uid="{80175D04-7419-417E-A1CA-5DE3106BC027}"/>
    <cellStyle name="Comma 2" xfId="3" xr:uid="{60C5D3FB-2487-47F7-86FF-253203AFD512}"/>
    <cellStyle name="Hyperlink" xfId="2" builtinId="8"/>
    <cellStyle name="Hyperlink 2" xfId="4" xr:uid="{8B5D22E9-4164-4AF9-938B-06545B1D9AA1}"/>
    <cellStyle name="Normal" xfId="0" builtinId="0"/>
    <cellStyle name="Normal 2" xfId="8" xr:uid="{CFC0051B-98BB-42F3-A90E-3691F7CA12BC}"/>
    <cellStyle name="Normal 3" xfId="6" xr:uid="{9AC10E45-DA6A-44A6-8FCF-50D172E18575}"/>
    <cellStyle name="Percent" xfId="1" builtinId="5"/>
    <cellStyle name="Percent 3" xfId="7" xr:uid="{7EFB1904-4A09-487C-B74F-88534104E1E3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%20kumar\Downloads\JK%20Paper.xlsx" TargetMode="External"/><Relationship Id="rId1" Type="http://schemas.openxmlformats.org/officeDocument/2006/relationships/externalLinkPath" Target="JK%20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&gt;"/>
      <sheetName val="WACC"/>
      <sheetName val="Data&gt;"/>
      <sheetName val="Beta - Regression"/>
      <sheetName val="Beta - Comps"/>
      <sheetName val="Rm"/>
      <sheetName val="Intrisic Growth"/>
      <sheetName val="DCF"/>
      <sheetName val="Comps_Val"/>
      <sheetName val="Football Field"/>
      <sheetName val="Dupont Analysis"/>
      <sheetName val="Altman Z Score"/>
      <sheetName val="Data Room&gt;"/>
      <sheetName val="HistoricalFS"/>
      <sheetName val="Data Sheet"/>
      <sheetName val="Raw FS"/>
      <sheetName val="List of Stocks"/>
      <sheetName val="Relativ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JK PAPER LTD</v>
          </cell>
        </row>
        <row r="16">
          <cell r="B16">
            <v>42094</v>
          </cell>
          <cell r="C16">
            <v>42460</v>
          </cell>
          <cell r="D16">
            <v>42825</v>
          </cell>
          <cell r="E16">
            <v>43190</v>
          </cell>
          <cell r="F16">
            <v>43555</v>
          </cell>
          <cell r="G16">
            <v>43921</v>
          </cell>
          <cell r="H16">
            <v>44286</v>
          </cell>
          <cell r="I16">
            <v>44651</v>
          </cell>
          <cell r="J16">
            <v>45016</v>
          </cell>
          <cell r="K16">
            <v>45382</v>
          </cell>
        </row>
        <row r="17">
          <cell r="B17">
            <v>2160.11</v>
          </cell>
          <cell r="C17">
            <v>2437.25</v>
          </cell>
          <cell r="D17">
            <v>2628.61</v>
          </cell>
          <cell r="E17">
            <v>2844.27</v>
          </cell>
          <cell r="F17">
            <v>3256.71</v>
          </cell>
          <cell r="G17">
            <v>3060.19</v>
          </cell>
          <cell r="H17">
            <v>2750.72</v>
          </cell>
          <cell r="I17">
            <v>3968.56</v>
          </cell>
          <cell r="J17">
            <v>6436.81</v>
          </cell>
          <cell r="K17">
            <v>6659.23</v>
          </cell>
        </row>
        <row r="18">
          <cell r="B18">
            <v>1360.79</v>
          </cell>
          <cell r="C18">
            <v>1453.64</v>
          </cell>
          <cell r="D18">
            <v>1491.06</v>
          </cell>
          <cell r="E18">
            <v>1538.85</v>
          </cell>
          <cell r="F18">
            <v>1579.64</v>
          </cell>
          <cell r="G18">
            <v>1498.02</v>
          </cell>
          <cell r="H18">
            <v>1223.6600000000001</v>
          </cell>
          <cell r="I18">
            <v>1724.77</v>
          </cell>
          <cell r="J18">
            <v>2885.11</v>
          </cell>
          <cell r="K18">
            <v>3486.61</v>
          </cell>
        </row>
        <row r="19">
          <cell r="B19">
            <v>25.46</v>
          </cell>
          <cell r="C19">
            <v>-19.22</v>
          </cell>
          <cell r="D19">
            <v>4.6900000000000004</v>
          </cell>
          <cell r="E19">
            <v>10.36</v>
          </cell>
          <cell r="F19">
            <v>-47.85</v>
          </cell>
          <cell r="G19">
            <v>134.04</v>
          </cell>
          <cell r="H19">
            <v>-94.78</v>
          </cell>
          <cell r="I19">
            <v>-4.9400000000000004</v>
          </cell>
          <cell r="J19">
            <v>35.11</v>
          </cell>
          <cell r="K19">
            <v>34.33</v>
          </cell>
        </row>
        <row r="20">
          <cell r="B20">
            <v>252.75</v>
          </cell>
          <cell r="C20">
            <v>214.63</v>
          </cell>
          <cell r="D20">
            <v>212.38</v>
          </cell>
          <cell r="E20">
            <v>245.59</v>
          </cell>
          <cell r="F20">
            <v>258.67</v>
          </cell>
          <cell r="G20">
            <v>295.27</v>
          </cell>
          <cell r="H20">
            <v>323.72000000000003</v>
          </cell>
          <cell r="I20">
            <v>492.31</v>
          </cell>
          <cell r="J20">
            <v>685.78</v>
          </cell>
          <cell r="K20">
            <v>542.12</v>
          </cell>
        </row>
        <row r="21">
          <cell r="B21">
            <v>76.63</v>
          </cell>
          <cell r="C21">
            <v>90.88</v>
          </cell>
          <cell r="D21">
            <v>99.4</v>
          </cell>
          <cell r="E21">
            <v>97.08</v>
          </cell>
          <cell r="F21">
            <v>103.8</v>
          </cell>
          <cell r="G21">
            <v>99.27</v>
          </cell>
          <cell r="H21">
            <v>101.72</v>
          </cell>
          <cell r="I21">
            <v>132.27000000000001</v>
          </cell>
          <cell r="J21">
            <v>184.73</v>
          </cell>
        </row>
        <row r="22">
          <cell r="B22">
            <v>152.84</v>
          </cell>
          <cell r="C22">
            <v>180.77</v>
          </cell>
          <cell r="D22">
            <v>219.56</v>
          </cell>
          <cell r="E22">
            <v>234.03</v>
          </cell>
          <cell r="F22">
            <v>266.56</v>
          </cell>
          <cell r="G22">
            <v>291.81</v>
          </cell>
          <cell r="H22">
            <v>308.81</v>
          </cell>
          <cell r="I22">
            <v>385.48</v>
          </cell>
          <cell r="J22">
            <v>488.79</v>
          </cell>
          <cell r="K22">
            <v>566.20000000000005</v>
          </cell>
        </row>
        <row r="23">
          <cell r="B23">
            <v>263.64</v>
          </cell>
          <cell r="C23">
            <v>349.7</v>
          </cell>
          <cell r="D23">
            <v>266.82</v>
          </cell>
          <cell r="E23">
            <v>262.01</v>
          </cell>
          <cell r="F23">
            <v>254.41</v>
          </cell>
          <cell r="G23">
            <v>262.51</v>
          </cell>
          <cell r="H23">
            <v>320.24</v>
          </cell>
          <cell r="I23">
            <v>396.13</v>
          </cell>
          <cell r="J23">
            <v>424.17</v>
          </cell>
        </row>
        <row r="24">
          <cell r="B24">
            <v>-179.69</v>
          </cell>
          <cell r="C24">
            <v>-267.27999999999997</v>
          </cell>
          <cell r="D24">
            <v>-172.98</v>
          </cell>
          <cell r="E24">
            <v>-141.35</v>
          </cell>
          <cell r="F24">
            <v>-122.71</v>
          </cell>
          <cell r="G24">
            <v>-124.01</v>
          </cell>
          <cell r="H24">
            <v>-184.76</v>
          </cell>
          <cell r="I24">
            <v>-164.61</v>
          </cell>
          <cell r="J24">
            <v>-208.46</v>
          </cell>
          <cell r="K24">
            <v>482.97</v>
          </cell>
        </row>
        <row r="25">
          <cell r="B25">
            <v>2.92</v>
          </cell>
          <cell r="C25">
            <v>6.62</v>
          </cell>
          <cell r="D25">
            <v>34.79</v>
          </cell>
          <cell r="E25">
            <v>22.34</v>
          </cell>
          <cell r="F25">
            <v>49.63</v>
          </cell>
          <cell r="G25">
            <v>103.81</v>
          </cell>
          <cell r="H25">
            <v>110.51</v>
          </cell>
          <cell r="I25">
            <v>124.36</v>
          </cell>
          <cell r="J25">
            <v>139.01</v>
          </cell>
          <cell r="K25">
            <v>227.2</v>
          </cell>
        </row>
        <row r="26">
          <cell r="B26">
            <v>115.76</v>
          </cell>
          <cell r="C26">
            <v>118.29</v>
          </cell>
          <cell r="D26">
            <v>120.68</v>
          </cell>
          <cell r="E26">
            <v>122.32</v>
          </cell>
          <cell r="F26">
            <v>127.68</v>
          </cell>
          <cell r="G26">
            <v>149.47999999999999</v>
          </cell>
          <cell r="H26">
            <v>174.25</v>
          </cell>
          <cell r="I26">
            <v>193.05</v>
          </cell>
          <cell r="J26">
            <v>281.85000000000002</v>
          </cell>
          <cell r="K26">
            <v>310.10000000000002</v>
          </cell>
        </row>
        <row r="27">
          <cell r="B27">
            <v>205.35</v>
          </cell>
          <cell r="C27">
            <v>195.23</v>
          </cell>
          <cell r="D27">
            <v>187.64</v>
          </cell>
          <cell r="E27">
            <v>143.02000000000001</v>
          </cell>
          <cell r="F27">
            <v>124.4</v>
          </cell>
          <cell r="G27">
            <v>129.30000000000001</v>
          </cell>
          <cell r="H27">
            <v>128.6</v>
          </cell>
          <cell r="I27">
            <v>131.88</v>
          </cell>
          <cell r="J27">
            <v>222.48</v>
          </cell>
          <cell r="K27">
            <v>208.08</v>
          </cell>
        </row>
        <row r="29">
          <cell r="B29">
            <v>-41.16</v>
          </cell>
          <cell r="C29">
            <v>28.05</v>
          </cell>
          <cell r="D29">
            <v>69.040000000000006</v>
          </cell>
          <cell r="E29">
            <v>114.84</v>
          </cell>
          <cell r="F29">
            <v>241.1</v>
          </cell>
          <cell r="G29">
            <v>227.98</v>
          </cell>
          <cell r="H29">
            <v>133.49</v>
          </cell>
          <cell r="I29">
            <v>252.88</v>
          </cell>
          <cell r="J29">
            <v>438.26</v>
          </cell>
          <cell r="K29">
            <v>191.48</v>
          </cell>
        </row>
        <row r="31">
          <cell r="C31">
            <v>7.43</v>
          </cell>
          <cell r="D31">
            <v>23.39</v>
          </cell>
          <cell r="E31">
            <v>43.88</v>
          </cell>
          <cell r="F31">
            <v>62.38</v>
          </cell>
          <cell r="G31">
            <v>71.3</v>
          </cell>
          <cell r="H31">
            <v>67.760000000000005</v>
          </cell>
          <cell r="I31">
            <v>93.17</v>
          </cell>
          <cell r="J31">
            <v>135.52000000000001</v>
          </cell>
          <cell r="K31">
            <v>143.99</v>
          </cell>
        </row>
        <row r="93">
          <cell r="B93">
            <v>13.66</v>
          </cell>
          <cell r="C93">
            <v>14.85</v>
          </cell>
          <cell r="D93">
            <v>15.6</v>
          </cell>
          <cell r="E93">
            <v>17.55</v>
          </cell>
          <cell r="F93">
            <v>17.82</v>
          </cell>
          <cell r="G93">
            <v>17.82</v>
          </cell>
          <cell r="H93">
            <v>16.940000000000001</v>
          </cell>
          <cell r="I93">
            <v>16.940000000000001</v>
          </cell>
          <cell r="J93">
            <v>16.940000000000001</v>
          </cell>
          <cell r="K93">
            <v>16.940000000000001</v>
          </cell>
        </row>
      </sheetData>
      <sheetData sheetId="15">
        <row r="2">
          <cell r="J2">
            <v>43160</v>
          </cell>
          <cell r="K2">
            <v>43525</v>
          </cell>
          <cell r="L2">
            <v>43891</v>
          </cell>
          <cell r="M2">
            <v>44256</v>
          </cell>
          <cell r="N2">
            <v>44621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phaspread.com/security/nse/jkpaper/discount-rat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reener.in/company/SATIA/" TargetMode="External"/><Relationship Id="rId3" Type="http://schemas.openxmlformats.org/officeDocument/2006/relationships/hyperlink" Target="https://www.screener.in/company/SESHAPAPER/" TargetMode="External"/><Relationship Id="rId7" Type="http://schemas.openxmlformats.org/officeDocument/2006/relationships/hyperlink" Target="https://www.screener.in/company/KUANTUM/" TargetMode="External"/><Relationship Id="rId2" Type="http://schemas.openxmlformats.org/officeDocument/2006/relationships/hyperlink" Target="https://www.screener.in/company/WSTCSTPAPR/consolidated/" TargetMode="External"/><Relationship Id="rId1" Type="http://schemas.openxmlformats.org/officeDocument/2006/relationships/hyperlink" Target="https://www.screener.in/company/JKPAPER/consolidated/" TargetMode="External"/><Relationship Id="rId6" Type="http://schemas.openxmlformats.org/officeDocument/2006/relationships/hyperlink" Target="https://www.screener.in/company/PAKKA/" TargetMode="External"/><Relationship Id="rId5" Type="http://schemas.openxmlformats.org/officeDocument/2006/relationships/hyperlink" Target="https://www.screener.in/company/TNPL/" TargetMode="External"/><Relationship Id="rId10" Type="http://schemas.openxmlformats.org/officeDocument/2006/relationships/hyperlink" Target="https://www.screener.in/company/ORIENTPPR/" TargetMode="External"/><Relationship Id="rId4" Type="http://schemas.openxmlformats.org/officeDocument/2006/relationships/hyperlink" Target="https://www.screener.in/company/ANDHRAPAP/" TargetMode="External"/><Relationship Id="rId9" Type="http://schemas.openxmlformats.org/officeDocument/2006/relationships/hyperlink" Target="https://www.screener.in/company/PDMJEPA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A1-BC36-499C-A748-8D4AFE208BA7}">
  <dimension ref="A1:L93"/>
  <sheetViews>
    <sheetView zoomScale="86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J59" sqref="J59"/>
    </sheetView>
  </sheetViews>
  <sheetFormatPr defaultColWidth="10.44140625" defaultRowHeight="13.2" x14ac:dyDescent="0.25"/>
  <cols>
    <col min="1" max="1" width="26.6640625" style="3" bestFit="1" customWidth="1"/>
    <col min="2" max="11" width="11.44140625" style="3" bestFit="1" customWidth="1"/>
    <col min="12" max="16384" width="10.44140625" style="3"/>
  </cols>
  <sheetData>
    <row r="1" spans="1:11" s="1" customFormat="1" x14ac:dyDescent="0.25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25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25">
      <c r="A3" s="1" t="s">
        <v>4</v>
      </c>
      <c r="B3" s="3">
        <v>2.1</v>
      </c>
    </row>
    <row r="4" spans="1:11" x14ac:dyDescent="0.25">
      <c r="A4" s="1"/>
    </row>
    <row r="5" spans="1:11" x14ac:dyDescent="0.25">
      <c r="A5" s="1" t="s">
        <v>5</v>
      </c>
    </row>
    <row r="6" spans="1:11" x14ac:dyDescent="0.25">
      <c r="A6" s="3" t="s">
        <v>6</v>
      </c>
      <c r="B6" s="3">
        <f>IF(B9&gt;0, B9/B8, 0)</f>
        <v>16.940241492864985</v>
      </c>
    </row>
    <row r="7" spans="1:11" x14ac:dyDescent="0.25">
      <c r="A7" s="3" t="s">
        <v>7</v>
      </c>
      <c r="B7" s="5">
        <v>10</v>
      </c>
    </row>
    <row r="8" spans="1:11" x14ac:dyDescent="0.25">
      <c r="A8" s="3" t="s">
        <v>8</v>
      </c>
      <c r="B8" s="5">
        <v>455.5</v>
      </c>
    </row>
    <row r="9" spans="1:11" x14ac:dyDescent="0.25">
      <c r="A9" s="3" t="s">
        <v>9</v>
      </c>
      <c r="B9" s="5">
        <v>7716.28</v>
      </c>
    </row>
    <row r="15" spans="1:11" x14ac:dyDescent="0.25">
      <c r="A15" s="1" t="s">
        <v>10</v>
      </c>
      <c r="B15" s="3">
        <f>B26+B34</f>
        <v>377.32</v>
      </c>
      <c r="K15" s="3">
        <f>K17-K18-K20-K21-K22-K23-K19</f>
        <v>2029.9699999999993</v>
      </c>
    </row>
    <row r="16" spans="1:11" s="8" customFormat="1" x14ac:dyDescent="0.25">
      <c r="A16" s="6" t="s">
        <v>11</v>
      </c>
      <c r="B16" s="7">
        <v>42094</v>
      </c>
      <c r="C16" s="7">
        <v>42460</v>
      </c>
      <c r="D16" s="7">
        <v>42825</v>
      </c>
      <c r="E16" s="7">
        <v>43190</v>
      </c>
      <c r="F16" s="7">
        <v>43555</v>
      </c>
      <c r="G16" s="7">
        <v>43921</v>
      </c>
      <c r="H16" s="7">
        <v>44286</v>
      </c>
      <c r="I16" s="7">
        <v>44651</v>
      </c>
      <c r="J16" s="7">
        <v>45016</v>
      </c>
      <c r="K16" s="7">
        <v>45382</v>
      </c>
    </row>
    <row r="17" spans="1:11" x14ac:dyDescent="0.25">
      <c r="A17" s="3" t="s">
        <v>12</v>
      </c>
      <c r="B17" s="5">
        <v>2160.11</v>
      </c>
      <c r="C17" s="5">
        <v>2437.25</v>
      </c>
      <c r="D17" s="5">
        <v>2628.61</v>
      </c>
      <c r="E17" s="5">
        <v>2844.27</v>
      </c>
      <c r="F17" s="5">
        <v>3256.71</v>
      </c>
      <c r="G17" s="5">
        <v>3060.19</v>
      </c>
      <c r="H17" s="5">
        <v>2750.72</v>
      </c>
      <c r="I17" s="5">
        <v>3968.56</v>
      </c>
      <c r="J17" s="5">
        <v>6436.81</v>
      </c>
      <c r="K17" s="5">
        <v>6659.23</v>
      </c>
    </row>
    <row r="18" spans="1:11" ht="14.4" x14ac:dyDescent="0.3">
      <c r="A18" s="3" t="s">
        <v>13</v>
      </c>
      <c r="B18" s="9">
        <v>1360.79</v>
      </c>
      <c r="C18" s="9">
        <v>1453.64</v>
      </c>
      <c r="D18" s="9">
        <v>1491.06</v>
      </c>
      <c r="E18" s="9">
        <v>1538.85</v>
      </c>
      <c r="F18" s="9">
        <v>1579.64</v>
      </c>
      <c r="G18" s="9">
        <v>1498.02</v>
      </c>
      <c r="H18" s="9">
        <v>1223.6600000000001</v>
      </c>
      <c r="I18" s="9">
        <v>1724.77</v>
      </c>
      <c r="J18" s="9">
        <v>2885.11</v>
      </c>
      <c r="K18" s="9">
        <v>3486.61</v>
      </c>
    </row>
    <row r="19" spans="1:11" ht="14.4" x14ac:dyDescent="0.3">
      <c r="A19" s="3" t="s">
        <v>14</v>
      </c>
      <c r="B19" s="9">
        <v>25.46</v>
      </c>
      <c r="C19" s="9">
        <v>-19.22</v>
      </c>
      <c r="D19" s="9">
        <v>4.6900000000000004</v>
      </c>
      <c r="E19" s="9">
        <v>10.36</v>
      </c>
      <c r="F19" s="9">
        <v>-47.85</v>
      </c>
      <c r="G19" s="9">
        <v>134.04</v>
      </c>
      <c r="H19" s="9">
        <v>-94.78</v>
      </c>
      <c r="I19" s="9">
        <v>-4.9400000000000004</v>
      </c>
      <c r="J19" s="9">
        <v>35.11</v>
      </c>
      <c r="K19" s="9">
        <v>34.33</v>
      </c>
    </row>
    <row r="20" spans="1:11" x14ac:dyDescent="0.25">
      <c r="A20" s="3" t="s">
        <v>15</v>
      </c>
      <c r="B20" s="5">
        <v>252.75</v>
      </c>
      <c r="C20" s="5">
        <v>214.63</v>
      </c>
      <c r="D20" s="5">
        <v>212.38</v>
      </c>
      <c r="E20" s="5">
        <v>245.59</v>
      </c>
      <c r="F20" s="5">
        <v>258.67</v>
      </c>
      <c r="G20" s="5">
        <v>295.27</v>
      </c>
      <c r="H20" s="5">
        <v>323.72000000000003</v>
      </c>
      <c r="I20" s="5">
        <v>492.31</v>
      </c>
      <c r="J20" s="5">
        <v>685.78</v>
      </c>
      <c r="K20" s="5">
        <v>542.12</v>
      </c>
    </row>
    <row r="21" spans="1:11" x14ac:dyDescent="0.25">
      <c r="A21" s="3" t="s">
        <v>16</v>
      </c>
      <c r="B21" s="5">
        <v>76.63</v>
      </c>
      <c r="C21" s="5">
        <v>90.88</v>
      </c>
      <c r="D21" s="5">
        <v>99.4</v>
      </c>
      <c r="E21" s="5">
        <v>97.08</v>
      </c>
      <c r="F21" s="5">
        <v>103.8</v>
      </c>
      <c r="G21" s="5">
        <v>99.27</v>
      </c>
      <c r="H21" s="5">
        <v>101.72</v>
      </c>
      <c r="I21" s="5">
        <v>132.27000000000001</v>
      </c>
      <c r="J21" s="5">
        <v>184.73</v>
      </c>
      <c r="K21" s="5"/>
    </row>
    <row r="22" spans="1:11" x14ac:dyDescent="0.25">
      <c r="A22" s="3" t="s">
        <v>17</v>
      </c>
      <c r="B22" s="5">
        <v>152.84</v>
      </c>
      <c r="C22" s="5">
        <v>180.77</v>
      </c>
      <c r="D22" s="5">
        <v>219.56</v>
      </c>
      <c r="E22" s="5">
        <v>234.03</v>
      </c>
      <c r="F22" s="5">
        <v>266.56</v>
      </c>
      <c r="G22" s="5">
        <v>291.81</v>
      </c>
      <c r="H22" s="5">
        <v>308.81</v>
      </c>
      <c r="I22" s="5">
        <v>385.48</v>
      </c>
      <c r="J22" s="5">
        <v>488.79</v>
      </c>
      <c r="K22" s="5">
        <v>566.20000000000005</v>
      </c>
    </row>
    <row r="23" spans="1:11" x14ac:dyDescent="0.25">
      <c r="A23" s="3" t="s">
        <v>18</v>
      </c>
      <c r="B23" s="5">
        <v>263.64</v>
      </c>
      <c r="C23" s="5">
        <v>349.7</v>
      </c>
      <c r="D23" s="5">
        <v>266.82</v>
      </c>
      <c r="E23" s="5">
        <v>262.01</v>
      </c>
      <c r="F23" s="5">
        <v>254.41</v>
      </c>
      <c r="G23" s="5">
        <v>262.51</v>
      </c>
      <c r="H23" s="5">
        <v>320.24</v>
      </c>
      <c r="I23" s="5">
        <v>396.13</v>
      </c>
      <c r="J23" s="5">
        <v>424.17</v>
      </c>
      <c r="K23" s="5"/>
    </row>
    <row r="24" spans="1:11" x14ac:dyDescent="0.25">
      <c r="A24" s="3" t="s">
        <v>19</v>
      </c>
      <c r="B24" s="5">
        <v>-179.69</v>
      </c>
      <c r="C24" s="5">
        <v>-267.27999999999997</v>
      </c>
      <c r="D24" s="5">
        <v>-172.98</v>
      </c>
      <c r="E24" s="5">
        <v>-141.35</v>
      </c>
      <c r="F24" s="5">
        <v>-122.71</v>
      </c>
      <c r="G24" s="5">
        <v>-124.01</v>
      </c>
      <c r="H24" s="5">
        <v>-184.76</v>
      </c>
      <c r="I24" s="5">
        <v>-164.61</v>
      </c>
      <c r="J24" s="5">
        <v>-208.46</v>
      </c>
      <c r="K24" s="5">
        <v>482.97</v>
      </c>
    </row>
    <row r="25" spans="1:11" x14ac:dyDescent="0.25">
      <c r="A25" s="3" t="s">
        <v>20</v>
      </c>
      <c r="B25" s="5">
        <v>2.92</v>
      </c>
      <c r="C25" s="5">
        <v>6.62</v>
      </c>
      <c r="D25" s="5">
        <v>34.79</v>
      </c>
      <c r="E25" s="5">
        <v>22.34</v>
      </c>
      <c r="F25" s="5">
        <v>49.63</v>
      </c>
      <c r="G25" s="5">
        <v>103.81</v>
      </c>
      <c r="H25" s="5">
        <v>110.51</v>
      </c>
      <c r="I25" s="5">
        <v>124.36</v>
      </c>
      <c r="J25" s="5">
        <v>139.01</v>
      </c>
      <c r="K25" s="5">
        <v>227.2</v>
      </c>
    </row>
    <row r="26" spans="1:11" x14ac:dyDescent="0.25">
      <c r="A26" s="3" t="s">
        <v>21</v>
      </c>
      <c r="B26" s="5">
        <v>115.76</v>
      </c>
      <c r="C26" s="5">
        <v>118.29</v>
      </c>
      <c r="D26" s="5">
        <v>120.68</v>
      </c>
      <c r="E26" s="5">
        <v>122.32</v>
      </c>
      <c r="F26" s="5">
        <v>127.68</v>
      </c>
      <c r="G26" s="5">
        <v>149.47999999999999</v>
      </c>
      <c r="H26" s="5">
        <v>174.25</v>
      </c>
      <c r="I26" s="5">
        <v>193.05</v>
      </c>
      <c r="J26" s="5">
        <v>281.85000000000002</v>
      </c>
      <c r="K26" s="5">
        <v>310.10000000000002</v>
      </c>
    </row>
    <row r="27" spans="1:11" ht="14.4" x14ac:dyDescent="0.3">
      <c r="A27" s="3" t="s">
        <v>22</v>
      </c>
      <c r="B27" s="5">
        <v>205.35</v>
      </c>
      <c r="C27" s="5">
        <v>195.23</v>
      </c>
      <c r="D27" s="5">
        <v>187.64</v>
      </c>
      <c r="E27" s="5">
        <v>143.02000000000001</v>
      </c>
      <c r="F27" s="5">
        <v>124.4</v>
      </c>
      <c r="G27" s="5">
        <v>129.30000000000001</v>
      </c>
      <c r="H27" s="5">
        <v>128.6</v>
      </c>
      <c r="I27" s="5">
        <v>131.88</v>
      </c>
      <c r="J27" s="9">
        <v>222.48</v>
      </c>
      <c r="K27" s="9">
        <v>208.08</v>
      </c>
    </row>
    <row r="28" spans="1:11" x14ac:dyDescent="0.25">
      <c r="A28" s="3" t="s">
        <v>23</v>
      </c>
      <c r="B28" s="5">
        <v>-59.58</v>
      </c>
      <c r="C28" s="5">
        <v>88.79</v>
      </c>
      <c r="D28" s="5">
        <v>243.53</v>
      </c>
      <c r="E28" s="5">
        <v>375.42</v>
      </c>
      <c r="F28" s="5">
        <v>666.04</v>
      </c>
      <c r="G28" s="5">
        <v>696.39</v>
      </c>
      <c r="H28" s="5">
        <v>370.21</v>
      </c>
      <c r="I28" s="5">
        <v>796.7</v>
      </c>
      <c r="J28" s="5">
        <v>1646.48</v>
      </c>
      <c r="K28" s="5">
        <v>1324.68</v>
      </c>
    </row>
    <row r="29" spans="1:11" x14ac:dyDescent="0.25">
      <c r="A29" s="3" t="s">
        <v>24</v>
      </c>
      <c r="B29" s="5">
        <v>-41.16</v>
      </c>
      <c r="C29" s="5">
        <v>28.05</v>
      </c>
      <c r="D29" s="5">
        <v>69.040000000000006</v>
      </c>
      <c r="E29" s="5">
        <v>114.84</v>
      </c>
      <c r="F29" s="5">
        <v>241.1</v>
      </c>
      <c r="G29" s="5">
        <v>227.98</v>
      </c>
      <c r="H29" s="5">
        <v>133.49</v>
      </c>
      <c r="I29" s="5">
        <v>252.88</v>
      </c>
      <c r="J29" s="5">
        <v>438.26</v>
      </c>
      <c r="K29" s="5">
        <v>191.48</v>
      </c>
    </row>
    <row r="30" spans="1:11" x14ac:dyDescent="0.25">
      <c r="A30" s="3" t="s">
        <v>25</v>
      </c>
      <c r="B30" s="5">
        <v>-18.39</v>
      </c>
      <c r="C30" s="5">
        <v>55.93</v>
      </c>
      <c r="D30" s="5">
        <v>171.82</v>
      </c>
      <c r="E30" s="5">
        <v>260.58</v>
      </c>
      <c r="F30" s="5">
        <v>427.28</v>
      </c>
      <c r="G30" s="5">
        <v>475.32</v>
      </c>
      <c r="H30" s="5">
        <v>239.95</v>
      </c>
      <c r="I30" s="5">
        <v>542.6</v>
      </c>
      <c r="J30" s="5">
        <v>1195.79</v>
      </c>
      <c r="K30" s="5">
        <v>1121.77</v>
      </c>
    </row>
    <row r="31" spans="1:11" x14ac:dyDescent="0.25">
      <c r="A31" s="3" t="s">
        <v>26</v>
      </c>
      <c r="B31" s="5"/>
      <c r="C31" s="5">
        <v>7.43</v>
      </c>
      <c r="D31" s="5">
        <v>23.39</v>
      </c>
      <c r="E31" s="5">
        <v>43.88</v>
      </c>
      <c r="F31" s="5">
        <v>62.38</v>
      </c>
      <c r="G31" s="5">
        <v>71.3</v>
      </c>
      <c r="H31" s="5">
        <v>67.760000000000005</v>
      </c>
      <c r="I31" s="5">
        <v>93.17</v>
      </c>
      <c r="J31" s="5">
        <v>135.52000000000001</v>
      </c>
      <c r="K31" s="5">
        <v>143.99</v>
      </c>
    </row>
    <row r="32" spans="1:11" x14ac:dyDescent="0.25">
      <c r="A32" s="3" t="s">
        <v>27</v>
      </c>
      <c r="B32" s="10">
        <f>B29/B28</f>
        <v>0.69083585095669686</v>
      </c>
      <c r="C32" s="10">
        <f t="shared" ref="C32:K32" si="0">C29/C28</f>
        <v>0.31591395427412994</v>
      </c>
      <c r="D32" s="10">
        <f t="shared" si="0"/>
        <v>0.28349689976594261</v>
      </c>
      <c r="E32" s="10">
        <f t="shared" si="0"/>
        <v>0.30589739491769219</v>
      </c>
      <c r="F32" s="10">
        <f t="shared" si="0"/>
        <v>0.36199027085460334</v>
      </c>
      <c r="G32" s="10">
        <f t="shared" si="0"/>
        <v>0.3273740289205761</v>
      </c>
      <c r="H32" s="10">
        <f t="shared" si="0"/>
        <v>0.36057913076362069</v>
      </c>
      <c r="I32" s="10">
        <f t="shared" si="0"/>
        <v>0.31740931341784862</v>
      </c>
      <c r="J32" s="10">
        <f t="shared" si="0"/>
        <v>0.2661799718186677</v>
      </c>
      <c r="K32" s="10">
        <f t="shared" si="0"/>
        <v>0.14454811728115469</v>
      </c>
    </row>
    <row r="34" spans="1:11" x14ac:dyDescent="0.25">
      <c r="A34" s="3" t="s">
        <v>28</v>
      </c>
      <c r="B34" s="3">
        <f>+B30+B29+B27+B26</f>
        <v>261.56</v>
      </c>
      <c r="C34" s="3">
        <f t="shared" ref="C34:K34" si="1">+C30+C29+C27+C26</f>
        <v>397.5</v>
      </c>
      <c r="D34" s="3">
        <f t="shared" si="1"/>
        <v>549.18000000000006</v>
      </c>
      <c r="E34" s="3">
        <f t="shared" si="1"/>
        <v>640.76</v>
      </c>
      <c r="F34" s="3">
        <f t="shared" si="1"/>
        <v>920.46</v>
      </c>
      <c r="G34" s="3">
        <f t="shared" si="1"/>
        <v>982.07999999999993</v>
      </c>
      <c r="H34" s="3">
        <f t="shared" si="1"/>
        <v>676.29</v>
      </c>
      <c r="I34" s="3">
        <f t="shared" si="1"/>
        <v>1120.4100000000001</v>
      </c>
      <c r="J34" s="3">
        <f t="shared" si="1"/>
        <v>2138.38</v>
      </c>
      <c r="K34" s="3">
        <f t="shared" si="1"/>
        <v>1831.4299999999998</v>
      </c>
    </row>
    <row r="40" spans="1:11" x14ac:dyDescent="0.25">
      <c r="A40" s="1" t="s">
        <v>29</v>
      </c>
    </row>
    <row r="41" spans="1:11" s="8" customFormat="1" x14ac:dyDescent="0.25">
      <c r="A41" s="6" t="s">
        <v>11</v>
      </c>
      <c r="B41" s="7">
        <v>44651</v>
      </c>
      <c r="C41" s="7">
        <v>44742</v>
      </c>
      <c r="D41" s="7">
        <v>44834</v>
      </c>
      <c r="E41" s="7">
        <v>44926</v>
      </c>
      <c r="F41" s="7">
        <v>45016</v>
      </c>
      <c r="G41" s="7">
        <v>45107</v>
      </c>
      <c r="H41" s="7">
        <v>45199</v>
      </c>
      <c r="I41" s="7">
        <v>45291</v>
      </c>
      <c r="J41" s="7">
        <v>45382</v>
      </c>
      <c r="K41" s="7">
        <v>45473</v>
      </c>
    </row>
    <row r="42" spans="1:11" x14ac:dyDescent="0.25">
      <c r="A42" s="3" t="s">
        <v>12</v>
      </c>
      <c r="B42" s="5">
        <v>1339.82</v>
      </c>
      <c r="C42" s="5">
        <v>1430.23</v>
      </c>
      <c r="D42" s="5">
        <v>1644.1</v>
      </c>
      <c r="E42" s="5">
        <v>1643.06</v>
      </c>
      <c r="F42" s="5">
        <v>1719.42</v>
      </c>
      <c r="G42" s="5">
        <v>1584.36</v>
      </c>
      <c r="H42" s="5">
        <v>1650.04</v>
      </c>
      <c r="I42" s="5">
        <v>1706.22</v>
      </c>
      <c r="J42" s="5">
        <v>1718.61</v>
      </c>
      <c r="K42" s="5">
        <v>1713.65</v>
      </c>
    </row>
    <row r="43" spans="1:11" x14ac:dyDescent="0.25">
      <c r="A43" s="3" t="s">
        <v>30</v>
      </c>
      <c r="B43" s="5">
        <v>1003.84</v>
      </c>
      <c r="C43" s="5">
        <v>1007.1</v>
      </c>
      <c r="D43" s="5">
        <v>1104.6300000000001</v>
      </c>
      <c r="E43" s="5">
        <v>1077.57</v>
      </c>
      <c r="F43" s="5">
        <v>1235.71</v>
      </c>
      <c r="G43" s="5">
        <v>1107.17</v>
      </c>
      <c r="H43" s="5">
        <v>1242.76</v>
      </c>
      <c r="I43" s="5">
        <v>1333.98</v>
      </c>
      <c r="J43" s="5">
        <v>1359.66</v>
      </c>
      <c r="K43" s="5">
        <v>1433.32</v>
      </c>
    </row>
    <row r="44" spans="1:11" x14ac:dyDescent="0.25">
      <c r="A44" s="3" t="s">
        <v>20</v>
      </c>
      <c r="B44" s="5">
        <v>21.99</v>
      </c>
      <c r="C44" s="5">
        <v>34.96</v>
      </c>
      <c r="D44" s="5">
        <v>14.02</v>
      </c>
      <c r="E44" s="5">
        <v>49</v>
      </c>
      <c r="F44" s="5">
        <v>41.03</v>
      </c>
      <c r="G44" s="5">
        <v>54.84</v>
      </c>
      <c r="H44" s="5">
        <v>58.77</v>
      </c>
      <c r="I44" s="5">
        <v>56.1</v>
      </c>
      <c r="J44" s="5">
        <v>57.49</v>
      </c>
      <c r="K44" s="5">
        <v>29</v>
      </c>
    </row>
    <row r="45" spans="1:11" x14ac:dyDescent="0.25">
      <c r="A45" s="3" t="s">
        <v>21</v>
      </c>
      <c r="B45" s="5">
        <v>60.13</v>
      </c>
      <c r="C45" s="5">
        <v>65.14</v>
      </c>
      <c r="D45" s="5">
        <v>66.61</v>
      </c>
      <c r="E45" s="5">
        <v>69.5</v>
      </c>
      <c r="F45" s="5">
        <v>80.599999999999994</v>
      </c>
      <c r="G45" s="5">
        <v>79.91</v>
      </c>
      <c r="H45" s="5">
        <v>83.5</v>
      </c>
      <c r="I45" s="5">
        <v>83.34</v>
      </c>
      <c r="J45" s="5">
        <v>63.35</v>
      </c>
      <c r="K45" s="5">
        <v>80.3</v>
      </c>
    </row>
    <row r="46" spans="1:11" ht="14.4" x14ac:dyDescent="0.3">
      <c r="A46" s="3" t="s">
        <v>22</v>
      </c>
      <c r="B46" s="9">
        <v>32.049999999999997</v>
      </c>
      <c r="C46" s="9">
        <v>29.15</v>
      </c>
      <c r="D46" s="9">
        <v>36.159999999999997</v>
      </c>
      <c r="E46" s="9">
        <v>94.06</v>
      </c>
      <c r="F46" s="9">
        <v>63.11</v>
      </c>
      <c r="G46" s="9">
        <v>51.26</v>
      </c>
      <c r="H46" s="9">
        <v>41.97</v>
      </c>
      <c r="I46" s="9">
        <v>80.23</v>
      </c>
      <c r="J46" s="9">
        <v>34.619999999999997</v>
      </c>
      <c r="K46" s="9">
        <v>35.590000000000003</v>
      </c>
    </row>
    <row r="47" spans="1:11" x14ac:dyDescent="0.25">
      <c r="A47" s="3" t="s">
        <v>23</v>
      </c>
      <c r="B47" s="5">
        <v>265.79000000000002</v>
      </c>
      <c r="C47" s="5">
        <v>363.8</v>
      </c>
      <c r="D47" s="5">
        <v>450.72</v>
      </c>
      <c r="E47" s="5">
        <v>450.93</v>
      </c>
      <c r="F47" s="5">
        <v>381.03</v>
      </c>
      <c r="G47" s="5">
        <v>400.86</v>
      </c>
      <c r="H47" s="5">
        <v>340.58</v>
      </c>
      <c r="I47" s="5">
        <v>264.77</v>
      </c>
      <c r="J47" s="5">
        <v>318.47000000000003</v>
      </c>
      <c r="K47" s="5">
        <v>193.44</v>
      </c>
    </row>
    <row r="48" spans="1:11" x14ac:dyDescent="0.25">
      <c r="A48" s="3" t="s">
        <v>24</v>
      </c>
      <c r="B48" s="5">
        <v>95.62</v>
      </c>
      <c r="C48" s="5">
        <v>99.57</v>
      </c>
      <c r="D48" s="5">
        <v>123.79</v>
      </c>
      <c r="E48" s="5">
        <v>117.39</v>
      </c>
      <c r="F48" s="5">
        <v>97.51</v>
      </c>
      <c r="G48" s="5">
        <v>88.3</v>
      </c>
      <c r="H48" s="5">
        <v>34.9</v>
      </c>
      <c r="I48" s="5">
        <v>28.41</v>
      </c>
      <c r="J48" s="5">
        <v>39.869999999999997</v>
      </c>
      <c r="K48" s="5">
        <v>52.65</v>
      </c>
    </row>
    <row r="49" spans="1:11" x14ac:dyDescent="0.25">
      <c r="A49" s="3" t="s">
        <v>25</v>
      </c>
      <c r="B49" s="5">
        <v>170</v>
      </c>
      <c r="C49" s="5">
        <v>261.98</v>
      </c>
      <c r="D49" s="5">
        <v>324.23</v>
      </c>
      <c r="E49" s="5">
        <v>329.32</v>
      </c>
      <c r="F49" s="5">
        <v>280.26</v>
      </c>
      <c r="G49" s="5">
        <v>308.67</v>
      </c>
      <c r="H49" s="5">
        <v>302.35000000000002</v>
      </c>
      <c r="I49" s="5">
        <v>235.11</v>
      </c>
      <c r="J49" s="5">
        <v>275.64</v>
      </c>
      <c r="K49" s="5">
        <v>139.72</v>
      </c>
    </row>
    <row r="50" spans="1:11" x14ac:dyDescent="0.25">
      <c r="A50" s="3" t="s">
        <v>31</v>
      </c>
      <c r="B50" s="5">
        <v>335.98</v>
      </c>
      <c r="C50" s="5">
        <v>423.13</v>
      </c>
      <c r="D50" s="5">
        <v>539.47</v>
      </c>
      <c r="E50" s="5">
        <v>565.49</v>
      </c>
      <c r="F50" s="5">
        <v>483.71</v>
      </c>
      <c r="G50" s="5">
        <v>477.19</v>
      </c>
      <c r="H50" s="5">
        <v>407.28</v>
      </c>
      <c r="I50" s="5">
        <v>372.24</v>
      </c>
      <c r="J50" s="5">
        <v>358.95</v>
      </c>
      <c r="K50" s="5">
        <v>280.33</v>
      </c>
    </row>
    <row r="51" spans="1:11" x14ac:dyDescent="0.25">
      <c r="A51" s="3" t="s">
        <v>28</v>
      </c>
      <c r="B51" s="3">
        <f>B49+B48+B46+B45</f>
        <v>357.8</v>
      </c>
      <c r="C51" s="3">
        <f t="shared" ref="C51:K51" si="2">C49+C48+C46+C45</f>
        <v>455.84</v>
      </c>
      <c r="D51" s="3">
        <f t="shared" si="2"/>
        <v>550.79000000000008</v>
      </c>
      <c r="E51" s="3">
        <f t="shared" si="2"/>
        <v>610.27</v>
      </c>
      <c r="F51" s="3">
        <f t="shared" si="2"/>
        <v>521.48</v>
      </c>
      <c r="G51" s="3">
        <f t="shared" si="2"/>
        <v>528.14</v>
      </c>
      <c r="H51" s="3">
        <f t="shared" si="2"/>
        <v>462.72</v>
      </c>
      <c r="I51" s="3">
        <f t="shared" si="2"/>
        <v>427.09000000000003</v>
      </c>
      <c r="J51" s="3">
        <f t="shared" si="2"/>
        <v>413.48</v>
      </c>
      <c r="K51" s="3">
        <f t="shared" si="2"/>
        <v>308.26</v>
      </c>
    </row>
    <row r="55" spans="1:11" x14ac:dyDescent="0.25">
      <c r="A55" s="1" t="s">
        <v>32</v>
      </c>
    </row>
    <row r="56" spans="1:11" s="8" customFormat="1" x14ac:dyDescent="0.25">
      <c r="A56" s="6" t="s">
        <v>11</v>
      </c>
      <c r="B56" s="7">
        <v>42094</v>
      </c>
      <c r="C56" s="7">
        <v>42460</v>
      </c>
      <c r="D56" s="7">
        <v>42825</v>
      </c>
      <c r="E56" s="7">
        <v>43190</v>
      </c>
      <c r="F56" s="7">
        <v>43555</v>
      </c>
      <c r="G56" s="7">
        <v>43921</v>
      </c>
      <c r="H56" s="7">
        <v>44286</v>
      </c>
      <c r="I56" s="7">
        <v>44651</v>
      </c>
      <c r="J56" s="7">
        <v>45016</v>
      </c>
      <c r="K56" s="7">
        <v>45382</v>
      </c>
    </row>
    <row r="57" spans="1:11" x14ac:dyDescent="0.25">
      <c r="A57" s="3" t="s">
        <v>33</v>
      </c>
      <c r="B57" s="5">
        <v>136.62</v>
      </c>
      <c r="C57" s="5">
        <v>148.53</v>
      </c>
      <c r="D57" s="5">
        <v>155.96</v>
      </c>
      <c r="E57" s="5">
        <v>175.5</v>
      </c>
      <c r="F57" s="5">
        <v>178.24</v>
      </c>
      <c r="G57" s="5">
        <v>178.24</v>
      </c>
      <c r="H57" s="5">
        <v>169.4</v>
      </c>
      <c r="I57" s="5">
        <v>169.4</v>
      </c>
      <c r="J57" s="5">
        <v>169.4</v>
      </c>
      <c r="K57" s="5">
        <v>169.4</v>
      </c>
    </row>
    <row r="58" spans="1:11" x14ac:dyDescent="0.25">
      <c r="A58" s="3" t="s">
        <v>34</v>
      </c>
      <c r="B58" s="5">
        <v>638.99</v>
      </c>
      <c r="C58" s="5">
        <v>953.57</v>
      </c>
      <c r="D58" s="5">
        <v>1165.29</v>
      </c>
      <c r="E58" s="5">
        <v>1467.59</v>
      </c>
      <c r="F58" s="5">
        <v>1859.86</v>
      </c>
      <c r="G58" s="5">
        <v>2187.25</v>
      </c>
      <c r="H58" s="5">
        <v>2346.6799999999998</v>
      </c>
      <c r="I58" s="5">
        <v>2826.64</v>
      </c>
      <c r="J58" s="5">
        <v>3864.6</v>
      </c>
      <c r="K58" s="5">
        <v>4900.1000000000004</v>
      </c>
    </row>
    <row r="59" spans="1:11" ht="14.4" x14ac:dyDescent="0.3">
      <c r="A59" s="3" t="s">
        <v>35</v>
      </c>
      <c r="B59" s="9">
        <v>2104.3000000000002</v>
      </c>
      <c r="C59" s="9">
        <v>1891.77</v>
      </c>
      <c r="D59" s="9">
        <v>1697.7</v>
      </c>
      <c r="E59" s="9">
        <v>1309.53</v>
      </c>
      <c r="F59" s="9">
        <v>1562.58</v>
      </c>
      <c r="G59" s="9">
        <v>1782.25</v>
      </c>
      <c r="H59" s="9">
        <v>2790.09</v>
      </c>
      <c r="I59" s="9">
        <v>3136.98</v>
      </c>
      <c r="J59" s="9">
        <v>2802.77</v>
      </c>
      <c r="K59" s="9">
        <v>2204.1999999999998</v>
      </c>
    </row>
    <row r="60" spans="1:11" x14ac:dyDescent="0.25">
      <c r="A60" s="3" t="s">
        <v>36</v>
      </c>
      <c r="B60" s="5">
        <v>448.24</v>
      </c>
      <c r="C60" s="5">
        <v>484.57</v>
      </c>
      <c r="D60" s="5">
        <v>576.67999999999995</v>
      </c>
      <c r="E60" s="5">
        <v>655.83</v>
      </c>
      <c r="F60" s="5">
        <v>921.42</v>
      </c>
      <c r="G60" s="5">
        <v>1142.71</v>
      </c>
      <c r="H60" s="5">
        <v>1248.69</v>
      </c>
      <c r="I60" s="5">
        <v>1491.51</v>
      </c>
      <c r="J60" s="5">
        <v>2083.11</v>
      </c>
      <c r="K60" s="5">
        <v>2054.09</v>
      </c>
    </row>
    <row r="61" spans="1:11" s="1" customFormat="1" x14ac:dyDescent="0.25">
      <c r="A61" s="1" t="s">
        <v>37</v>
      </c>
      <c r="B61" s="5">
        <v>3328.15</v>
      </c>
      <c r="C61" s="5">
        <v>3478.44</v>
      </c>
      <c r="D61" s="5">
        <v>3595.63</v>
      </c>
      <c r="E61" s="5">
        <v>3608.45</v>
      </c>
      <c r="F61" s="5">
        <v>4522.1000000000004</v>
      </c>
      <c r="G61" s="5">
        <v>5290.45</v>
      </c>
      <c r="H61" s="5">
        <v>6554.86</v>
      </c>
      <c r="I61" s="5">
        <v>7624.53</v>
      </c>
      <c r="J61" s="5">
        <v>8919.8799999999992</v>
      </c>
      <c r="K61" s="5">
        <v>9327.7900000000009</v>
      </c>
    </row>
    <row r="62" spans="1:11" x14ac:dyDescent="0.25">
      <c r="A62" s="3" t="s">
        <v>38</v>
      </c>
      <c r="B62" s="5">
        <v>2369.9299999999998</v>
      </c>
      <c r="C62" s="5">
        <v>2751.77</v>
      </c>
      <c r="D62" s="5">
        <v>2687.87</v>
      </c>
      <c r="E62" s="5">
        <v>2654.13</v>
      </c>
      <c r="F62" s="5">
        <v>2706.3</v>
      </c>
      <c r="G62" s="5">
        <v>3141.67</v>
      </c>
      <c r="H62" s="5">
        <v>3030.96</v>
      </c>
      <c r="I62" s="5">
        <v>5280.45</v>
      </c>
      <c r="J62" s="5">
        <v>5755.94</v>
      </c>
      <c r="K62" s="5">
        <v>5850.37</v>
      </c>
    </row>
    <row r="63" spans="1:11" x14ac:dyDescent="0.25">
      <c r="A63" s="3" t="s">
        <v>39</v>
      </c>
      <c r="B63" s="5">
        <v>27.46</v>
      </c>
      <c r="C63" s="5">
        <v>20.18</v>
      </c>
      <c r="D63" s="5">
        <v>15.51</v>
      </c>
      <c r="E63" s="5">
        <v>36.700000000000003</v>
      </c>
      <c r="F63" s="5">
        <v>328.86</v>
      </c>
      <c r="G63" s="5">
        <v>399.63</v>
      </c>
      <c r="H63" s="5">
        <v>1703.74</v>
      </c>
      <c r="I63" s="5">
        <v>46.29</v>
      </c>
      <c r="J63" s="5">
        <v>123.72</v>
      </c>
      <c r="K63" s="5">
        <v>61.29</v>
      </c>
    </row>
    <row r="64" spans="1:11" ht="14.4" x14ac:dyDescent="0.3">
      <c r="A64" s="3" t="s">
        <v>40</v>
      </c>
      <c r="B64" s="5">
        <v>3.86</v>
      </c>
      <c r="C64" s="9">
        <v>70.05</v>
      </c>
      <c r="D64" s="5">
        <v>258.88</v>
      </c>
      <c r="E64" s="5">
        <v>151.93</v>
      </c>
      <c r="F64" s="5">
        <v>675.36</v>
      </c>
      <c r="G64" s="5">
        <v>491.22</v>
      </c>
      <c r="H64" s="5">
        <v>640.66</v>
      </c>
      <c r="I64" s="5">
        <v>724.26</v>
      </c>
      <c r="J64" s="5">
        <v>930.66</v>
      </c>
      <c r="K64" s="5">
        <v>1158.31</v>
      </c>
    </row>
    <row r="65" spans="1:11" x14ac:dyDescent="0.25">
      <c r="A65" s="3" t="s">
        <v>41</v>
      </c>
      <c r="B65" s="5">
        <v>926.9</v>
      </c>
      <c r="C65" s="5">
        <v>636.44000000000005</v>
      </c>
      <c r="D65" s="5">
        <v>633.37</v>
      </c>
      <c r="E65" s="5">
        <v>765.69</v>
      </c>
      <c r="F65" s="5">
        <v>811.58</v>
      </c>
      <c r="G65" s="5">
        <v>1257.93</v>
      </c>
      <c r="H65" s="5">
        <v>1179.5</v>
      </c>
      <c r="I65" s="5">
        <v>1573.53</v>
      </c>
      <c r="J65" s="5">
        <v>2109.56</v>
      </c>
      <c r="K65" s="5">
        <v>2257.8200000000002</v>
      </c>
    </row>
    <row r="66" spans="1:11" s="1" customFormat="1" x14ac:dyDescent="0.25">
      <c r="A66" s="1" t="s">
        <v>37</v>
      </c>
      <c r="B66" s="5">
        <v>3328.15</v>
      </c>
      <c r="C66" s="5">
        <v>3478.44</v>
      </c>
      <c r="D66" s="5">
        <v>3595.63</v>
      </c>
      <c r="E66" s="5">
        <v>3608.45</v>
      </c>
      <c r="F66" s="5">
        <v>4522.1000000000004</v>
      </c>
      <c r="G66" s="5">
        <v>5290.45</v>
      </c>
      <c r="H66" s="5">
        <v>6554.86</v>
      </c>
      <c r="I66" s="5">
        <v>7624.53</v>
      </c>
      <c r="J66" s="5">
        <v>8919.8799999999992</v>
      </c>
      <c r="K66" s="5">
        <v>9327.7900000000009</v>
      </c>
    </row>
    <row r="67" spans="1:11" x14ac:dyDescent="0.25">
      <c r="A67" s="3" t="s">
        <v>42</v>
      </c>
      <c r="B67" s="5">
        <v>146.25</v>
      </c>
      <c r="C67" s="5">
        <v>139.18</v>
      </c>
      <c r="D67" s="5">
        <v>110.81</v>
      </c>
      <c r="E67" s="5">
        <v>109.15</v>
      </c>
      <c r="F67" s="5">
        <v>73.48</v>
      </c>
      <c r="G67" s="5">
        <v>73.790000000000006</v>
      </c>
      <c r="H67" s="5">
        <v>79.09</v>
      </c>
      <c r="I67" s="5">
        <v>217.2</v>
      </c>
      <c r="J67" s="5">
        <v>349.54</v>
      </c>
      <c r="K67" s="5">
        <v>361.27</v>
      </c>
    </row>
    <row r="68" spans="1:11" ht="14.4" x14ac:dyDescent="0.3">
      <c r="A68" s="3" t="s">
        <v>43</v>
      </c>
      <c r="B68" s="9">
        <v>374.35</v>
      </c>
      <c r="C68" s="9">
        <v>334.71</v>
      </c>
      <c r="D68" s="9">
        <v>382.94</v>
      </c>
      <c r="E68" s="9">
        <v>394.23</v>
      </c>
      <c r="F68" s="9">
        <v>346.27</v>
      </c>
      <c r="G68" s="9">
        <v>498.19</v>
      </c>
      <c r="H68" s="9">
        <v>382.98</v>
      </c>
      <c r="I68" s="9">
        <v>519.23</v>
      </c>
      <c r="J68" s="9">
        <v>819.29</v>
      </c>
      <c r="K68" s="9">
        <v>941.63</v>
      </c>
    </row>
    <row r="69" spans="1:11" x14ac:dyDescent="0.25">
      <c r="A69" s="3" t="s">
        <v>44</v>
      </c>
      <c r="B69" s="5">
        <v>17.829999999999998</v>
      </c>
      <c r="C69" s="5">
        <v>15.78</v>
      </c>
      <c r="D69" s="5">
        <v>30.11</v>
      </c>
      <c r="E69" s="5">
        <v>123.37</v>
      </c>
      <c r="F69" s="5">
        <v>26.74</v>
      </c>
      <c r="G69" s="5">
        <v>42.03</v>
      </c>
      <c r="H69" s="5">
        <v>19.53</v>
      </c>
      <c r="I69" s="5">
        <v>22.2</v>
      </c>
      <c r="J69" s="5">
        <v>51.7</v>
      </c>
      <c r="K69" s="5">
        <v>73.48</v>
      </c>
    </row>
    <row r="70" spans="1:11" x14ac:dyDescent="0.25">
      <c r="A70" s="3" t="s">
        <v>45</v>
      </c>
      <c r="B70" s="5">
        <v>136620600</v>
      </c>
      <c r="C70" s="5">
        <v>148530625</v>
      </c>
      <c r="D70" s="5">
        <v>155958865</v>
      </c>
      <c r="E70" s="5">
        <v>175500850</v>
      </c>
      <c r="F70" s="5">
        <v>178243585</v>
      </c>
      <c r="G70" s="5">
        <v>178243585</v>
      </c>
      <c r="H70" s="5">
        <v>169402344</v>
      </c>
      <c r="I70" s="5">
        <v>169402344</v>
      </c>
      <c r="J70" s="5">
        <v>169402344</v>
      </c>
      <c r="K70" s="5"/>
    </row>
    <row r="71" spans="1:11" ht="13.8" x14ac:dyDescent="0.25">
      <c r="A71" s="3" t="s">
        <v>46</v>
      </c>
      <c r="B71" s="11"/>
      <c r="C71" s="11"/>
      <c r="G71" s="11"/>
      <c r="H71" s="11"/>
    </row>
    <row r="72" spans="1:11" x14ac:dyDescent="0.25">
      <c r="A72" s="3" t="s">
        <v>47</v>
      </c>
      <c r="B72" s="5">
        <v>10</v>
      </c>
      <c r="C72" s="5">
        <v>10</v>
      </c>
      <c r="D72" s="5">
        <v>10</v>
      </c>
      <c r="E72" s="5">
        <v>10</v>
      </c>
      <c r="F72" s="5">
        <v>10</v>
      </c>
      <c r="G72" s="5">
        <v>10</v>
      </c>
      <c r="H72" s="5">
        <v>10</v>
      </c>
      <c r="I72" s="5">
        <v>10</v>
      </c>
      <c r="J72" s="5">
        <v>10</v>
      </c>
      <c r="K72" s="5">
        <v>10</v>
      </c>
    </row>
    <row r="73" spans="1:11" x14ac:dyDescent="0.25">
      <c r="H73" s="3">
        <f>H62-G62+H45</f>
        <v>-27.210000000000036</v>
      </c>
      <c r="I73" s="3">
        <f t="shared" ref="I73:K73" si="3">I62-H62+I45</f>
        <v>2332.83</v>
      </c>
      <c r="J73" s="3">
        <f t="shared" si="3"/>
        <v>538.8399999999998</v>
      </c>
      <c r="K73" s="3">
        <f t="shared" si="3"/>
        <v>174.7300000000003</v>
      </c>
    </row>
    <row r="80" spans="1:11" x14ac:dyDescent="0.25">
      <c r="A80" s="1" t="s">
        <v>48</v>
      </c>
    </row>
    <row r="81" spans="1:12" s="8" customFormat="1" x14ac:dyDescent="0.25">
      <c r="A81" s="6" t="s">
        <v>11</v>
      </c>
      <c r="B81" s="7">
        <v>42094</v>
      </c>
      <c r="C81" s="7">
        <v>42460</v>
      </c>
      <c r="D81" s="7">
        <v>42825</v>
      </c>
      <c r="E81" s="7">
        <v>43190</v>
      </c>
      <c r="F81" s="7">
        <v>43555</v>
      </c>
      <c r="G81" s="7">
        <v>43921</v>
      </c>
      <c r="H81" s="7">
        <v>44286</v>
      </c>
      <c r="I81" s="7">
        <v>44651</v>
      </c>
      <c r="J81" s="7">
        <v>45016</v>
      </c>
      <c r="K81" s="7">
        <v>45382</v>
      </c>
      <c r="L81" s="7"/>
    </row>
    <row r="82" spans="1:12" s="1" customFormat="1" x14ac:dyDescent="0.25">
      <c r="A82" s="3" t="s">
        <v>49</v>
      </c>
      <c r="B82" s="5">
        <v>259.8</v>
      </c>
      <c r="C82" s="5">
        <v>404.61</v>
      </c>
      <c r="D82" s="5">
        <v>564.70000000000005</v>
      </c>
      <c r="E82" s="5">
        <v>560.30999999999995</v>
      </c>
      <c r="F82" s="5">
        <v>878.86</v>
      </c>
      <c r="G82" s="5">
        <v>557.73</v>
      </c>
      <c r="H82" s="5">
        <v>475.2</v>
      </c>
      <c r="I82" s="5">
        <v>773.59</v>
      </c>
      <c r="J82" s="5">
        <v>1761.95</v>
      </c>
      <c r="K82" s="5">
        <v>1375.89</v>
      </c>
    </row>
    <row r="83" spans="1:12" x14ac:dyDescent="0.25">
      <c r="A83" s="3" t="s">
        <v>50</v>
      </c>
      <c r="B83" s="5">
        <v>-14.45</v>
      </c>
      <c r="C83" s="5">
        <v>-33.65</v>
      </c>
      <c r="D83" s="5">
        <v>-261.54000000000002</v>
      </c>
      <c r="E83" s="5">
        <v>40.270000000000003</v>
      </c>
      <c r="F83" s="5">
        <v>-1115.18</v>
      </c>
      <c r="G83" s="5">
        <v>-394.94</v>
      </c>
      <c r="H83" s="5">
        <v>-1281.53</v>
      </c>
      <c r="I83" s="5">
        <v>-873.74</v>
      </c>
      <c r="J83" s="5">
        <v>-948.41</v>
      </c>
      <c r="K83" s="5">
        <v>-410.85</v>
      </c>
    </row>
    <row r="84" spans="1:12" x14ac:dyDescent="0.25">
      <c r="A84" s="3" t="s">
        <v>51</v>
      </c>
      <c r="B84" s="5">
        <v>-239.57</v>
      </c>
      <c r="C84" s="5">
        <v>-372.74</v>
      </c>
      <c r="D84" s="5">
        <v>-288.83</v>
      </c>
      <c r="E84" s="5">
        <v>-507.32</v>
      </c>
      <c r="F84" s="5">
        <v>139.69</v>
      </c>
      <c r="G84" s="5">
        <v>-147.5</v>
      </c>
      <c r="H84" s="5">
        <v>783.83</v>
      </c>
      <c r="I84" s="5">
        <v>103.05</v>
      </c>
      <c r="J84" s="5">
        <v>-786.65</v>
      </c>
      <c r="K84" s="5">
        <v>-937.58</v>
      </c>
    </row>
    <row r="85" spans="1:12" s="1" customFormat="1" x14ac:dyDescent="0.25">
      <c r="A85" s="3" t="s">
        <v>52</v>
      </c>
      <c r="B85" s="5">
        <v>5.78</v>
      </c>
      <c r="C85" s="5">
        <v>-1.78</v>
      </c>
      <c r="D85" s="5">
        <v>14.33</v>
      </c>
      <c r="E85" s="5">
        <v>93.26</v>
      </c>
      <c r="F85" s="5">
        <v>-96.63</v>
      </c>
      <c r="G85" s="5">
        <v>15.29</v>
      </c>
      <c r="H85" s="5">
        <v>-22.5</v>
      </c>
      <c r="I85" s="5">
        <v>2.9</v>
      </c>
      <c r="J85" s="5">
        <v>26.89</v>
      </c>
      <c r="K85" s="5">
        <v>27.46</v>
      </c>
    </row>
    <row r="90" spans="1:12" s="1" customFormat="1" x14ac:dyDescent="0.25">
      <c r="A90" s="1" t="s">
        <v>53</v>
      </c>
      <c r="B90" s="5">
        <v>31.5</v>
      </c>
      <c r="C90" s="5">
        <v>42.5</v>
      </c>
      <c r="D90" s="5">
        <v>94.5</v>
      </c>
      <c r="E90" s="5">
        <v>135.1</v>
      </c>
      <c r="F90" s="5">
        <v>141.85</v>
      </c>
      <c r="G90" s="5">
        <v>74.5</v>
      </c>
      <c r="H90" s="5">
        <v>149.85</v>
      </c>
      <c r="I90" s="5">
        <v>303.95</v>
      </c>
      <c r="J90" s="5">
        <v>381.7</v>
      </c>
      <c r="K90" s="5">
        <v>322.45</v>
      </c>
    </row>
    <row r="92" spans="1:12" s="1" customFormat="1" x14ac:dyDescent="0.25">
      <c r="A92" s="1" t="s">
        <v>54</v>
      </c>
    </row>
    <row r="93" spans="1:12" x14ac:dyDescent="0.25">
      <c r="A93" s="3" t="s">
        <v>55</v>
      </c>
      <c r="B93" s="12">
        <v>13.66</v>
      </c>
      <c r="C93" s="12">
        <v>14.85</v>
      </c>
      <c r="D93" s="12">
        <v>15.6</v>
      </c>
      <c r="E93" s="12">
        <v>17.55</v>
      </c>
      <c r="F93" s="12">
        <v>17.82</v>
      </c>
      <c r="G93" s="12">
        <v>17.82</v>
      </c>
      <c r="H93" s="12">
        <v>16.940000000000001</v>
      </c>
      <c r="I93" s="12">
        <v>16.940000000000001</v>
      </c>
      <c r="J93" s="12">
        <v>16.940000000000001</v>
      </c>
      <c r="K93" s="12">
        <v>16.940000000000001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5C42DA42-9D1D-4497-8267-B6DE324A7EA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0DF4-4BDC-452F-AB42-E4C2F63C986E}">
  <dimension ref="A2:L76"/>
  <sheetViews>
    <sheetView showGridLines="0" zoomScale="86" zoomScaleNormal="90" workbookViewId="0">
      <pane ySplit="3" topLeftCell="A4" activePane="bottomLeft" state="frozen"/>
      <selection activeCell="C4" sqref="C4"/>
      <selection pane="bottomLeft" activeCell="B52" sqref="B52"/>
    </sheetView>
  </sheetViews>
  <sheetFormatPr defaultRowHeight="14.4" x14ac:dyDescent="0.3"/>
  <cols>
    <col min="1" max="1" width="1.88671875" customWidth="1"/>
    <col min="2" max="2" width="28.44140625" bestFit="1" customWidth="1"/>
    <col min="3" max="3" width="14" customWidth="1"/>
    <col min="4" max="12" width="13" customWidth="1"/>
  </cols>
  <sheetData>
    <row r="2" spans="1:12" x14ac:dyDescent="0.3">
      <c r="B2" s="13" t="str">
        <f>"Historical Financial Statement - "&amp;'[1]Data Sheet'!B1</f>
        <v>Historical Financial Statement - JK PAPER LTD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">
      <c r="B3" s="14" t="s">
        <v>56</v>
      </c>
      <c r="C3" s="15">
        <f>'[1]Data Sheet'!B16</f>
        <v>42094</v>
      </c>
      <c r="D3" s="15">
        <f>'[1]Data Sheet'!C16</f>
        <v>42460</v>
      </c>
      <c r="E3" s="15">
        <f>'[1]Data Sheet'!D16</f>
        <v>42825</v>
      </c>
      <c r="F3" s="15">
        <f>'[1]Data Sheet'!E16</f>
        <v>43190</v>
      </c>
      <c r="G3" s="15">
        <f>'[1]Data Sheet'!F16</f>
        <v>43555</v>
      </c>
      <c r="H3" s="15">
        <f>'[1]Data Sheet'!G16</f>
        <v>43921</v>
      </c>
      <c r="I3" s="15">
        <f>'[1]Data Sheet'!H16</f>
        <v>44286</v>
      </c>
      <c r="J3" s="15">
        <f>'[1]Data Sheet'!I16</f>
        <v>44651</v>
      </c>
      <c r="K3" s="15">
        <f>'[1]Data Sheet'!J16</f>
        <v>45016</v>
      </c>
      <c r="L3" s="15">
        <f>'[1]Data Sheet'!K16</f>
        <v>45382</v>
      </c>
    </row>
    <row r="4" spans="1:12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t="s">
        <v>57</v>
      </c>
      <c r="B5" s="18" t="s">
        <v>58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x14ac:dyDescent="0.3">
      <c r="B6" t="s">
        <v>12</v>
      </c>
      <c r="C6" s="20">
        <f>IFERROR('[1]Data Sheet'!B17,0)</f>
        <v>2160.11</v>
      </c>
      <c r="D6" s="20">
        <f>IFERROR('[1]Data Sheet'!C17,0)</f>
        <v>2437.25</v>
      </c>
      <c r="E6" s="20">
        <f>IFERROR('[1]Data Sheet'!D17,0)</f>
        <v>2628.61</v>
      </c>
      <c r="F6" s="20">
        <f>IFERROR('[1]Data Sheet'!E17,0)</f>
        <v>2844.27</v>
      </c>
      <c r="G6" s="20">
        <f>IFERROR('[1]Data Sheet'!F17,0)</f>
        <v>3256.71</v>
      </c>
      <c r="H6" s="20">
        <f>IFERROR('[1]Data Sheet'!G17,0)</f>
        <v>3060.19</v>
      </c>
      <c r="I6" s="20">
        <f>IFERROR('[1]Data Sheet'!H17,0)</f>
        <v>2750.72</v>
      </c>
      <c r="J6" s="20">
        <f>IFERROR('[1]Data Sheet'!I17,0)</f>
        <v>3968.56</v>
      </c>
      <c r="K6" s="20">
        <f>IFERROR('[1]Data Sheet'!J17,0)</f>
        <v>6436.81</v>
      </c>
      <c r="L6" s="20">
        <f>IFERROR('[1]Data Sheet'!K17,0)</f>
        <v>6659.23</v>
      </c>
    </row>
    <row r="7" spans="1:12" x14ac:dyDescent="0.3">
      <c r="B7" s="21" t="s">
        <v>59</v>
      </c>
      <c r="C7" s="22" t="s">
        <v>60</v>
      </c>
      <c r="D7" s="23">
        <f>D6/C6-1</f>
        <v>0.12829902180907449</v>
      </c>
      <c r="E7" s="23">
        <f t="shared" ref="E7:L7" si="0">E6/D6-1</f>
        <v>7.8514719458405935E-2</v>
      </c>
      <c r="F7" s="23">
        <f t="shared" si="0"/>
        <v>8.204336132024137E-2</v>
      </c>
      <c r="G7" s="23">
        <f t="shared" si="0"/>
        <v>0.14500733052769244</v>
      </c>
      <c r="H7" s="23">
        <f t="shared" si="0"/>
        <v>-6.0343107000623286E-2</v>
      </c>
      <c r="I7" s="23">
        <f t="shared" si="0"/>
        <v>-0.10112770775670799</v>
      </c>
      <c r="J7" s="23">
        <f t="shared" si="0"/>
        <v>0.44273499302000929</v>
      </c>
      <c r="K7" s="23">
        <f t="shared" si="0"/>
        <v>0.62195103513617034</v>
      </c>
      <c r="L7" s="23">
        <f t="shared" si="0"/>
        <v>3.4554383304773451E-2</v>
      </c>
    </row>
    <row r="9" spans="1:12" x14ac:dyDescent="0.3">
      <c r="B9" t="s">
        <v>61</v>
      </c>
      <c r="C9" s="20">
        <f>IFERROR(SUM('[1]Data Sheet'!B18,'[1]Data Sheet'!B20:B22)-1*'[1]Data Sheet'!B19,0)</f>
        <v>1817.55</v>
      </c>
      <c r="D9" s="20">
        <f>IFERROR(SUM('[1]Data Sheet'!C18,'[1]Data Sheet'!C20:C22)-1*'[1]Data Sheet'!C19,0)</f>
        <v>1959.14</v>
      </c>
      <c r="E9" s="20">
        <f>IFERROR(SUM('[1]Data Sheet'!D18,'[1]Data Sheet'!D20:D22)-1*'[1]Data Sheet'!D19,0)</f>
        <v>2017.71</v>
      </c>
      <c r="F9" s="20">
        <f>IFERROR(SUM('[1]Data Sheet'!E18,'[1]Data Sheet'!E20:E22)-1*'[1]Data Sheet'!E19,0)</f>
        <v>2105.1899999999996</v>
      </c>
      <c r="G9" s="20">
        <f>IFERROR(SUM('[1]Data Sheet'!F18,'[1]Data Sheet'!F20:F22)-1*'[1]Data Sheet'!F19,0)</f>
        <v>2256.52</v>
      </c>
      <c r="H9" s="20">
        <f>IFERROR(SUM('[1]Data Sheet'!G18,'[1]Data Sheet'!G20:G22)-1*'[1]Data Sheet'!G19,0)</f>
        <v>2050.33</v>
      </c>
      <c r="I9" s="20">
        <f>IFERROR(SUM('[1]Data Sheet'!H18,'[1]Data Sheet'!H20:H22)-1*'[1]Data Sheet'!H19,0)</f>
        <v>2052.69</v>
      </c>
      <c r="J9" s="20">
        <f>IFERROR(SUM('[1]Data Sheet'!I18,'[1]Data Sheet'!I20:I22)-1*'[1]Data Sheet'!I19,0)</f>
        <v>2739.77</v>
      </c>
      <c r="K9" s="20">
        <f>IFERROR(SUM('[1]Data Sheet'!J18,'[1]Data Sheet'!J20:J22)-1*'[1]Data Sheet'!J19,0)</f>
        <v>4209.3000000000011</v>
      </c>
      <c r="L9" s="20">
        <f>IFERROR(SUM('[1]Data Sheet'!K18,'[1]Data Sheet'!K20:K22)-1*'[1]Data Sheet'!K19,0)</f>
        <v>4560.6000000000004</v>
      </c>
    </row>
    <row r="10" spans="1:12" x14ac:dyDescent="0.3">
      <c r="B10" s="21" t="s">
        <v>62</v>
      </c>
      <c r="C10" s="23">
        <f>C9/C6</f>
        <v>0.84141548347074913</v>
      </c>
      <c r="D10" s="23">
        <f t="shared" ref="D10:L10" si="1">D9/D6</f>
        <v>0.80383218791670941</v>
      </c>
      <c r="E10" s="23">
        <f t="shared" si="1"/>
        <v>0.76759580158334628</v>
      </c>
      <c r="F10" s="23">
        <f t="shared" si="1"/>
        <v>0.7401512514634685</v>
      </c>
      <c r="G10" s="23">
        <f t="shared" si="1"/>
        <v>0.69288330861513614</v>
      </c>
      <c r="H10" s="23">
        <f t="shared" si="1"/>
        <v>0.67000088229815791</v>
      </c>
      <c r="I10" s="23">
        <f t="shared" si="1"/>
        <v>0.74623734876686842</v>
      </c>
      <c r="J10" s="23">
        <f t="shared" si="1"/>
        <v>0.69036879875823975</v>
      </c>
      <c r="K10" s="23">
        <f t="shared" si="1"/>
        <v>0.65394193707752768</v>
      </c>
      <c r="L10" s="23">
        <f t="shared" si="1"/>
        <v>0.68485395458634113</v>
      </c>
    </row>
    <row r="12" spans="1:12" x14ac:dyDescent="0.3">
      <c r="B12" s="24" t="s">
        <v>63</v>
      </c>
      <c r="C12" s="25">
        <f>C6-C9</f>
        <v>342.56000000000017</v>
      </c>
      <c r="D12" s="25">
        <f t="shared" ref="D12:L12" si="2">D6-D9</f>
        <v>478.1099999999999</v>
      </c>
      <c r="E12" s="25">
        <f t="shared" si="2"/>
        <v>610.90000000000009</v>
      </c>
      <c r="F12" s="25">
        <f t="shared" si="2"/>
        <v>739.08000000000038</v>
      </c>
      <c r="G12" s="25">
        <f t="shared" si="2"/>
        <v>1000.19</v>
      </c>
      <c r="H12" s="25">
        <f t="shared" si="2"/>
        <v>1009.8600000000001</v>
      </c>
      <c r="I12" s="25">
        <f t="shared" si="2"/>
        <v>698.02999999999975</v>
      </c>
      <c r="J12" s="25">
        <f t="shared" si="2"/>
        <v>1228.79</v>
      </c>
      <c r="K12" s="25">
        <f t="shared" si="2"/>
        <v>2227.5099999999993</v>
      </c>
      <c r="L12" s="25">
        <f t="shared" si="2"/>
        <v>2098.6299999999992</v>
      </c>
    </row>
    <row r="13" spans="1:12" x14ac:dyDescent="0.3">
      <c r="B13" s="21" t="s">
        <v>64</v>
      </c>
      <c r="C13" s="23">
        <f>C12/C6</f>
        <v>0.1585845165292509</v>
      </c>
      <c r="D13" s="23">
        <f t="shared" ref="D13:L13" si="3">D12/D6</f>
        <v>0.19616781208329057</v>
      </c>
      <c r="E13" s="23">
        <f t="shared" si="3"/>
        <v>0.23240419841665369</v>
      </c>
      <c r="F13" s="23">
        <f t="shared" si="3"/>
        <v>0.2598487485365315</v>
      </c>
      <c r="G13" s="23">
        <f t="shared" si="3"/>
        <v>0.30711669138486386</v>
      </c>
      <c r="H13" s="23">
        <f t="shared" si="3"/>
        <v>0.32999911770184209</v>
      </c>
      <c r="I13" s="23">
        <f t="shared" si="3"/>
        <v>0.25376265123313163</v>
      </c>
      <c r="J13" s="23">
        <f t="shared" si="3"/>
        <v>0.30963120124176025</v>
      </c>
      <c r="K13" s="23">
        <f t="shared" si="3"/>
        <v>0.34605806292247232</v>
      </c>
      <c r="L13" s="23">
        <f t="shared" si="3"/>
        <v>0.31514604541365882</v>
      </c>
    </row>
    <row r="15" spans="1:12" x14ac:dyDescent="0.3">
      <c r="B15" t="s">
        <v>65</v>
      </c>
      <c r="C15" s="26">
        <f>IFERROR(SUM('[1]Data Sheet'!B23:B24,-'[1]Data Sheet'!B25),0)</f>
        <v>81.029999999999987</v>
      </c>
      <c r="D15" s="26">
        <f>IFERROR(SUM('[1]Data Sheet'!C23:C24,-'[1]Data Sheet'!C25),0)</f>
        <v>75.800000000000011</v>
      </c>
      <c r="E15" s="26">
        <f>IFERROR(SUM('[1]Data Sheet'!D23:D24,-'[1]Data Sheet'!D25),0)</f>
        <v>59.050000000000004</v>
      </c>
      <c r="F15" s="26">
        <f>IFERROR(SUM('[1]Data Sheet'!E23:E24,-'[1]Data Sheet'!E25),0)</f>
        <v>98.32</v>
      </c>
      <c r="G15" s="26">
        <f>IFERROR(SUM('[1]Data Sheet'!F23:F24,-'[1]Data Sheet'!F25),0)</f>
        <v>82.07</v>
      </c>
      <c r="H15" s="26">
        <f>IFERROR(SUM('[1]Data Sheet'!G23:G24,-'[1]Data Sheet'!G25),0)</f>
        <v>34.69</v>
      </c>
      <c r="I15" s="26">
        <f>IFERROR(SUM('[1]Data Sheet'!H23:H24,-'[1]Data Sheet'!H25),0)</f>
        <v>24.970000000000013</v>
      </c>
      <c r="J15" s="26">
        <f>IFERROR(SUM('[1]Data Sheet'!I23:I24,-'[1]Data Sheet'!I25),0)</f>
        <v>107.15999999999998</v>
      </c>
      <c r="K15" s="26">
        <f>IFERROR(SUM('[1]Data Sheet'!J23:J24,-'[1]Data Sheet'!J25),0)</f>
        <v>76.700000000000017</v>
      </c>
      <c r="L15" s="26">
        <f>IFERROR(SUM('[1]Data Sheet'!K23:K24,-'[1]Data Sheet'!K25),0)</f>
        <v>255.77000000000004</v>
      </c>
    </row>
    <row r="16" spans="1:12" x14ac:dyDescent="0.3">
      <c r="B16" s="21" t="s">
        <v>66</v>
      </c>
      <c r="C16" s="23">
        <f>C15/C6</f>
        <v>3.751197855664757E-2</v>
      </c>
      <c r="D16" s="23">
        <f t="shared" ref="D16:L16" si="4">D15/D6</f>
        <v>3.1100625705200537E-2</v>
      </c>
      <c r="E16" s="23">
        <f t="shared" si="4"/>
        <v>2.2464344273209036E-2</v>
      </c>
      <c r="F16" s="23">
        <f t="shared" si="4"/>
        <v>3.4567744974984792E-2</v>
      </c>
      <c r="G16" s="23">
        <f t="shared" si="4"/>
        <v>2.5200278808982068E-2</v>
      </c>
      <c r="H16" s="23">
        <f t="shared" si="4"/>
        <v>1.1335897444276335E-2</v>
      </c>
      <c r="I16" s="23">
        <f t="shared" si="4"/>
        <v>9.0776233131689213E-3</v>
      </c>
      <c r="J16" s="23">
        <f t="shared" si="4"/>
        <v>2.7002237587437253E-2</v>
      </c>
      <c r="K16" s="23">
        <f t="shared" si="4"/>
        <v>1.1915840299775823E-2</v>
      </c>
      <c r="L16" s="23">
        <f t="shared" si="4"/>
        <v>3.8408344508299018E-2</v>
      </c>
    </row>
    <row r="18" spans="2:12" x14ac:dyDescent="0.3">
      <c r="B18" s="24" t="s">
        <v>28</v>
      </c>
      <c r="C18" s="25">
        <f t="shared" ref="C18:L18" si="5">C12-C15</f>
        <v>261.5300000000002</v>
      </c>
      <c r="D18" s="25">
        <f t="shared" si="5"/>
        <v>402.30999999999989</v>
      </c>
      <c r="E18" s="25">
        <f t="shared" si="5"/>
        <v>551.85000000000014</v>
      </c>
      <c r="F18" s="25">
        <f t="shared" si="5"/>
        <v>640.76000000000045</v>
      </c>
      <c r="G18" s="25">
        <f t="shared" si="5"/>
        <v>918.12000000000012</v>
      </c>
      <c r="H18" s="25">
        <f t="shared" si="5"/>
        <v>975.17000000000007</v>
      </c>
      <c r="I18" s="25">
        <f t="shared" si="5"/>
        <v>673.05999999999972</v>
      </c>
      <c r="J18" s="25">
        <f t="shared" si="5"/>
        <v>1121.6299999999999</v>
      </c>
      <c r="K18" s="25">
        <f t="shared" si="5"/>
        <v>2150.8099999999995</v>
      </c>
      <c r="L18" s="25">
        <f t="shared" si="5"/>
        <v>1842.8599999999992</v>
      </c>
    </row>
    <row r="19" spans="2:12" x14ac:dyDescent="0.3">
      <c r="B19" s="21" t="s">
        <v>67</v>
      </c>
      <c r="C19" s="23">
        <f>C18/C6</f>
        <v>0.12107253797260334</v>
      </c>
      <c r="D19" s="23">
        <f t="shared" ref="D19:L19" si="6">D18/D6</f>
        <v>0.16506718637809001</v>
      </c>
      <c r="E19" s="23">
        <f t="shared" si="6"/>
        <v>0.20993985414344468</v>
      </c>
      <c r="F19" s="23">
        <f t="shared" si="6"/>
        <v>0.22528100356154671</v>
      </c>
      <c r="G19" s="23">
        <f t="shared" si="6"/>
        <v>0.28191641257588185</v>
      </c>
      <c r="H19" s="23">
        <f t="shared" si="6"/>
        <v>0.31866322025756572</v>
      </c>
      <c r="I19" s="23">
        <f t="shared" si="6"/>
        <v>0.24468502791996269</v>
      </c>
      <c r="J19" s="23">
        <f t="shared" si="6"/>
        <v>0.28262896365432294</v>
      </c>
      <c r="K19" s="23">
        <f t="shared" si="6"/>
        <v>0.33414222262269655</v>
      </c>
      <c r="L19" s="23">
        <f t="shared" si="6"/>
        <v>0.27673770090535982</v>
      </c>
    </row>
    <row r="21" spans="2:12" x14ac:dyDescent="0.3">
      <c r="B21" t="s">
        <v>22</v>
      </c>
      <c r="C21" s="26">
        <f>IFERROR('[1]Data Sheet'!B27,0)</f>
        <v>205.35</v>
      </c>
      <c r="D21" s="26">
        <f>IFERROR('[1]Data Sheet'!C27,0)</f>
        <v>195.23</v>
      </c>
      <c r="E21" s="26">
        <f>IFERROR('[1]Data Sheet'!D27,0)</f>
        <v>187.64</v>
      </c>
      <c r="F21" s="26">
        <f>IFERROR('[1]Data Sheet'!E27,0)</f>
        <v>143.02000000000001</v>
      </c>
      <c r="G21" s="26">
        <f>IFERROR('[1]Data Sheet'!F27,0)</f>
        <v>124.4</v>
      </c>
      <c r="H21" s="26">
        <f>IFERROR('[1]Data Sheet'!G27,0)</f>
        <v>129.30000000000001</v>
      </c>
      <c r="I21" s="26">
        <f>IFERROR('[1]Data Sheet'!H27,0)</f>
        <v>128.6</v>
      </c>
      <c r="J21" s="26">
        <f>IFERROR('[1]Data Sheet'!I27,0)</f>
        <v>131.88</v>
      </c>
      <c r="K21" s="26">
        <f>IFERROR('[1]Data Sheet'!J27,0)</f>
        <v>222.48</v>
      </c>
      <c r="L21" s="26">
        <f>IFERROR('[1]Data Sheet'!K27,0)</f>
        <v>208.08</v>
      </c>
    </row>
    <row r="22" spans="2:12" x14ac:dyDescent="0.3">
      <c r="B22" s="21" t="s">
        <v>68</v>
      </c>
      <c r="C22" s="23">
        <f>C21/C6</f>
        <v>9.506460319150413E-2</v>
      </c>
      <c r="D22" s="23">
        <f t="shared" ref="D22:L22" si="7">D21/D6</f>
        <v>8.0102574623038256E-2</v>
      </c>
      <c r="E22" s="23">
        <f t="shared" si="7"/>
        <v>7.1383735129973633E-2</v>
      </c>
      <c r="F22" s="23">
        <f t="shared" si="7"/>
        <v>5.0283552545995987E-2</v>
      </c>
      <c r="G22" s="23">
        <f t="shared" si="7"/>
        <v>3.8198058777109418E-2</v>
      </c>
      <c r="H22" s="23">
        <f t="shared" si="7"/>
        <v>4.2252278453298653E-2</v>
      </c>
      <c r="I22" s="23">
        <f t="shared" si="7"/>
        <v>4.675139599813867E-2</v>
      </c>
      <c r="J22" s="23">
        <f t="shared" si="7"/>
        <v>3.3231197210071159E-2</v>
      </c>
      <c r="K22" s="23">
        <f t="shared" si="7"/>
        <v>3.4563704692231086E-2</v>
      </c>
      <c r="L22" s="23">
        <f t="shared" si="7"/>
        <v>3.1246855867720445E-2</v>
      </c>
    </row>
    <row r="24" spans="2:12" x14ac:dyDescent="0.3">
      <c r="B24" t="s">
        <v>21</v>
      </c>
      <c r="C24" s="26">
        <f>IFERROR('[1]Data Sheet'!B26,0)</f>
        <v>115.76</v>
      </c>
      <c r="D24" s="26">
        <f>IFERROR('[1]Data Sheet'!C26,0)</f>
        <v>118.29</v>
      </c>
      <c r="E24" s="26">
        <f>IFERROR('[1]Data Sheet'!D26,0)</f>
        <v>120.68</v>
      </c>
      <c r="F24" s="26">
        <f>IFERROR('[1]Data Sheet'!E26,0)</f>
        <v>122.32</v>
      </c>
      <c r="G24" s="26">
        <f>IFERROR('[1]Data Sheet'!F26,0)</f>
        <v>127.68</v>
      </c>
      <c r="H24" s="26">
        <f>IFERROR('[1]Data Sheet'!G26,0)</f>
        <v>149.47999999999999</v>
      </c>
      <c r="I24" s="26">
        <f>IFERROR('[1]Data Sheet'!H26,0)</f>
        <v>174.25</v>
      </c>
      <c r="J24" s="26">
        <f>IFERROR('[1]Data Sheet'!I26,0)</f>
        <v>193.05</v>
      </c>
      <c r="K24" s="26">
        <f>IFERROR('[1]Data Sheet'!J26,0)</f>
        <v>281.85000000000002</v>
      </c>
      <c r="L24" s="26">
        <f>IFERROR('[1]Data Sheet'!K26,0)</f>
        <v>310.10000000000002</v>
      </c>
    </row>
    <row r="25" spans="2:12" x14ac:dyDescent="0.3">
      <c r="B25" s="21" t="s">
        <v>69</v>
      </c>
      <c r="C25" s="23">
        <f>C24/C6</f>
        <v>5.3589863479174674E-2</v>
      </c>
      <c r="D25" s="23">
        <f t="shared" ref="D25:L25" si="8">D24/D6</f>
        <v>4.853420863678326E-2</v>
      </c>
      <c r="E25" s="23">
        <f t="shared" si="8"/>
        <v>4.5910195882995199E-2</v>
      </c>
      <c r="F25" s="23">
        <f t="shared" si="8"/>
        <v>4.3005762462776036E-2</v>
      </c>
      <c r="G25" s="23">
        <f t="shared" si="8"/>
        <v>3.9205210166087863E-2</v>
      </c>
      <c r="H25" s="23">
        <f t="shared" si="8"/>
        <v>4.8846640241292205E-2</v>
      </c>
      <c r="I25" s="23">
        <f t="shared" si="8"/>
        <v>6.334705095393206E-2</v>
      </c>
      <c r="J25" s="23">
        <f t="shared" si="8"/>
        <v>4.8644848509282967E-2</v>
      </c>
      <c r="K25" s="23">
        <f t="shared" si="8"/>
        <v>4.3787217581379601E-2</v>
      </c>
      <c r="L25" s="23">
        <f t="shared" si="8"/>
        <v>4.6566945427624525E-2</v>
      </c>
    </row>
    <row r="27" spans="2:12" x14ac:dyDescent="0.3">
      <c r="B27" s="24" t="s">
        <v>70</v>
      </c>
      <c r="C27" s="25">
        <f>IFERROR(C18-SUM(C24,C21),0)</f>
        <v>-59.579999999999814</v>
      </c>
      <c r="D27" s="25">
        <f t="shared" ref="D27:L27" si="9">IFERROR(D18-SUM(D24,D21),0)</f>
        <v>88.789999999999907</v>
      </c>
      <c r="E27" s="25">
        <f t="shared" si="9"/>
        <v>243.53000000000014</v>
      </c>
      <c r="F27" s="25">
        <f t="shared" si="9"/>
        <v>375.42000000000041</v>
      </c>
      <c r="G27" s="25">
        <f t="shared" si="9"/>
        <v>666.04000000000008</v>
      </c>
      <c r="H27" s="25">
        <f t="shared" si="9"/>
        <v>696.3900000000001</v>
      </c>
      <c r="I27" s="27">
        <f t="shared" si="9"/>
        <v>370.2099999999997</v>
      </c>
      <c r="J27" s="27">
        <f t="shared" si="9"/>
        <v>796.69999999999982</v>
      </c>
      <c r="K27" s="27">
        <f t="shared" si="9"/>
        <v>1646.4799999999996</v>
      </c>
      <c r="L27" s="27">
        <f t="shared" si="9"/>
        <v>1324.6799999999992</v>
      </c>
    </row>
    <row r="28" spans="2:12" x14ac:dyDescent="0.3">
      <c r="B28" s="21" t="s">
        <v>71</v>
      </c>
      <c r="C28" s="23">
        <f>C27/C6</f>
        <v>-2.7581928698075475E-2</v>
      </c>
      <c r="D28" s="23">
        <f t="shared" ref="D28:L28" si="10">D27/D6</f>
        <v>3.6430403118268499E-2</v>
      </c>
      <c r="E28" s="23">
        <f t="shared" si="10"/>
        <v>9.2645923130475857E-2</v>
      </c>
      <c r="F28" s="23">
        <f t="shared" si="10"/>
        <v>0.13199168855277468</v>
      </c>
      <c r="G28" s="23">
        <f t="shared" si="10"/>
        <v>0.20451314363268455</v>
      </c>
      <c r="H28" s="23">
        <f t="shared" si="10"/>
        <v>0.22756430156297489</v>
      </c>
      <c r="I28" s="23">
        <f t="shared" si="10"/>
        <v>0.13458658096789194</v>
      </c>
      <c r="J28" s="23">
        <f t="shared" si="10"/>
        <v>0.2007529179349688</v>
      </c>
      <c r="K28" s="23">
        <f t="shared" si="10"/>
        <v>0.25579130034908587</v>
      </c>
      <c r="L28" s="23">
        <f t="shared" si="10"/>
        <v>0.19892389961001486</v>
      </c>
    </row>
    <row r="30" spans="2:12" x14ac:dyDescent="0.3">
      <c r="B30" t="s">
        <v>24</v>
      </c>
      <c r="C30" s="20">
        <f>IFERROR('[1]Data Sheet'!B29,0)</f>
        <v>-41.16</v>
      </c>
      <c r="D30" s="20">
        <f>IFERROR('[1]Data Sheet'!C29,0)</f>
        <v>28.05</v>
      </c>
      <c r="E30" s="20">
        <f>IFERROR('[1]Data Sheet'!D29,0)</f>
        <v>69.040000000000006</v>
      </c>
      <c r="F30" s="20">
        <f>IFERROR('[1]Data Sheet'!E29,0)</f>
        <v>114.84</v>
      </c>
      <c r="G30" s="20">
        <f>IFERROR('[1]Data Sheet'!F29,0)</f>
        <v>241.1</v>
      </c>
      <c r="H30" s="20">
        <f>IFERROR('[1]Data Sheet'!G29,0)</f>
        <v>227.98</v>
      </c>
      <c r="I30" s="20">
        <f>IFERROR('[1]Data Sheet'!H29,0)</f>
        <v>133.49</v>
      </c>
      <c r="J30" s="20">
        <f>IFERROR('[1]Data Sheet'!I29,0)</f>
        <v>252.88</v>
      </c>
      <c r="K30" s="20">
        <f>IFERROR('[1]Data Sheet'!J29,0)</f>
        <v>438.26</v>
      </c>
      <c r="L30" s="20">
        <f>IFERROR('[1]Data Sheet'!K29,0)</f>
        <v>191.48</v>
      </c>
    </row>
    <row r="31" spans="2:12" x14ac:dyDescent="0.3">
      <c r="B31" s="21" t="s">
        <v>27</v>
      </c>
      <c r="C31" s="23">
        <f>C30/C27</f>
        <v>0.69083585095669897</v>
      </c>
      <c r="D31" s="23">
        <f t="shared" ref="D31:L31" si="11">D30/D27</f>
        <v>0.31591395427413033</v>
      </c>
      <c r="E31" s="23">
        <f t="shared" si="11"/>
        <v>0.28349689976594245</v>
      </c>
      <c r="F31" s="23">
        <f t="shared" si="11"/>
        <v>0.30589739491769186</v>
      </c>
      <c r="G31" s="23">
        <f t="shared" si="11"/>
        <v>0.36199027085460328</v>
      </c>
      <c r="H31" s="23">
        <f t="shared" si="11"/>
        <v>0.32737402892057604</v>
      </c>
      <c r="I31" s="23">
        <f t="shared" si="11"/>
        <v>0.36057913076362097</v>
      </c>
      <c r="J31" s="23">
        <f t="shared" si="11"/>
        <v>0.31740931341784867</v>
      </c>
      <c r="K31" s="23">
        <f t="shared" si="11"/>
        <v>0.26617997181866776</v>
      </c>
      <c r="L31" s="23">
        <f t="shared" si="11"/>
        <v>0.14454811728115477</v>
      </c>
    </row>
    <row r="33" spans="2:12" x14ac:dyDescent="0.3">
      <c r="B33" s="24" t="s">
        <v>72</v>
      </c>
      <c r="C33" s="27">
        <f>IFERROR(C27-C30,0)</f>
        <v>-18.419999999999817</v>
      </c>
      <c r="D33" s="27">
        <f t="shared" ref="D33:L33" si="12">IFERROR(D27-D30,0)</f>
        <v>60.73999999999991</v>
      </c>
      <c r="E33" s="27">
        <f t="shared" si="12"/>
        <v>174.49000000000012</v>
      </c>
      <c r="F33" s="27">
        <f t="shared" si="12"/>
        <v>260.58000000000038</v>
      </c>
      <c r="G33" s="27">
        <f t="shared" si="12"/>
        <v>424.94000000000005</v>
      </c>
      <c r="H33" s="27">
        <f t="shared" si="12"/>
        <v>468.41000000000008</v>
      </c>
      <c r="I33" s="27">
        <f t="shared" si="12"/>
        <v>236.71999999999969</v>
      </c>
      <c r="J33" s="27">
        <f t="shared" si="12"/>
        <v>543.81999999999982</v>
      </c>
      <c r="K33" s="27">
        <f t="shared" si="12"/>
        <v>1208.2199999999996</v>
      </c>
      <c r="L33" s="27">
        <f t="shared" si="12"/>
        <v>1133.1999999999991</v>
      </c>
    </row>
    <row r="34" spans="2:12" x14ac:dyDescent="0.3">
      <c r="B34" s="21" t="s">
        <v>73</v>
      </c>
      <c r="C34" s="23">
        <f>C33/C6</f>
        <v>-8.5273435149135074E-3</v>
      </c>
      <c r="D34" s="23">
        <f t="shared" ref="D34:L34" si="13">D33/D6</f>
        <v>2.4921530413375692E-2</v>
      </c>
      <c r="E34" s="23">
        <f t="shared" si="13"/>
        <v>6.6381091147032126E-2</v>
      </c>
      <c r="F34" s="23">
        <f t="shared" si="13"/>
        <v>9.1615774873693559E-2</v>
      </c>
      <c r="G34" s="23">
        <f t="shared" si="13"/>
        <v>0.13048137537576268</v>
      </c>
      <c r="H34" s="23">
        <f t="shared" si="13"/>
        <v>0.15306565932180685</v>
      </c>
      <c r="I34" s="23">
        <f t="shared" si="13"/>
        <v>8.6057468590041777E-2</v>
      </c>
      <c r="J34" s="23">
        <f t="shared" si="13"/>
        <v>0.13703207208660065</v>
      </c>
      <c r="K34" s="23">
        <f t="shared" si="13"/>
        <v>0.1877047792307058</v>
      </c>
      <c r="L34" s="23">
        <f t="shared" si="13"/>
        <v>0.17016982443916176</v>
      </c>
    </row>
    <row r="36" spans="2:12" x14ac:dyDescent="0.3">
      <c r="B36" t="s">
        <v>74</v>
      </c>
      <c r="C36">
        <f>IFERROR('[1]Data Sheet'!B93,0)</f>
        <v>13.66</v>
      </c>
      <c r="D36">
        <f>IFERROR('[1]Data Sheet'!C93,0)</f>
        <v>14.85</v>
      </c>
      <c r="E36">
        <f>IFERROR('[1]Data Sheet'!D93,0)</f>
        <v>15.6</v>
      </c>
      <c r="F36">
        <f>IFERROR('[1]Data Sheet'!E93,0)</f>
        <v>17.55</v>
      </c>
      <c r="G36">
        <f>IFERROR('[1]Data Sheet'!F93,0)</f>
        <v>17.82</v>
      </c>
      <c r="H36">
        <f>IFERROR('[1]Data Sheet'!G93,0)</f>
        <v>17.82</v>
      </c>
      <c r="I36">
        <f>IFERROR('[1]Data Sheet'!H93,0)</f>
        <v>16.940000000000001</v>
      </c>
      <c r="J36">
        <f>IFERROR('[1]Data Sheet'!I93,0)</f>
        <v>16.940000000000001</v>
      </c>
      <c r="K36">
        <f>IFERROR('[1]Data Sheet'!J93,0)</f>
        <v>16.940000000000001</v>
      </c>
      <c r="L36">
        <f>IFERROR('[1]Data Sheet'!K93,0)</f>
        <v>16.940000000000001</v>
      </c>
    </row>
    <row r="37" spans="2:12" x14ac:dyDescent="0.3"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2:12" x14ac:dyDescent="0.3">
      <c r="B38" t="s">
        <v>75</v>
      </c>
      <c r="C38" s="26">
        <f>IFERROR(C33/C36,0)</f>
        <v>-1.3484626647144815</v>
      </c>
      <c r="D38" s="26">
        <f t="shared" ref="D38:L38" si="14">IFERROR(D33/D36,0)</f>
        <v>4.0902356902356845</v>
      </c>
      <c r="E38" s="26">
        <f t="shared" si="14"/>
        <v>11.185256410256418</v>
      </c>
      <c r="F38" s="26">
        <f t="shared" si="14"/>
        <v>14.84786324786327</v>
      </c>
      <c r="G38" s="26">
        <f t="shared" si="14"/>
        <v>23.846240179573517</v>
      </c>
      <c r="H38" s="26">
        <f t="shared" si="14"/>
        <v>26.285634118967458</v>
      </c>
      <c r="I38" s="26">
        <f t="shared" si="14"/>
        <v>13.974025974025954</v>
      </c>
      <c r="J38" s="26">
        <f t="shared" si="14"/>
        <v>32.102715466351817</v>
      </c>
      <c r="K38" s="26">
        <f t="shared" si="14"/>
        <v>71.323494687131017</v>
      </c>
      <c r="L38" s="26">
        <f t="shared" si="14"/>
        <v>66.894923258559572</v>
      </c>
    </row>
    <row r="39" spans="2:12" x14ac:dyDescent="0.3">
      <c r="B39" s="21" t="s">
        <v>76</v>
      </c>
      <c r="C39" s="23"/>
      <c r="D39" s="23">
        <f>IFERROR(D38/C38-1,0)</f>
        <v>-4.033258389175896</v>
      </c>
      <c r="E39" s="23">
        <f t="shared" ref="E39:L39" si="15">IFERROR(E38/D38-1,0)</f>
        <v>1.734623933031084</v>
      </c>
      <c r="F39" s="23">
        <f t="shared" si="15"/>
        <v>0.32744951955221979</v>
      </c>
      <c r="G39" s="23">
        <f t="shared" si="15"/>
        <v>0.60603851082782478</v>
      </c>
      <c r="H39" s="23">
        <f t="shared" si="15"/>
        <v>0.10229679484162468</v>
      </c>
      <c r="I39" s="23">
        <f t="shared" si="15"/>
        <v>-0.46837782528737126</v>
      </c>
      <c r="J39" s="23">
        <f t="shared" si="15"/>
        <v>1.2973132815140276</v>
      </c>
      <c r="K39" s="23">
        <f t="shared" si="15"/>
        <v>1.2217277775734616</v>
      </c>
      <c r="L39" s="23">
        <f t="shared" si="15"/>
        <v>-6.2091340980947485E-2</v>
      </c>
    </row>
    <row r="41" spans="2:12" x14ac:dyDescent="0.3">
      <c r="B41" t="s">
        <v>77</v>
      </c>
      <c r="C41" s="28">
        <f>IFERROR('[1]Data Sheet'!B31/HistoricalFS!C36,0)</f>
        <v>0</v>
      </c>
      <c r="D41" s="28">
        <f>IFERROR('[1]Data Sheet'!C31/HistoricalFS!D36,0)</f>
        <v>0.5003367003367003</v>
      </c>
      <c r="E41" s="20">
        <f>IFERROR('[1]Data Sheet'!D31/HistoricalFS!E36,0)</f>
        <v>1.4993589743589744</v>
      </c>
      <c r="F41" s="20">
        <f>IFERROR('[1]Data Sheet'!E31/HistoricalFS!F36,0)</f>
        <v>2.5002849002849001</v>
      </c>
      <c r="G41" s="20">
        <f>IFERROR('[1]Data Sheet'!F31/HistoricalFS!G36,0)</f>
        <v>3.5005611672278341</v>
      </c>
      <c r="H41" s="20">
        <f>IFERROR('[1]Data Sheet'!G31/HistoricalFS!H36,0)</f>
        <v>4.0011223344556672</v>
      </c>
      <c r="I41" s="20">
        <f>IFERROR('[1]Data Sheet'!H31/HistoricalFS!I36,0)</f>
        <v>4</v>
      </c>
      <c r="J41" s="20">
        <f>IFERROR('[1]Data Sheet'!I31/HistoricalFS!J36,0)</f>
        <v>5.5</v>
      </c>
      <c r="K41" s="20">
        <f>IFERROR('[1]Data Sheet'!J31/HistoricalFS!K36,0)</f>
        <v>8</v>
      </c>
      <c r="L41" s="20">
        <f>IFERROR('[1]Data Sheet'!K31/HistoricalFS!L36,0)</f>
        <v>8.5</v>
      </c>
    </row>
    <row r="42" spans="2:12" x14ac:dyDescent="0.3">
      <c r="B42" s="21" t="s">
        <v>78</v>
      </c>
      <c r="C42" s="23">
        <f>IFERROR(C41/C38,0)</f>
        <v>0</v>
      </c>
      <c r="D42" s="23">
        <f t="shared" ref="D42:L42" si="16">IFERROR(D41/D38,0)</f>
        <v>0.12232466249588426</v>
      </c>
      <c r="E42" s="23">
        <f t="shared" si="16"/>
        <v>0.13404779643532572</v>
      </c>
      <c r="F42" s="23">
        <f t="shared" si="16"/>
        <v>0.1683935835444007</v>
      </c>
      <c r="G42" s="23">
        <f t="shared" si="16"/>
        <v>0.14679719489810325</v>
      </c>
      <c r="H42" s="23">
        <f t="shared" si="16"/>
        <v>0.15221707478491059</v>
      </c>
      <c r="I42" s="23">
        <f t="shared" si="16"/>
        <v>0.28624535315985172</v>
      </c>
      <c r="J42" s="23">
        <f t="shared" si="16"/>
        <v>0.17132507079548387</v>
      </c>
      <c r="K42" s="23">
        <f t="shared" si="16"/>
        <v>0.11216500306235624</v>
      </c>
      <c r="L42" s="23">
        <f t="shared" si="16"/>
        <v>0.12706494881750804</v>
      </c>
    </row>
    <row r="44" spans="2:12" x14ac:dyDescent="0.3">
      <c r="B44" t="s">
        <v>79</v>
      </c>
      <c r="C44" s="29">
        <f>IFERROR(IF(C38&gt;C41,1-C42,0),0)</f>
        <v>0</v>
      </c>
      <c r="D44" s="29">
        <f t="shared" ref="D44:L44" si="17">IFERROR(IF(D38&gt;D41,1-D42,0),0)</f>
        <v>0.87767533750411575</v>
      </c>
      <c r="E44" s="29">
        <f t="shared" si="17"/>
        <v>0.86595220356467428</v>
      </c>
      <c r="F44" s="29">
        <f t="shared" si="17"/>
        <v>0.8316064164555993</v>
      </c>
      <c r="G44" s="29">
        <f t="shared" si="17"/>
        <v>0.85320280510189672</v>
      </c>
      <c r="H44" s="29">
        <f t="shared" si="17"/>
        <v>0.84778292521508947</v>
      </c>
      <c r="I44" s="29">
        <f t="shared" si="17"/>
        <v>0.71375464684014833</v>
      </c>
      <c r="J44" s="29">
        <f t="shared" si="17"/>
        <v>0.82867492920451613</v>
      </c>
      <c r="K44" s="29">
        <f t="shared" si="17"/>
        <v>0.88783499693764378</v>
      </c>
      <c r="L44" s="29">
        <f t="shared" si="17"/>
        <v>0.87293505118249193</v>
      </c>
    </row>
    <row r="66" spans="2:12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70" spans="2:12" x14ac:dyDescent="0.3"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2" spans="2:12" x14ac:dyDescent="0.3"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4" spans="2:12" x14ac:dyDescent="0.3"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6" spans="2:12" x14ac:dyDescent="0.3">
      <c r="B76" s="30"/>
      <c r="C76" s="32"/>
      <c r="D76" s="32"/>
      <c r="E76" s="32"/>
      <c r="F76" s="32"/>
      <c r="G76" s="32"/>
      <c r="H76" s="32"/>
      <c r="I76" s="32"/>
      <c r="J76" s="32"/>
      <c r="K76" s="32"/>
      <c r="L76" s="32"/>
    </row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FF3A-97BC-472D-9840-44886615A1B6}">
  <dimension ref="B2:L47"/>
  <sheetViews>
    <sheetView workbookViewId="0">
      <selection activeCell="L28" sqref="L28"/>
    </sheetView>
  </sheetViews>
  <sheetFormatPr defaultRowHeight="14.4" x14ac:dyDescent="0.3"/>
  <cols>
    <col min="2" max="2" width="29.6640625" customWidth="1"/>
    <col min="10" max="10" width="8.88671875" customWidth="1"/>
  </cols>
  <sheetData>
    <row r="2" spans="2:11" x14ac:dyDescent="0.3">
      <c r="B2" s="14" t="s">
        <v>81</v>
      </c>
      <c r="C2" s="33"/>
      <c r="D2" s="33"/>
      <c r="E2" s="33"/>
      <c r="F2" s="15">
        <v>43525</v>
      </c>
      <c r="G2" s="15">
        <v>43891</v>
      </c>
      <c r="H2" s="15">
        <v>44256</v>
      </c>
      <c r="I2" s="15">
        <v>44621</v>
      </c>
      <c r="J2" s="15">
        <v>44986</v>
      </c>
      <c r="K2" s="15">
        <v>45352</v>
      </c>
    </row>
    <row r="4" spans="2:11" x14ac:dyDescent="0.3">
      <c r="B4" t="s">
        <v>80</v>
      </c>
      <c r="F4" s="47">
        <v>1266.78</v>
      </c>
      <c r="G4" s="47">
        <v>1188.98</v>
      </c>
      <c r="H4" s="47">
        <v>1303.03</v>
      </c>
      <c r="I4" s="47">
        <v>1808.94</v>
      </c>
      <c r="J4" s="47">
        <v>2085.44</v>
      </c>
      <c r="K4" s="47">
        <v>2302.13</v>
      </c>
    </row>
    <row r="5" spans="2:11" x14ac:dyDescent="0.3">
      <c r="F5" s="47"/>
      <c r="G5" s="47"/>
      <c r="H5" s="47"/>
      <c r="I5" s="47"/>
      <c r="J5" s="47"/>
      <c r="K5" s="47"/>
    </row>
    <row r="6" spans="2:11" x14ac:dyDescent="0.3">
      <c r="B6" t="s">
        <v>82</v>
      </c>
      <c r="F6" s="47">
        <v>817.64</v>
      </c>
      <c r="G6" s="47">
        <v>940.04</v>
      </c>
      <c r="H6" s="47">
        <v>1047.55</v>
      </c>
      <c r="I6" s="47">
        <v>1208.17</v>
      </c>
      <c r="J6" s="47">
        <v>1424.62</v>
      </c>
      <c r="K6" s="47">
        <v>1251.08</v>
      </c>
    </row>
    <row r="8" spans="2:11" ht="15" thickBot="1" x14ac:dyDescent="0.35">
      <c r="B8" s="37" t="s">
        <v>83</v>
      </c>
      <c r="C8" s="37"/>
      <c r="D8" s="37"/>
      <c r="E8" s="37"/>
      <c r="F8" s="48">
        <f>F4-F6</f>
        <v>449.14</v>
      </c>
      <c r="G8" s="38">
        <f>G4-G6</f>
        <v>248.94000000000005</v>
      </c>
      <c r="H8" s="38">
        <f>H4-H6</f>
        <v>255.48000000000002</v>
      </c>
      <c r="I8" s="38">
        <f>I4-I6</f>
        <v>600.77</v>
      </c>
      <c r="J8" s="38">
        <f>J4-J6</f>
        <v>660.82000000000016</v>
      </c>
      <c r="K8" s="38">
        <f>K4-K6</f>
        <v>1051.0500000000002</v>
      </c>
    </row>
    <row r="9" spans="2:11" x14ac:dyDescent="0.3">
      <c r="G9" s="36"/>
      <c r="H9" s="36"/>
      <c r="I9" s="36"/>
      <c r="J9" s="36"/>
      <c r="K9" s="36"/>
    </row>
    <row r="10" spans="2:11" ht="15" thickBot="1" x14ac:dyDescent="0.35">
      <c r="B10" s="37" t="s">
        <v>84</v>
      </c>
      <c r="C10" s="37"/>
      <c r="D10" s="37"/>
      <c r="E10" s="37"/>
      <c r="F10" s="37"/>
      <c r="G10" s="38">
        <v>3554.39</v>
      </c>
      <c r="H10" s="38">
        <v>4731.5600000000004</v>
      </c>
      <c r="I10" s="38">
        <v>5307.58</v>
      </c>
      <c r="J10" s="38">
        <v>5715.8</v>
      </c>
      <c r="K10" s="38">
        <v>5600</v>
      </c>
    </row>
    <row r="12" spans="2:11" x14ac:dyDescent="0.3">
      <c r="B12" s="30" t="s">
        <v>85</v>
      </c>
      <c r="C12" s="30"/>
      <c r="D12" s="30"/>
      <c r="E12" s="30"/>
      <c r="F12" s="30"/>
      <c r="G12" s="39">
        <f>G8+G10</f>
        <v>3803.33</v>
      </c>
      <c r="H12" s="39">
        <f t="shared" ref="H12:K12" si="0">H8+H10</f>
        <v>4987.0400000000009</v>
      </c>
      <c r="I12" s="39">
        <f t="shared" si="0"/>
        <v>5908.35</v>
      </c>
      <c r="J12" s="39">
        <f t="shared" si="0"/>
        <v>6376.6200000000008</v>
      </c>
      <c r="K12" s="39">
        <f t="shared" si="0"/>
        <v>6651.05</v>
      </c>
    </row>
    <row r="13" spans="2:11" x14ac:dyDescent="0.3">
      <c r="B13" s="30" t="s">
        <v>97</v>
      </c>
      <c r="C13" s="30"/>
      <c r="D13" s="30"/>
      <c r="E13" s="30"/>
      <c r="F13" s="30"/>
      <c r="G13" s="39">
        <f>SUM(HistoricalFS!H27+HistoricalFS!H21)*(1-HistoricalFS!H31)</f>
        <v>555.38053806056962</v>
      </c>
      <c r="H13" s="39">
        <f>SUM(HistoricalFS!I27+HistoricalFS!I21)*(1-HistoricalFS!I31)</f>
        <v>318.94952378379804</v>
      </c>
      <c r="I13" s="39">
        <f>SUM(HistoricalFS!J27+HistoricalFS!J21)*(1-HistoricalFS!J31)</f>
        <v>633.84005974645402</v>
      </c>
      <c r="J13" s="39">
        <f>SUM(HistoricalFS!K27+HistoricalFS!K21)*(1-HistoricalFS!K31)</f>
        <v>1371.4802798697824</v>
      </c>
      <c r="K13" s="39">
        <f>SUM(HistoricalFS!L27+HistoricalFS!L21)*(1-HistoricalFS!L31)</f>
        <v>1311.2024277561363</v>
      </c>
    </row>
    <row r="15" spans="2:11" ht="15" thickBot="1" x14ac:dyDescent="0.35">
      <c r="B15" s="37" t="s">
        <v>87</v>
      </c>
      <c r="C15" s="40"/>
      <c r="D15" s="40"/>
      <c r="E15" s="40"/>
      <c r="F15" s="40"/>
      <c r="G15" s="41">
        <f>G13/G12</f>
        <v>0.14602480932776532</v>
      </c>
      <c r="H15" s="41">
        <f t="shared" ref="H15:K15" si="1">H13/H12</f>
        <v>6.3955677873808514E-2</v>
      </c>
      <c r="I15" s="41">
        <f t="shared" si="1"/>
        <v>0.10727869197770172</v>
      </c>
      <c r="J15" s="41">
        <f t="shared" si="1"/>
        <v>0.21507950605019308</v>
      </c>
      <c r="K15" s="41">
        <f t="shared" si="1"/>
        <v>0.19714216969593318</v>
      </c>
    </row>
    <row r="17" spans="2:12" x14ac:dyDescent="0.3">
      <c r="B17" s="14" t="s">
        <v>88</v>
      </c>
      <c r="C17" s="33"/>
      <c r="D17" s="33"/>
      <c r="E17" s="33"/>
      <c r="F17" s="33"/>
      <c r="G17" s="15">
        <f>G2</f>
        <v>43891</v>
      </c>
      <c r="H17" s="15">
        <f t="shared" ref="H17:K17" si="2">H2</f>
        <v>44256</v>
      </c>
      <c r="I17" s="15">
        <f t="shared" si="2"/>
        <v>44621</v>
      </c>
      <c r="J17" s="15">
        <f t="shared" si="2"/>
        <v>44986</v>
      </c>
      <c r="K17" s="15">
        <f t="shared" si="2"/>
        <v>45352</v>
      </c>
    </row>
    <row r="19" spans="2:12" x14ac:dyDescent="0.3">
      <c r="B19" s="34" t="s">
        <v>89</v>
      </c>
      <c r="C19" s="34"/>
      <c r="D19" s="34"/>
      <c r="E19" s="34"/>
      <c r="F19" s="34"/>
      <c r="G19" s="35">
        <f>-SUM(C47)</f>
        <v>720</v>
      </c>
      <c r="H19" s="35">
        <f>-SUM(D47)</f>
        <v>1171</v>
      </c>
      <c r="I19" s="35">
        <f t="shared" ref="H19:K19" si="3">-SUM(E47)</f>
        <v>826</v>
      </c>
      <c r="J19" s="35">
        <f t="shared" si="3"/>
        <v>211</v>
      </c>
      <c r="K19" s="35">
        <f t="shared" si="3"/>
        <v>236</v>
      </c>
    </row>
    <row r="20" spans="2:12" x14ac:dyDescent="0.3">
      <c r="B20" s="34" t="s">
        <v>90</v>
      </c>
      <c r="C20" s="34"/>
      <c r="D20" s="34"/>
      <c r="E20" s="34"/>
      <c r="F20" s="34"/>
      <c r="G20" s="35">
        <f>(G8-F8)</f>
        <v>-200.19999999999993</v>
      </c>
      <c r="H20" s="35">
        <f>(H8-G8)</f>
        <v>6.5399999999999636</v>
      </c>
      <c r="I20" s="35">
        <f t="shared" ref="I20:K20" si="4">(I8-H8)</f>
        <v>345.28999999999996</v>
      </c>
      <c r="J20" s="35">
        <f t="shared" si="4"/>
        <v>60.050000000000182</v>
      </c>
      <c r="K20" s="35">
        <f t="shared" si="4"/>
        <v>390.23</v>
      </c>
    </row>
    <row r="21" spans="2:12" x14ac:dyDescent="0.3">
      <c r="B21" s="34"/>
      <c r="C21" s="34"/>
      <c r="D21" s="34"/>
      <c r="E21" s="34"/>
      <c r="F21" s="34"/>
      <c r="G21" s="35"/>
      <c r="H21" s="35"/>
      <c r="I21" s="35"/>
      <c r="J21" s="35"/>
      <c r="K21" s="35"/>
    </row>
    <row r="22" spans="2:12" x14ac:dyDescent="0.3">
      <c r="B22" s="34" t="s">
        <v>97</v>
      </c>
      <c r="C22" s="34"/>
      <c r="D22" s="34"/>
      <c r="E22" s="34"/>
      <c r="F22" s="34"/>
      <c r="G22" s="35">
        <f>G13</f>
        <v>555.38053806056962</v>
      </c>
      <c r="H22" s="35">
        <f t="shared" ref="H22:K22" si="5">H13</f>
        <v>318.94952378379804</v>
      </c>
      <c r="I22" s="35">
        <f t="shared" si="5"/>
        <v>633.84005974645402</v>
      </c>
      <c r="J22" s="35">
        <f t="shared" si="5"/>
        <v>1371.4802798697824</v>
      </c>
      <c r="K22" s="35">
        <f t="shared" si="5"/>
        <v>1311.2024277561363</v>
      </c>
    </row>
    <row r="23" spans="2:12" x14ac:dyDescent="0.3">
      <c r="B23" s="34" t="s">
        <v>91</v>
      </c>
      <c r="C23" s="34"/>
      <c r="D23" s="34"/>
      <c r="E23" s="34"/>
      <c r="F23" s="34"/>
      <c r="G23" s="35">
        <f>SUM(G19:G20)</f>
        <v>519.80000000000007</v>
      </c>
      <c r="H23" s="35">
        <f>SUM(H19:H20)</f>
        <v>1177.54</v>
      </c>
      <c r="I23" s="35">
        <f>SUM(I19:I20)</f>
        <v>1171.29</v>
      </c>
      <c r="J23" s="35">
        <f>SUM(J19:J20)</f>
        <v>271.05000000000018</v>
      </c>
      <c r="K23" s="35">
        <f>SUM(K19:K20)</f>
        <v>626.23</v>
      </c>
    </row>
    <row r="24" spans="2:12" x14ac:dyDescent="0.3">
      <c r="H24" s="42"/>
      <c r="I24" s="42"/>
      <c r="J24" s="42"/>
      <c r="K24" s="42"/>
    </row>
    <row r="25" spans="2:12" ht="15" thickBot="1" x14ac:dyDescent="0.35">
      <c r="B25" s="37" t="s">
        <v>92</v>
      </c>
      <c r="C25" s="37"/>
      <c r="D25" s="37"/>
      <c r="E25" s="37"/>
      <c r="F25" s="37"/>
      <c r="G25" s="41">
        <f>G23/G22</f>
        <v>0.93593484895092027</v>
      </c>
      <c r="H25" s="41">
        <f>H23/H22</f>
        <v>3.6919321465994819</v>
      </c>
      <c r="I25" s="41">
        <f>I23/I22</f>
        <v>1.847926747432995</v>
      </c>
      <c r="J25" s="41">
        <f>J23/J22</f>
        <v>0.19763317342465581</v>
      </c>
      <c r="K25" s="41">
        <f>K23/K22</f>
        <v>0.4775997868396788</v>
      </c>
    </row>
    <row r="26" spans="2:12" x14ac:dyDescent="0.3">
      <c r="H26" s="29"/>
      <c r="I26" s="29"/>
      <c r="J26" s="29"/>
      <c r="K26" s="29"/>
    </row>
    <row r="27" spans="2:12" x14ac:dyDescent="0.3">
      <c r="J27" s="43" t="s">
        <v>93</v>
      </c>
      <c r="K27" s="44">
        <f>AVERAGE(H25:K25)</f>
        <v>1.5537729635742028</v>
      </c>
      <c r="L27" s="51">
        <f>AVERAGE(G25,I25:K25)</f>
        <v>0.86477363916206251</v>
      </c>
    </row>
    <row r="28" spans="2:12" x14ac:dyDescent="0.3">
      <c r="J28" s="43" t="s">
        <v>94</v>
      </c>
      <c r="K28" s="44">
        <f>MEDIAN(H25:K25)</f>
        <v>1.1627632671363368</v>
      </c>
    </row>
    <row r="30" spans="2:12" x14ac:dyDescent="0.3">
      <c r="B30" s="14" t="s">
        <v>95</v>
      </c>
      <c r="C30" s="33"/>
      <c r="D30" s="33"/>
      <c r="E30" s="33"/>
      <c r="F30" s="33"/>
      <c r="G30" s="15">
        <f>'[1]Raw FS'!J$2</f>
        <v>43160</v>
      </c>
      <c r="H30" s="15">
        <f>'[1]Raw FS'!K$2</f>
        <v>43525</v>
      </c>
      <c r="I30" s="15">
        <f>'[1]Raw FS'!L$2</f>
        <v>43891</v>
      </c>
      <c r="J30" s="15">
        <f>'[1]Raw FS'!M$2</f>
        <v>44256</v>
      </c>
      <c r="K30" s="15">
        <f>'[1]Raw FS'!N$2</f>
        <v>44621</v>
      </c>
    </row>
    <row r="32" spans="2:12" x14ac:dyDescent="0.3">
      <c r="B32" s="34" t="s">
        <v>92</v>
      </c>
      <c r="C32" s="34"/>
      <c r="D32" s="34"/>
      <c r="E32" s="34"/>
      <c r="F32" s="34"/>
      <c r="G32" s="34"/>
      <c r="H32" s="45">
        <f>H25</f>
        <v>3.6919321465994819</v>
      </c>
      <c r="I32" s="45">
        <f t="shared" ref="I32:K32" si="6">I25</f>
        <v>1.847926747432995</v>
      </c>
      <c r="J32" s="45">
        <f t="shared" si="6"/>
        <v>0.19763317342465581</v>
      </c>
      <c r="K32" s="45">
        <f t="shared" si="6"/>
        <v>0.4775997868396788</v>
      </c>
    </row>
    <row r="33" spans="2:11" x14ac:dyDescent="0.3">
      <c r="B33" s="34" t="s">
        <v>87</v>
      </c>
      <c r="C33" s="34"/>
      <c r="D33" s="34"/>
      <c r="E33" s="34"/>
      <c r="F33" s="34"/>
      <c r="G33" s="34"/>
      <c r="H33" s="45">
        <f>H15</f>
        <v>6.3955677873808514E-2</v>
      </c>
      <c r="I33" s="45">
        <f t="shared" ref="I33:K33" si="7">I15</f>
        <v>0.10727869197770172</v>
      </c>
      <c r="J33" s="45">
        <f t="shared" si="7"/>
        <v>0.21507950605019308</v>
      </c>
      <c r="K33" s="45">
        <f t="shared" si="7"/>
        <v>0.19714216969593318</v>
      </c>
    </row>
    <row r="35" spans="2:11" ht="15" thickBot="1" x14ac:dyDescent="0.35">
      <c r="B35" s="37" t="s">
        <v>96</v>
      </c>
      <c r="C35" s="37"/>
      <c r="D35" s="37"/>
      <c r="E35" s="37"/>
      <c r="F35" s="37"/>
      <c r="G35" s="37"/>
      <c r="H35" s="46">
        <f>H32*H33</f>
        <v>0.23612002309987484</v>
      </c>
      <c r="I35" s="46">
        <f t="shared" ref="I35:K35" si="8">I32*I33</f>
        <v>0.19824316433522046</v>
      </c>
      <c r="J35" s="46">
        <f>J32*J33</f>
        <v>4.2506845319307117E-2</v>
      </c>
      <c r="K35" s="46">
        <f t="shared" si="8"/>
        <v>9.4155058223889476E-2</v>
      </c>
    </row>
    <row r="37" spans="2:11" x14ac:dyDescent="0.3">
      <c r="J37" s="43" t="s">
        <v>93</v>
      </c>
      <c r="K37" s="44">
        <f>AVERAGE(H35:K35)</f>
        <v>0.14275627274457298</v>
      </c>
    </row>
    <row r="38" spans="2:11" x14ac:dyDescent="0.3">
      <c r="J38" s="43" t="s">
        <v>94</v>
      </c>
      <c r="K38" s="44">
        <f>MEDIAN(H35:K35)</f>
        <v>0.14619911127955498</v>
      </c>
    </row>
    <row r="44" spans="2:11" x14ac:dyDescent="0.3">
      <c r="B44" s="14" t="s">
        <v>100</v>
      </c>
      <c r="C44" s="49">
        <v>43891</v>
      </c>
      <c r="D44" s="49">
        <v>44256</v>
      </c>
      <c r="E44" s="49">
        <v>44621</v>
      </c>
      <c r="F44" s="49">
        <v>44986</v>
      </c>
      <c r="G44" s="49">
        <v>45352</v>
      </c>
    </row>
    <row r="45" spans="2:11" x14ac:dyDescent="0.3">
      <c r="B45" s="34" t="s">
        <v>98</v>
      </c>
      <c r="C45" s="35">
        <v>-722</v>
      </c>
      <c r="D45" s="35">
        <v>-1173</v>
      </c>
      <c r="E45" s="35">
        <v>-828</v>
      </c>
      <c r="F45" s="35">
        <v>-224</v>
      </c>
      <c r="G45" s="35">
        <v>-240</v>
      </c>
    </row>
    <row r="46" spans="2:11" x14ac:dyDescent="0.3">
      <c r="B46" s="34" t="s">
        <v>99</v>
      </c>
      <c r="C46" s="35">
        <v>2</v>
      </c>
      <c r="D46" s="35">
        <v>2</v>
      </c>
      <c r="E46" s="35">
        <v>2</v>
      </c>
      <c r="F46" s="35">
        <v>13</v>
      </c>
      <c r="G46" s="35">
        <v>4</v>
      </c>
    </row>
    <row r="47" spans="2:11" x14ac:dyDescent="0.3">
      <c r="B47" s="34" t="s">
        <v>89</v>
      </c>
      <c r="C47" s="35">
        <f>C45+C46</f>
        <v>-720</v>
      </c>
      <c r="D47" s="35">
        <f t="shared" ref="D47:G47" si="9">D45+D46</f>
        <v>-1171</v>
      </c>
      <c r="E47" s="35">
        <f t="shared" si="9"/>
        <v>-826</v>
      </c>
      <c r="F47" s="35">
        <f t="shared" si="9"/>
        <v>-211</v>
      </c>
      <c r="G47" s="35">
        <f t="shared" si="9"/>
        <v>-236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C20-89B1-439B-BFE9-C70641B81256}">
  <dimension ref="B2:K45"/>
  <sheetViews>
    <sheetView tabSelected="1" topLeftCell="A7" zoomScale="94" zoomScaleNormal="115" workbookViewId="0">
      <selection activeCell="H29" sqref="H29"/>
    </sheetView>
  </sheetViews>
  <sheetFormatPr defaultRowHeight="14.4" x14ac:dyDescent="0.3"/>
  <cols>
    <col min="5" max="5" width="10.5546875" customWidth="1"/>
    <col min="6" max="6" width="19" customWidth="1"/>
    <col min="7" max="7" width="12" customWidth="1"/>
    <col min="8" max="8" width="12.33203125" customWidth="1"/>
    <col min="9" max="9" width="10.44140625" customWidth="1"/>
    <col min="10" max="10" width="12.109375" customWidth="1"/>
    <col min="11" max="11" width="10.88671875" customWidth="1"/>
  </cols>
  <sheetData>
    <row r="2" spans="2:11" x14ac:dyDescent="0.3">
      <c r="F2">
        <v>0</v>
      </c>
      <c r="G2">
        <v>1</v>
      </c>
      <c r="H2">
        <v>2</v>
      </c>
      <c r="I2">
        <v>3</v>
      </c>
      <c r="J2">
        <v>4</v>
      </c>
      <c r="K2">
        <v>5</v>
      </c>
    </row>
    <row r="3" spans="2:11" x14ac:dyDescent="0.3">
      <c r="B3" s="14" t="s">
        <v>101</v>
      </c>
      <c r="C3" s="33"/>
      <c r="D3" s="33"/>
      <c r="E3" s="33"/>
      <c r="F3" s="15">
        <v>45352</v>
      </c>
      <c r="G3" s="15">
        <v>45717</v>
      </c>
      <c r="H3" s="15">
        <v>46082</v>
      </c>
      <c r="I3" s="15">
        <v>46447</v>
      </c>
      <c r="J3" s="15">
        <v>46813</v>
      </c>
      <c r="K3" s="15">
        <v>47178</v>
      </c>
    </row>
    <row r="5" spans="2:11" x14ac:dyDescent="0.3">
      <c r="B5" t="s">
        <v>86</v>
      </c>
      <c r="F5" s="50">
        <f>HistoricalFS!L27+HistoricalFS!L21</f>
        <v>1532.7599999999991</v>
      </c>
      <c r="G5" s="50">
        <f>F5*(1+$E$19)</f>
        <v>1756.8481498048498</v>
      </c>
      <c r="H5" s="50">
        <f t="shared" ref="H5:K5" si="0">G5*(1+$E$19)</f>
        <v>2013.6977879594494</v>
      </c>
      <c r="I5" s="50">
        <f t="shared" si="0"/>
        <v>2308.0986149447267</v>
      </c>
      <c r="J5" s="50">
        <f t="shared" si="0"/>
        <v>2645.5405811952178</v>
      </c>
      <c r="K5" s="50">
        <f t="shared" si="0"/>
        <v>3032.3162630199563</v>
      </c>
    </row>
    <row r="7" spans="2:11" x14ac:dyDescent="0.3">
      <c r="B7" t="s">
        <v>102</v>
      </c>
      <c r="F7" s="51">
        <v>0.25</v>
      </c>
      <c r="G7" s="51">
        <f>F7</f>
        <v>0.25</v>
      </c>
      <c r="H7" s="51">
        <f t="shared" ref="H7:K7" si="1">G7</f>
        <v>0.25</v>
      </c>
      <c r="I7" s="51">
        <f t="shared" si="1"/>
        <v>0.25</v>
      </c>
      <c r="J7" s="51">
        <f t="shared" si="1"/>
        <v>0.25</v>
      </c>
      <c r="K7" s="51">
        <f t="shared" si="1"/>
        <v>0.25</v>
      </c>
    </row>
    <row r="9" spans="2:11" x14ac:dyDescent="0.3">
      <c r="B9" t="s">
        <v>103</v>
      </c>
      <c r="F9" s="50">
        <f>F5*(1-F7)</f>
        <v>1149.5699999999993</v>
      </c>
      <c r="G9" s="50">
        <f t="shared" ref="G9:K9" si="2">G5*(1-G7)</f>
        <v>1317.6361123536374</v>
      </c>
      <c r="H9" s="50">
        <f t="shared" si="2"/>
        <v>1510.273340969587</v>
      </c>
      <c r="I9" s="50">
        <f t="shared" si="2"/>
        <v>1731.0739612085449</v>
      </c>
      <c r="J9" s="50">
        <f t="shared" si="2"/>
        <v>1984.1554358964133</v>
      </c>
      <c r="K9" s="50">
        <f t="shared" si="2"/>
        <v>2274.2371972649671</v>
      </c>
    </row>
    <row r="11" spans="2:11" x14ac:dyDescent="0.3">
      <c r="B11" t="s">
        <v>104</v>
      </c>
      <c r="F11" s="51">
        <v>0.82399999999999995</v>
      </c>
      <c r="G11" s="51">
        <f>F11</f>
        <v>0.82399999999999995</v>
      </c>
      <c r="H11" s="51">
        <f t="shared" ref="H11:K11" si="3">G11</f>
        <v>0.82399999999999995</v>
      </c>
      <c r="I11" s="51">
        <f t="shared" si="3"/>
        <v>0.82399999999999995</v>
      </c>
      <c r="J11" s="51">
        <f t="shared" si="3"/>
        <v>0.82399999999999995</v>
      </c>
      <c r="K11" s="51">
        <f t="shared" si="3"/>
        <v>0.82399999999999995</v>
      </c>
    </row>
    <row r="13" spans="2:11" ht="15" thickBot="1" x14ac:dyDescent="0.35">
      <c r="B13" s="37" t="s">
        <v>105</v>
      </c>
      <c r="C13" s="37"/>
      <c r="D13" s="37"/>
      <c r="E13" s="37"/>
      <c r="F13" s="52">
        <f>F9*(1-F11)</f>
        <v>202.32431999999991</v>
      </c>
      <c r="G13" s="52">
        <f>G9*(1-G11)</f>
        <v>231.90395577424025</v>
      </c>
      <c r="H13" s="52">
        <f>H9*(1-H11)</f>
        <v>265.8081080106474</v>
      </c>
      <c r="I13" s="52">
        <f>I9*(1-I11)</f>
        <v>304.669017172704</v>
      </c>
      <c r="J13" s="52">
        <f>J9*(1-J11)</f>
        <v>349.21135671776887</v>
      </c>
      <c r="K13" s="52">
        <f>K9*(1-K11)</f>
        <v>400.26574671863432</v>
      </c>
    </row>
    <row r="15" spans="2:11" x14ac:dyDescent="0.3">
      <c r="B15" t="s">
        <v>106</v>
      </c>
      <c r="F15" s="53">
        <f>1/(1+$E$26)^F2</f>
        <v>1</v>
      </c>
      <c r="G15" s="53">
        <f>1/(1+$E$26)^G2</f>
        <v>0.91132780461131879</v>
      </c>
      <c r="H15" s="53">
        <f>1/(1+$E$26)^H2</f>
        <v>0.83051836745768604</v>
      </c>
      <c r="I15" s="53">
        <f t="shared" ref="G15:K15" si="4">1/(1+$E$26)^I2</f>
        <v>0.7568744805045895</v>
      </c>
      <c r="J15" s="53">
        <f t="shared" si="4"/>
        <v>0.68976075868457998</v>
      </c>
      <c r="K15" s="53">
        <f>1/(1+$E$26)^K2</f>
        <v>0.62859815791905593</v>
      </c>
    </row>
    <row r="17" spans="2:11" ht="15" thickBot="1" x14ac:dyDescent="0.35">
      <c r="B17" s="37" t="s">
        <v>107</v>
      </c>
      <c r="C17" s="37"/>
      <c r="D17" s="37"/>
      <c r="E17" s="37"/>
      <c r="F17" s="52">
        <f>F15*F13</f>
        <v>202.32431999999991</v>
      </c>
      <c r="G17" s="52">
        <f t="shared" ref="G17:K17" si="5">G15*G13</f>
        <v>211.34052289641872</v>
      </c>
      <c r="H17" s="52">
        <f t="shared" si="5"/>
        <v>220.75851592201917</v>
      </c>
      <c r="I17" s="52">
        <f t="shared" si="5"/>
        <v>230.59620409843419</v>
      </c>
      <c r="J17" s="52">
        <f t="shared" si="5"/>
        <v>240.87229035091974</v>
      </c>
      <c r="K17" s="52">
        <f>K15*K13</f>
        <v>251.60631106542894</v>
      </c>
    </row>
    <row r="19" spans="2:11" x14ac:dyDescent="0.3">
      <c r="B19" s="54" t="s">
        <v>108</v>
      </c>
      <c r="C19" s="54"/>
      <c r="D19" s="55"/>
      <c r="E19" s="55">
        <f>'Intrinsic Growth'!K38</f>
        <v>0.14619911127955498</v>
      </c>
    </row>
    <row r="20" spans="2:11" x14ac:dyDescent="0.3">
      <c r="B20" s="54" t="s">
        <v>109</v>
      </c>
      <c r="C20" s="54"/>
      <c r="D20" s="55"/>
      <c r="E20" s="55">
        <v>7.0000000000000007E-2</v>
      </c>
    </row>
    <row r="23" spans="2:11" x14ac:dyDescent="0.3">
      <c r="B23" s="14" t="s">
        <v>110</v>
      </c>
      <c r="C23" s="33"/>
      <c r="D23" s="33"/>
      <c r="E23" s="33"/>
      <c r="G23" s="60"/>
      <c r="H23" s="61"/>
      <c r="I23" s="61"/>
      <c r="J23" s="61"/>
      <c r="K23" s="61"/>
    </row>
    <row r="24" spans="2:11" x14ac:dyDescent="0.3">
      <c r="G24" s="62"/>
      <c r="H24" s="63"/>
      <c r="I24" s="63"/>
      <c r="J24" s="63"/>
      <c r="K24" s="63"/>
    </row>
    <row r="25" spans="2:11" x14ac:dyDescent="0.3">
      <c r="B25" t="s">
        <v>111</v>
      </c>
      <c r="E25" s="50">
        <f>K13*(1+E19)</f>
        <v>458.78424316454613</v>
      </c>
      <c r="G25" s="64"/>
      <c r="H25" s="65"/>
      <c r="I25" s="65"/>
      <c r="J25" s="65"/>
      <c r="K25" s="65"/>
    </row>
    <row r="26" spans="2:11" x14ac:dyDescent="0.3">
      <c r="B26" t="s">
        <v>112</v>
      </c>
      <c r="E26" s="56">
        <v>9.7299999999999998E-2</v>
      </c>
      <c r="F26" s="66" t="s">
        <v>123</v>
      </c>
      <c r="G26" s="64"/>
      <c r="H26" s="65"/>
      <c r="I26" s="65"/>
      <c r="J26" s="65"/>
      <c r="K26" s="65"/>
    </row>
    <row r="27" spans="2:11" x14ac:dyDescent="0.3">
      <c r="B27" t="s">
        <v>113</v>
      </c>
      <c r="E27" s="51">
        <f>E20</f>
        <v>7.0000000000000007E-2</v>
      </c>
      <c r="G27" s="64"/>
      <c r="H27" s="65"/>
      <c r="I27" s="65"/>
      <c r="J27" s="65"/>
      <c r="K27" s="65"/>
    </row>
    <row r="28" spans="2:11" x14ac:dyDescent="0.3">
      <c r="G28" s="64"/>
      <c r="H28" s="65"/>
      <c r="I28" s="65"/>
      <c r="J28" s="65"/>
      <c r="K28" s="65"/>
    </row>
    <row r="29" spans="2:11" ht="15" thickBot="1" x14ac:dyDescent="0.35">
      <c r="B29" s="37" t="s">
        <v>114</v>
      </c>
      <c r="C29" s="37"/>
      <c r="D29" s="37"/>
      <c r="E29" s="52">
        <f>E25/(E26-E27)</f>
        <v>16805.283632400962</v>
      </c>
      <c r="G29" s="64"/>
      <c r="H29" s="65"/>
      <c r="I29" s="65"/>
      <c r="J29" s="65"/>
      <c r="K29" s="65"/>
    </row>
    <row r="30" spans="2:11" x14ac:dyDescent="0.3">
      <c r="J30" s="57"/>
    </row>
    <row r="32" spans="2:11" x14ac:dyDescent="0.3">
      <c r="B32" s="14" t="s">
        <v>115</v>
      </c>
      <c r="C32" s="33"/>
      <c r="D32" s="33"/>
      <c r="E32" s="33"/>
    </row>
    <row r="34" spans="2:5" x14ac:dyDescent="0.3">
      <c r="B34" t="s">
        <v>107</v>
      </c>
      <c r="E34" s="50">
        <f>SUM(G17:K17)</f>
        <v>1155.1738443332206</v>
      </c>
    </row>
    <row r="35" spans="2:5" x14ac:dyDescent="0.3">
      <c r="B35" t="s">
        <v>116</v>
      </c>
      <c r="E35" s="58">
        <f>E29*K15</f>
        <v>10563.770334634506</v>
      </c>
    </row>
    <row r="36" spans="2:5" x14ac:dyDescent="0.3">
      <c r="B36" s="30" t="s">
        <v>117</v>
      </c>
      <c r="C36" s="30"/>
      <c r="D36" s="30"/>
      <c r="E36" s="59">
        <f>SUM(E34:E35)</f>
        <v>11718.944178967726</v>
      </c>
    </row>
    <row r="38" spans="2:5" x14ac:dyDescent="0.3">
      <c r="B38" t="s">
        <v>118</v>
      </c>
      <c r="E38">
        <f>'Data Sheet'!K69</f>
        <v>73.48</v>
      </c>
    </row>
    <row r="39" spans="2:5" x14ac:dyDescent="0.3">
      <c r="B39" t="s">
        <v>119</v>
      </c>
      <c r="E39">
        <f>'Data Sheet'!K59</f>
        <v>2204.1999999999998</v>
      </c>
    </row>
    <row r="40" spans="2:5" x14ac:dyDescent="0.3">
      <c r="B40" s="30" t="s">
        <v>120</v>
      </c>
      <c r="C40" s="30"/>
      <c r="D40" s="30"/>
      <c r="E40" s="59">
        <f>E36+E38-E39</f>
        <v>9588.2241789677246</v>
      </c>
    </row>
    <row r="41" spans="2:5" x14ac:dyDescent="0.3">
      <c r="B41" t="s">
        <v>121</v>
      </c>
      <c r="E41" s="50">
        <f>'Data Sheet'!B6</f>
        <v>16.940241492864985</v>
      </c>
    </row>
    <row r="42" spans="2:5" x14ac:dyDescent="0.3">
      <c r="B42" s="30" t="s">
        <v>122</v>
      </c>
      <c r="C42" s="30"/>
      <c r="D42" s="30"/>
      <c r="E42" s="67">
        <f>E40/E41</f>
        <v>566.0028036203712</v>
      </c>
    </row>
    <row r="43" spans="2:5" x14ac:dyDescent="0.3">
      <c r="B43" s="30" t="s">
        <v>124</v>
      </c>
      <c r="C43" s="30"/>
      <c r="D43" s="30"/>
      <c r="E43" s="30">
        <f>'Data Sheet'!B8</f>
        <v>455.5</v>
      </c>
    </row>
    <row r="45" spans="2:5" x14ac:dyDescent="0.3">
      <c r="B45" s="30" t="s">
        <v>125</v>
      </c>
      <c r="E45" s="30" t="s">
        <v>126</v>
      </c>
    </row>
  </sheetData>
  <hyperlinks>
    <hyperlink ref="F26" r:id="rId1" xr:uid="{4450924B-E629-47DF-806A-6F9F61403B0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5FA7-CEA2-4929-BF55-2DF62EA56EC7}">
  <dimension ref="B2:P12"/>
  <sheetViews>
    <sheetView workbookViewId="0">
      <selection activeCell="L3" sqref="L3"/>
    </sheetView>
  </sheetViews>
  <sheetFormatPr defaultRowHeight="14.4" x14ac:dyDescent="0.3"/>
  <cols>
    <col min="2" max="2" width="23.88671875" customWidth="1"/>
  </cols>
  <sheetData>
    <row r="2" spans="2:16" x14ac:dyDescent="0.3">
      <c r="B2" s="14" t="s">
        <v>127</v>
      </c>
      <c r="C2" s="14" t="s">
        <v>128</v>
      </c>
      <c r="D2" s="14" t="s">
        <v>129</v>
      </c>
      <c r="E2" s="14" t="s">
        <v>130</v>
      </c>
      <c r="F2" s="14" t="s">
        <v>131</v>
      </c>
      <c r="G2" s="14" t="s">
        <v>132</v>
      </c>
      <c r="H2" s="14" t="s">
        <v>133</v>
      </c>
      <c r="I2" s="14" t="s">
        <v>134</v>
      </c>
      <c r="J2" s="14" t="s">
        <v>12</v>
      </c>
      <c r="K2" s="14" t="s">
        <v>72</v>
      </c>
      <c r="L2" s="14" t="s">
        <v>135</v>
      </c>
      <c r="M2" s="14" t="s">
        <v>136</v>
      </c>
      <c r="N2" s="14" t="s">
        <v>136</v>
      </c>
      <c r="O2" s="14" t="s">
        <v>137</v>
      </c>
      <c r="P2" s="14" t="s">
        <v>138</v>
      </c>
    </row>
    <row r="3" spans="2:16" x14ac:dyDescent="0.3">
      <c r="B3" s="68" t="s">
        <v>139</v>
      </c>
      <c r="C3" s="50">
        <v>455.5</v>
      </c>
      <c r="D3" s="50">
        <v>16.940000000000001</v>
      </c>
      <c r="E3" s="50">
        <v>7716.28</v>
      </c>
      <c r="F3" s="50">
        <v>9847</v>
      </c>
      <c r="G3" s="50">
        <v>169.4</v>
      </c>
      <c r="H3" s="50">
        <v>2204.1999999999998</v>
      </c>
      <c r="I3" s="50">
        <v>73.48</v>
      </c>
      <c r="J3" s="50">
        <v>6788.52</v>
      </c>
      <c r="K3" s="50">
        <v>1133.2</v>
      </c>
      <c r="L3" s="50">
        <v>8.1</v>
      </c>
      <c r="M3" s="50">
        <v>6.08</v>
      </c>
      <c r="N3" s="50">
        <v>6.08</v>
      </c>
      <c r="O3" s="50">
        <v>1.52</v>
      </c>
      <c r="P3" s="50">
        <v>5069.5</v>
      </c>
    </row>
    <row r="4" spans="2:16" x14ac:dyDescent="0.3">
      <c r="B4" s="68" t="s">
        <v>140</v>
      </c>
      <c r="C4" s="50">
        <v>613.6</v>
      </c>
      <c r="D4" s="50">
        <v>6.6</v>
      </c>
      <c r="E4" s="50">
        <v>4052.83</v>
      </c>
      <c r="F4" s="50">
        <v>4285.68</v>
      </c>
      <c r="G4" s="50">
        <v>13.21</v>
      </c>
      <c r="H4" s="50">
        <v>276.32</v>
      </c>
      <c r="I4" s="50">
        <v>43.47</v>
      </c>
      <c r="J4" s="50">
        <v>4269.41</v>
      </c>
      <c r="K4" s="50">
        <v>786.08</v>
      </c>
      <c r="L4" s="50">
        <v>7.23</v>
      </c>
      <c r="M4" s="50">
        <v>4.09</v>
      </c>
      <c r="N4" s="50">
        <v>4.09</v>
      </c>
      <c r="O4" s="50">
        <v>1.25</v>
      </c>
      <c r="P4" s="50">
        <v>3238.93</v>
      </c>
    </row>
    <row r="5" spans="2:16" x14ac:dyDescent="0.3">
      <c r="B5" s="68" t="s">
        <v>141</v>
      </c>
      <c r="C5" s="50">
        <v>361.7</v>
      </c>
      <c r="D5" s="50">
        <v>6.31</v>
      </c>
      <c r="E5" s="50">
        <v>2281.17</v>
      </c>
      <c r="F5" s="50">
        <v>1695.07</v>
      </c>
      <c r="G5" s="50">
        <v>12.04</v>
      </c>
      <c r="H5" s="50">
        <v>21</v>
      </c>
      <c r="I5" s="50">
        <v>607.1</v>
      </c>
      <c r="J5" s="50">
        <v>1797.22</v>
      </c>
      <c r="K5" s="50">
        <v>259.37</v>
      </c>
      <c r="L5" s="50">
        <v>10.08</v>
      </c>
      <c r="M5" s="50">
        <v>4.88</v>
      </c>
      <c r="N5" s="50">
        <v>4.88</v>
      </c>
      <c r="O5" s="50">
        <v>1.24</v>
      </c>
      <c r="P5" s="50">
        <v>1837.53</v>
      </c>
    </row>
    <row r="6" spans="2:16" x14ac:dyDescent="0.3">
      <c r="B6" s="68" t="s">
        <v>142</v>
      </c>
      <c r="C6" s="50">
        <v>105.9</v>
      </c>
      <c r="D6" s="50">
        <v>19.89</v>
      </c>
      <c r="E6" s="50">
        <v>2105.8200000000002</v>
      </c>
      <c r="F6" s="50">
        <v>2194.64</v>
      </c>
      <c r="G6" s="50">
        <v>39.770000000000003</v>
      </c>
      <c r="H6" s="50">
        <v>115.08</v>
      </c>
      <c r="I6" s="50">
        <v>26.26</v>
      </c>
      <c r="J6" s="50">
        <v>1638.88</v>
      </c>
      <c r="K6" s="50">
        <v>339.74</v>
      </c>
      <c r="L6" s="50">
        <v>8.4600000000000009</v>
      </c>
      <c r="M6" s="50">
        <v>5.44</v>
      </c>
      <c r="N6" s="50">
        <v>5.44</v>
      </c>
      <c r="O6" s="50">
        <v>1.1100000000000001</v>
      </c>
      <c r="P6" s="50">
        <v>1893.2</v>
      </c>
    </row>
    <row r="7" spans="2:16" x14ac:dyDescent="0.3">
      <c r="B7" s="68" t="s">
        <v>143</v>
      </c>
      <c r="C7" s="50">
        <v>219.02</v>
      </c>
      <c r="D7" s="50">
        <v>6.92</v>
      </c>
      <c r="E7" s="50">
        <v>1515.84</v>
      </c>
      <c r="F7" s="50">
        <v>3269.2</v>
      </c>
      <c r="G7" s="50">
        <v>69.38</v>
      </c>
      <c r="H7" s="50">
        <v>1801.38</v>
      </c>
      <c r="I7" s="50">
        <v>48.02</v>
      </c>
      <c r="J7" s="50">
        <v>4549.01</v>
      </c>
      <c r="K7" s="50">
        <v>208.16</v>
      </c>
      <c r="L7" s="50">
        <v>14.95</v>
      </c>
      <c r="M7" s="50">
        <v>4.8899999999999997</v>
      </c>
      <c r="N7" s="50">
        <v>4.8899999999999997</v>
      </c>
      <c r="O7" s="50">
        <v>0.73</v>
      </c>
      <c r="P7" s="50">
        <v>2089.7199999999998</v>
      </c>
    </row>
    <row r="8" spans="2:16" x14ac:dyDescent="0.3">
      <c r="B8" s="68" t="s">
        <v>144</v>
      </c>
      <c r="C8" s="50">
        <v>334.1</v>
      </c>
      <c r="D8" s="50">
        <v>3.94</v>
      </c>
      <c r="E8" s="50">
        <v>1317.02</v>
      </c>
      <c r="F8" s="50">
        <v>1430.64</v>
      </c>
      <c r="G8" s="50">
        <v>39.17</v>
      </c>
      <c r="H8" s="50">
        <v>182.06</v>
      </c>
      <c r="I8" s="50">
        <v>68.44</v>
      </c>
      <c r="J8" s="50">
        <v>395.78</v>
      </c>
      <c r="K8" s="50">
        <v>48.67</v>
      </c>
      <c r="L8" s="50">
        <v>29.92</v>
      </c>
      <c r="M8" s="50">
        <v>15.89</v>
      </c>
      <c r="N8" s="50">
        <v>15.89</v>
      </c>
      <c r="O8" s="50">
        <v>4.9400000000000004</v>
      </c>
      <c r="P8" s="50">
        <v>264.69</v>
      </c>
    </row>
    <row r="9" spans="2:16" x14ac:dyDescent="0.3">
      <c r="B9" s="68" t="s">
        <v>145</v>
      </c>
      <c r="C9" s="50">
        <v>143.52000000000001</v>
      </c>
      <c r="D9" s="50">
        <v>8.73</v>
      </c>
      <c r="E9" s="50">
        <v>1252.4100000000001</v>
      </c>
      <c r="F9" s="50">
        <v>1686.98</v>
      </c>
      <c r="G9" s="50">
        <v>8.73</v>
      </c>
      <c r="H9" s="50">
        <v>512.5</v>
      </c>
      <c r="I9" s="50">
        <v>77.930000000000007</v>
      </c>
      <c r="J9" s="50">
        <v>1179.25</v>
      </c>
      <c r="K9" s="50">
        <v>183.83</v>
      </c>
      <c r="L9" s="50">
        <v>7.98</v>
      </c>
      <c r="M9" s="50">
        <v>5.62</v>
      </c>
      <c r="N9" s="50">
        <v>5.62</v>
      </c>
      <c r="O9" s="50">
        <v>1.1100000000000001</v>
      </c>
      <c r="P9" s="50">
        <v>1123.8499999999999</v>
      </c>
    </row>
    <row r="10" spans="2:16" x14ac:dyDescent="0.3">
      <c r="B10" s="68" t="s">
        <v>146</v>
      </c>
      <c r="C10" s="50">
        <v>116.14</v>
      </c>
      <c r="D10" s="50">
        <v>10</v>
      </c>
      <c r="E10" s="50">
        <v>1161.4000000000001</v>
      </c>
      <c r="F10" s="50">
        <v>1460.39</v>
      </c>
      <c r="G10" s="50">
        <v>10</v>
      </c>
      <c r="H10" s="50">
        <v>319.14</v>
      </c>
      <c r="I10" s="50">
        <v>20.149999999999999</v>
      </c>
      <c r="J10" s="50">
        <v>1638.98</v>
      </c>
      <c r="K10" s="50">
        <v>211.19</v>
      </c>
      <c r="L10" s="50">
        <v>6.52</v>
      </c>
      <c r="M10" s="50">
        <v>3.75</v>
      </c>
      <c r="N10" s="50">
        <v>3.75</v>
      </c>
      <c r="O10" s="50">
        <v>1.25</v>
      </c>
      <c r="P10" s="50">
        <v>932.29</v>
      </c>
    </row>
    <row r="11" spans="2:16" x14ac:dyDescent="0.3">
      <c r="B11" s="68" t="s">
        <v>147</v>
      </c>
      <c r="C11" s="50">
        <v>121.46</v>
      </c>
      <c r="D11" s="50">
        <v>9.49</v>
      </c>
      <c r="E11" s="50">
        <v>1153.26</v>
      </c>
      <c r="F11" s="50">
        <v>1167.77</v>
      </c>
      <c r="G11" s="50">
        <v>9.5</v>
      </c>
      <c r="H11" s="50">
        <v>21.89</v>
      </c>
      <c r="I11" s="50">
        <v>7.38</v>
      </c>
      <c r="J11" s="50">
        <v>806.84</v>
      </c>
      <c r="K11" s="50">
        <v>98.14</v>
      </c>
      <c r="L11" s="50">
        <v>10.07</v>
      </c>
      <c r="M11" s="50">
        <v>6.85</v>
      </c>
      <c r="N11" s="50">
        <v>6.85</v>
      </c>
      <c r="O11" s="50">
        <v>2.34</v>
      </c>
      <c r="P11" s="50">
        <v>492.3</v>
      </c>
    </row>
    <row r="12" spans="2:16" x14ac:dyDescent="0.3">
      <c r="B12" s="68" t="s">
        <v>148</v>
      </c>
      <c r="C12" s="50">
        <v>48.22</v>
      </c>
      <c r="D12" s="50">
        <v>21.22</v>
      </c>
      <c r="E12" s="50">
        <v>1023.16</v>
      </c>
      <c r="F12" s="50">
        <v>1341.26</v>
      </c>
      <c r="G12" s="50">
        <v>21.22</v>
      </c>
      <c r="H12" s="50">
        <v>320.88</v>
      </c>
      <c r="I12" s="50">
        <v>2.78</v>
      </c>
      <c r="J12" s="50">
        <v>826.97</v>
      </c>
      <c r="K12" s="50">
        <v>6.23</v>
      </c>
      <c r="L12" s="50"/>
      <c r="M12" s="50">
        <v>45.7</v>
      </c>
      <c r="N12" s="50">
        <v>45.7</v>
      </c>
      <c r="O12" s="50">
        <v>0.63</v>
      </c>
      <c r="P12" s="50">
        <v>1618.98</v>
      </c>
    </row>
  </sheetData>
  <hyperlinks>
    <hyperlink ref="B3" r:id="rId1" display="https://www.screener.in/company/JKPAPER/consolidated/" xr:uid="{D73BE03A-4042-45DA-B41F-EB258ADDB785}"/>
    <hyperlink ref="B4" r:id="rId2" display="https://www.screener.in/company/WSTCSTPAPR/consolidated/" xr:uid="{F0368894-4321-4671-8C58-990A7C35F4CA}"/>
    <hyperlink ref="B5" r:id="rId3" display="https://www.screener.in/company/SESHAPAPER/" xr:uid="{95BA8FAE-DEB6-477D-9F7F-7AB9E0120748}"/>
    <hyperlink ref="B6" r:id="rId4" display="https://www.screener.in/company/ANDHRAPAP/" xr:uid="{8C6228E7-766F-4DC2-A887-FA3EDB65D19E}"/>
    <hyperlink ref="B7" r:id="rId5" display="https://www.screener.in/company/TNPL/" xr:uid="{7BAB5EA9-5FED-4608-B5AB-D63FC377D0B8}"/>
    <hyperlink ref="B8" r:id="rId6" display="https://www.screener.in/company/PAKKA/" xr:uid="{7D0F74EC-C6E3-41B0-B7B8-37A1C95FC4E1}"/>
    <hyperlink ref="B9" r:id="rId7" display="https://www.screener.in/company/KUANTUM/" xr:uid="{F8CAAD74-7330-4B69-BFDC-BD4ACF30E24E}"/>
    <hyperlink ref="B10" r:id="rId8" display="https://www.screener.in/company/SATIA/" xr:uid="{37240F7A-107F-4525-A33B-7EFFE728D462}"/>
    <hyperlink ref="B11" r:id="rId9" display="https://www.screener.in/company/PDMJEPAPER/" xr:uid="{F7BDAC73-63E0-4BFF-820E-B823C5DA5CFF}"/>
    <hyperlink ref="B12" r:id="rId10" display="https://www.screener.in/company/ORIENTPPR/" xr:uid="{F51C5716-F66D-45AA-ACAE-E834D2E9FE4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47C6-231D-4DE9-91BE-C05E9BB319D5}">
  <dimension ref="B2:P26"/>
  <sheetViews>
    <sheetView topLeftCell="A6" workbookViewId="0">
      <selection activeCell="R28" sqref="R28"/>
    </sheetView>
  </sheetViews>
  <sheetFormatPr defaultRowHeight="14.4" x14ac:dyDescent="0.3"/>
  <cols>
    <col min="13" max="16" width="12.88671875" customWidth="1"/>
  </cols>
  <sheetData>
    <row r="2" spans="2:16" ht="43.2" x14ac:dyDescent="0.3">
      <c r="B2" s="69" t="s">
        <v>149</v>
      </c>
      <c r="C2" s="69"/>
      <c r="D2" s="70" t="s">
        <v>150</v>
      </c>
      <c r="E2" s="70" t="s">
        <v>151</v>
      </c>
      <c r="F2" s="70" t="s">
        <v>152</v>
      </c>
      <c r="G2" s="70" t="s">
        <v>124</v>
      </c>
      <c r="H2" s="70" t="s">
        <v>166</v>
      </c>
      <c r="I2" s="71" t="s">
        <v>153</v>
      </c>
      <c r="J2" s="71" t="s">
        <v>28</v>
      </c>
      <c r="K2" s="71" t="s">
        <v>154</v>
      </c>
      <c r="L2" s="71"/>
      <c r="M2" s="71" t="s">
        <v>155</v>
      </c>
      <c r="N2" s="71" t="s">
        <v>136</v>
      </c>
      <c r="O2" s="71" t="s">
        <v>156</v>
      </c>
      <c r="P2" s="71" t="s">
        <v>165</v>
      </c>
    </row>
    <row r="3" spans="2:16" x14ac:dyDescent="0.3">
      <c r="B3" s="72"/>
      <c r="C3" s="72"/>
      <c r="D3" s="73"/>
      <c r="E3" s="73"/>
      <c r="F3" s="73"/>
      <c r="G3" s="73"/>
      <c r="H3" s="74"/>
      <c r="I3" s="74"/>
      <c r="J3" s="74"/>
      <c r="K3" s="74"/>
      <c r="L3" s="74"/>
      <c r="M3" s="74"/>
      <c r="N3" s="74"/>
      <c r="O3" s="74"/>
    </row>
    <row r="4" spans="2:16" x14ac:dyDescent="0.3">
      <c r="B4" s="92" t="str">
        <f>'Raw data'!B3</f>
        <v>JK Paper</v>
      </c>
      <c r="C4" s="93"/>
      <c r="D4" s="94">
        <f>'Raw data'!C3*'Raw data'!D3</f>
        <v>7716.170000000001</v>
      </c>
      <c r="E4" s="78">
        <f>'Raw data'!H3-'Raw data'!I3</f>
        <v>2130.7199999999998</v>
      </c>
      <c r="F4" s="94">
        <f>D4+E4</f>
        <v>9846.8900000000012</v>
      </c>
      <c r="G4" s="78">
        <f>'Raw data'!C3</f>
        <v>455.5</v>
      </c>
      <c r="H4" s="95">
        <f>'Raw data'!P3</f>
        <v>5069.5</v>
      </c>
      <c r="I4" s="95">
        <f>'Raw data'!J3</f>
        <v>6788.52</v>
      </c>
      <c r="J4" s="95">
        <f>F4/N4</f>
        <v>1619.5542763157896</v>
      </c>
      <c r="K4" s="95">
        <f>'Raw data'!K3</f>
        <v>1133.2</v>
      </c>
      <c r="L4" s="96"/>
      <c r="M4" s="97">
        <f>F4/I4</f>
        <v>1.4505208793669313</v>
      </c>
      <c r="N4" s="97">
        <f>'Raw data'!M3</f>
        <v>6.08</v>
      </c>
      <c r="O4" s="98">
        <f>D4/K4</f>
        <v>6.8091863748676325</v>
      </c>
      <c r="P4" s="98">
        <f>'Raw data'!O3</f>
        <v>1.52</v>
      </c>
    </row>
    <row r="5" spans="2:16" x14ac:dyDescent="0.3">
      <c r="B5" s="75" t="str">
        <f>'Raw data'!B4</f>
        <v>West Coast Paper</v>
      </c>
      <c r="C5" s="81"/>
      <c r="D5" s="76">
        <f>'Raw data'!C4*'Raw data'!D4</f>
        <v>4049.7599999999998</v>
      </c>
      <c r="E5" s="77">
        <f>'Raw data'!H4-'Raw data'!I4</f>
        <v>232.85</v>
      </c>
      <c r="F5" s="76">
        <f t="shared" ref="F5:F13" si="0">D5+E5</f>
        <v>4282.6099999999997</v>
      </c>
      <c r="G5" s="77">
        <f>'Raw data'!C4</f>
        <v>613.6</v>
      </c>
      <c r="H5" s="79">
        <f>'Raw data'!P4</f>
        <v>3238.93</v>
      </c>
      <c r="I5" s="79">
        <f>'Raw data'!J4</f>
        <v>4269.41</v>
      </c>
      <c r="J5" s="79">
        <f t="shared" ref="J5:J13" si="1">F5/N5</f>
        <v>1047.0929095354522</v>
      </c>
      <c r="K5" s="79">
        <f>'Raw data'!K4</f>
        <v>786.08</v>
      </c>
      <c r="L5" s="82"/>
      <c r="M5" s="80">
        <f t="shared" ref="M5:M13" si="2">F5/I5</f>
        <v>1.0030917620935913</v>
      </c>
      <c r="N5" s="80">
        <f>'Raw data'!M4</f>
        <v>4.09</v>
      </c>
      <c r="O5" s="91">
        <f>D5/K5</f>
        <v>5.151842051699572</v>
      </c>
      <c r="P5" s="91">
        <f>'Raw data'!O4</f>
        <v>1.25</v>
      </c>
    </row>
    <row r="6" spans="2:16" x14ac:dyDescent="0.3">
      <c r="B6" s="75" t="str">
        <f>'Raw data'!B5</f>
        <v>Seshasayee Paper</v>
      </c>
      <c r="C6" s="81"/>
      <c r="D6" s="76">
        <f>'Raw data'!C5*'Raw data'!D5</f>
        <v>2282.3269999999998</v>
      </c>
      <c r="E6" s="77">
        <f>'Raw data'!H5-'Raw data'!I5</f>
        <v>-586.1</v>
      </c>
      <c r="F6" s="76">
        <f t="shared" si="0"/>
        <v>1696.2269999999999</v>
      </c>
      <c r="G6" s="77">
        <f>'Raw data'!C5</f>
        <v>361.7</v>
      </c>
      <c r="H6" s="79">
        <f>'Raw data'!P5</f>
        <v>1837.53</v>
      </c>
      <c r="I6" s="79">
        <f>'Raw data'!J5</f>
        <v>1797.22</v>
      </c>
      <c r="J6" s="79">
        <f t="shared" si="1"/>
        <v>347.58749999999998</v>
      </c>
      <c r="K6" s="79">
        <f>'Raw data'!K5</f>
        <v>259.37</v>
      </c>
      <c r="L6" s="82"/>
      <c r="M6" s="80">
        <f t="shared" si="2"/>
        <v>0.94380598925006387</v>
      </c>
      <c r="N6" s="80">
        <f>'Raw data'!M5</f>
        <v>4.88</v>
      </c>
      <c r="O6" s="91">
        <f t="shared" ref="O5:O13" si="3">D6/K6</f>
        <v>8.7995026410147652</v>
      </c>
      <c r="P6" s="91">
        <f>'Raw data'!O5</f>
        <v>1.24</v>
      </c>
    </row>
    <row r="7" spans="2:16" x14ac:dyDescent="0.3">
      <c r="B7" s="75" t="str">
        <f>'Raw data'!B6</f>
        <v>Andhra Paper</v>
      </c>
      <c r="C7" s="81"/>
      <c r="D7" s="76">
        <f>'Raw data'!C6*'Raw data'!D6</f>
        <v>2106.3510000000001</v>
      </c>
      <c r="E7" s="77">
        <f>'Raw data'!H6-'Raw data'!I6</f>
        <v>88.82</v>
      </c>
      <c r="F7" s="76">
        <f t="shared" si="0"/>
        <v>2195.1710000000003</v>
      </c>
      <c r="G7" s="77">
        <f>'Raw data'!C6</f>
        <v>105.9</v>
      </c>
      <c r="H7" s="79">
        <f>'Raw data'!P6</f>
        <v>1893.2</v>
      </c>
      <c r="I7" s="79">
        <f>'Raw data'!J6</f>
        <v>1638.88</v>
      </c>
      <c r="J7" s="79">
        <f t="shared" si="1"/>
        <v>403.52408088235296</v>
      </c>
      <c r="K7" s="79">
        <f>'Raw data'!K6</f>
        <v>339.74</v>
      </c>
      <c r="L7" s="82"/>
      <c r="M7" s="80">
        <f t="shared" si="2"/>
        <v>1.3394336376061702</v>
      </c>
      <c r="N7" s="80">
        <f>'Raw data'!M6</f>
        <v>5.44</v>
      </c>
      <c r="O7" s="91">
        <f t="shared" si="3"/>
        <v>6.1998910931889091</v>
      </c>
      <c r="P7" s="91">
        <f>'Raw data'!O6</f>
        <v>1.1100000000000001</v>
      </c>
    </row>
    <row r="8" spans="2:16" x14ac:dyDescent="0.3">
      <c r="B8" s="75" t="str">
        <f>'Raw data'!B7</f>
        <v>T N Newsprint</v>
      </c>
      <c r="C8" s="81"/>
      <c r="D8" s="76">
        <f>'Raw data'!C7*'Raw data'!D7</f>
        <v>1515.6184000000001</v>
      </c>
      <c r="E8" s="77">
        <f>'Raw data'!H7-'Raw data'!I7</f>
        <v>1753.3600000000001</v>
      </c>
      <c r="F8" s="76">
        <f t="shared" si="0"/>
        <v>3268.9784</v>
      </c>
      <c r="G8" s="77">
        <f>'Raw data'!C7</f>
        <v>219.02</v>
      </c>
      <c r="H8" s="79">
        <f>'Raw data'!P7</f>
        <v>2089.7199999999998</v>
      </c>
      <c r="I8" s="79">
        <f>'Raw data'!J7</f>
        <v>4549.01</v>
      </c>
      <c r="J8" s="79">
        <f t="shared" si="1"/>
        <v>668.5027402862986</v>
      </c>
      <c r="K8" s="79">
        <f>'Raw data'!K7</f>
        <v>208.16</v>
      </c>
      <c r="L8" s="82"/>
      <c r="M8" s="80">
        <f t="shared" si="2"/>
        <v>0.71861314879501248</v>
      </c>
      <c r="N8" s="80">
        <f>'Raw data'!M7</f>
        <v>4.8899999999999997</v>
      </c>
      <c r="O8" s="91">
        <f t="shared" si="3"/>
        <v>7.2810261337432749</v>
      </c>
      <c r="P8" s="91">
        <f>'Raw data'!O7</f>
        <v>0.73</v>
      </c>
    </row>
    <row r="9" spans="2:16" x14ac:dyDescent="0.3">
      <c r="B9" s="75" t="str">
        <f>'Raw data'!B8</f>
        <v>Pakka</v>
      </c>
      <c r="C9" s="81"/>
      <c r="D9" s="76">
        <f>'Raw data'!C8*'Raw data'!D8</f>
        <v>1316.354</v>
      </c>
      <c r="E9" s="77">
        <f>'Raw data'!H8-'Raw data'!I8</f>
        <v>113.62</v>
      </c>
      <c r="F9" s="76">
        <f t="shared" si="0"/>
        <v>1429.9740000000002</v>
      </c>
      <c r="G9" s="77">
        <f>'Raw data'!C8</f>
        <v>334.1</v>
      </c>
      <c r="H9" s="79">
        <f>'Raw data'!P8</f>
        <v>264.69</v>
      </c>
      <c r="I9" s="79">
        <f>'Raw data'!J8</f>
        <v>395.78</v>
      </c>
      <c r="J9" s="79">
        <f t="shared" si="1"/>
        <v>89.992070484581504</v>
      </c>
      <c r="K9" s="79">
        <f>'Raw data'!K8</f>
        <v>48.67</v>
      </c>
      <c r="L9" s="82"/>
      <c r="M9" s="80">
        <f t="shared" si="2"/>
        <v>3.6130527060488156</v>
      </c>
      <c r="N9" s="80">
        <f>'Raw data'!M8</f>
        <v>15.89</v>
      </c>
      <c r="O9" s="91">
        <f t="shared" si="3"/>
        <v>27.046517361824531</v>
      </c>
      <c r="P9" s="91">
        <f>'Raw data'!O8</f>
        <v>4.9400000000000004</v>
      </c>
    </row>
    <row r="10" spans="2:16" x14ac:dyDescent="0.3">
      <c r="B10" s="75" t="str">
        <f>'Raw data'!B9</f>
        <v>Kuantum Papers</v>
      </c>
      <c r="C10" s="81"/>
      <c r="D10" s="76">
        <f>'Raw data'!C9*'Raw data'!D9</f>
        <v>1252.9296000000002</v>
      </c>
      <c r="E10" s="77">
        <f>'Raw data'!H9-'Raw data'!I9</f>
        <v>434.57</v>
      </c>
      <c r="F10" s="76">
        <f t="shared" si="0"/>
        <v>1687.4996000000001</v>
      </c>
      <c r="G10" s="77">
        <f>'Raw data'!C9</f>
        <v>143.52000000000001</v>
      </c>
      <c r="H10" s="79">
        <f>'Raw data'!P9</f>
        <v>1123.8499999999999</v>
      </c>
      <c r="I10" s="79">
        <f>'Raw data'!J9</f>
        <v>1179.25</v>
      </c>
      <c r="J10" s="79">
        <f t="shared" si="1"/>
        <v>300.26683274021354</v>
      </c>
      <c r="K10" s="79">
        <f>'Raw data'!K9</f>
        <v>183.83</v>
      </c>
      <c r="L10" s="82"/>
      <c r="M10" s="80">
        <f t="shared" si="2"/>
        <v>1.4309939368242528</v>
      </c>
      <c r="N10" s="80">
        <f>'Raw data'!M9</f>
        <v>5.62</v>
      </c>
      <c r="O10" s="91">
        <f t="shared" si="3"/>
        <v>6.8156971114616773</v>
      </c>
      <c r="P10" s="91">
        <f>'Raw data'!O9</f>
        <v>1.1100000000000001</v>
      </c>
    </row>
    <row r="11" spans="2:16" x14ac:dyDescent="0.3">
      <c r="B11" s="75" t="str">
        <f>'Raw data'!B10</f>
        <v>Satia Industries</v>
      </c>
      <c r="C11" s="81"/>
      <c r="D11" s="76">
        <f>'Raw data'!C10*'Raw data'!D10</f>
        <v>1161.4000000000001</v>
      </c>
      <c r="E11" s="77">
        <f>'Raw data'!H10-'Raw data'!I10</f>
        <v>298.99</v>
      </c>
      <c r="F11" s="76">
        <f t="shared" si="0"/>
        <v>1460.39</v>
      </c>
      <c r="G11" s="77">
        <f>'Raw data'!C10</f>
        <v>116.14</v>
      </c>
      <c r="H11" s="79">
        <f>'Raw data'!P10</f>
        <v>932.29</v>
      </c>
      <c r="I11" s="79">
        <f>'Raw data'!J10</f>
        <v>1638.98</v>
      </c>
      <c r="J11" s="79">
        <f t="shared" si="1"/>
        <v>389.43733333333336</v>
      </c>
      <c r="K11" s="79">
        <f>'Raw data'!K10</f>
        <v>211.19</v>
      </c>
      <c r="L11" s="82"/>
      <c r="M11" s="80">
        <f t="shared" si="2"/>
        <v>0.89103588817435242</v>
      </c>
      <c r="N11" s="80">
        <f>'Raw data'!M10</f>
        <v>3.75</v>
      </c>
      <c r="O11" s="91">
        <f t="shared" si="3"/>
        <v>5.4993134144609126</v>
      </c>
      <c r="P11" s="91">
        <f>'Raw data'!O10</f>
        <v>1.25</v>
      </c>
    </row>
    <row r="12" spans="2:16" x14ac:dyDescent="0.3">
      <c r="B12" s="75" t="str">
        <f>'Raw data'!B11</f>
        <v>Pudumjee Paper</v>
      </c>
      <c r="C12" s="81"/>
      <c r="D12" s="76">
        <f>'Raw data'!C11*'Raw data'!D11</f>
        <v>1152.6553999999999</v>
      </c>
      <c r="E12" s="77">
        <f>'Raw data'!H11-'Raw data'!I11</f>
        <v>14.510000000000002</v>
      </c>
      <c r="F12" s="76">
        <f t="shared" si="0"/>
        <v>1167.1653999999999</v>
      </c>
      <c r="G12" s="77">
        <f>'Raw data'!C11</f>
        <v>121.46</v>
      </c>
      <c r="H12" s="79">
        <f>'Raw data'!P11</f>
        <v>492.3</v>
      </c>
      <c r="I12" s="79">
        <f>'Raw data'!J11</f>
        <v>806.84</v>
      </c>
      <c r="J12" s="79">
        <f t="shared" si="1"/>
        <v>170.38910948905109</v>
      </c>
      <c r="K12" s="79">
        <f>'Raw data'!K11</f>
        <v>98.14</v>
      </c>
      <c r="L12" s="82"/>
      <c r="M12" s="80">
        <f t="shared" si="2"/>
        <v>1.446588419017401</v>
      </c>
      <c r="N12" s="80">
        <f>'Raw data'!M11</f>
        <v>6.85</v>
      </c>
      <c r="O12" s="91">
        <f t="shared" si="3"/>
        <v>11.745011208477683</v>
      </c>
      <c r="P12" s="91">
        <f>'Raw data'!O11</f>
        <v>2.34</v>
      </c>
    </row>
    <row r="13" spans="2:16" x14ac:dyDescent="0.3">
      <c r="B13" s="75" t="str">
        <f>'Raw data'!B12</f>
        <v>Orient Paper</v>
      </c>
      <c r="C13" s="81"/>
      <c r="D13" s="76">
        <f>'Raw data'!C12*'Raw data'!D12</f>
        <v>1023.2284</v>
      </c>
      <c r="E13" s="77">
        <f>'Raw data'!H12-'Raw data'!I12</f>
        <v>318.10000000000002</v>
      </c>
      <c r="F13" s="76">
        <f t="shared" si="0"/>
        <v>1341.3283999999999</v>
      </c>
      <c r="G13" s="77">
        <f>'Raw data'!C12</f>
        <v>48.22</v>
      </c>
      <c r="H13" s="79">
        <f>'Raw data'!P12</f>
        <v>1618.98</v>
      </c>
      <c r="I13" s="79">
        <f>'Raw data'!J12</f>
        <v>826.97</v>
      </c>
      <c r="J13" s="79">
        <f t="shared" si="1"/>
        <v>29.350730853391681</v>
      </c>
      <c r="K13" s="79">
        <f>'Raw data'!K12</f>
        <v>6.23</v>
      </c>
      <c r="L13" s="82"/>
      <c r="M13" s="80">
        <f t="shared" si="2"/>
        <v>1.6219795155809762</v>
      </c>
      <c r="N13" s="80">
        <f>'Raw data'!M12</f>
        <v>45.7</v>
      </c>
      <c r="O13" s="91">
        <f t="shared" si="3"/>
        <v>164.24211878009629</v>
      </c>
      <c r="P13" s="91">
        <f>'Raw data'!O12</f>
        <v>0.63</v>
      </c>
    </row>
    <row r="15" spans="2:16" x14ac:dyDescent="0.3">
      <c r="B15" s="83" t="s">
        <v>157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>
        <f>AVERAGE(M4:M13)</f>
        <v>1.4459115882757565</v>
      </c>
      <c r="N15" s="84">
        <f>AVERAGE(N4:N13)</f>
        <v>10.318999999999999</v>
      </c>
      <c r="O15" s="84">
        <f>AVERAGE(O4:O13)</f>
        <v>24.959010617083525</v>
      </c>
      <c r="P15" s="84">
        <f>AVERAGE(P4:P13)</f>
        <v>1.6119999999999997</v>
      </c>
    </row>
    <row r="16" spans="2:16" x14ac:dyDescent="0.3">
      <c r="B16" s="83" t="s">
        <v>158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>
        <f>MEDIAN(M4:M13)</f>
        <v>1.3852137872152115</v>
      </c>
      <c r="N16" s="84">
        <f>MEDIAN(N4:N13)</f>
        <v>5.53</v>
      </c>
      <c r="O16" s="84">
        <f>MEDIAN(O4:O13)</f>
        <v>7.0483616226024761</v>
      </c>
      <c r="P16" s="84">
        <f>MEDIAN(P4:P13)</f>
        <v>1.2450000000000001</v>
      </c>
    </row>
    <row r="18" spans="2:16" x14ac:dyDescent="0.3">
      <c r="B18" s="85" t="s">
        <v>159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71" t="s">
        <v>155</v>
      </c>
      <c r="N18" s="86" t="s">
        <v>136</v>
      </c>
      <c r="O18" s="71" t="s">
        <v>156</v>
      </c>
      <c r="P18" s="71" t="s">
        <v>165</v>
      </c>
    </row>
    <row r="20" spans="2:16" x14ac:dyDescent="0.3">
      <c r="B20" s="34" t="s">
        <v>160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87">
        <f>I4*M16</f>
        <v>9403.551498786208</v>
      </c>
      <c r="N20" s="87">
        <f>J4*N16</f>
        <v>8956.1351480263165</v>
      </c>
      <c r="O20" s="87"/>
      <c r="P20" s="87"/>
    </row>
    <row r="21" spans="2:16" x14ac:dyDescent="0.3">
      <c r="B21" s="34" t="s">
        <v>151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87">
        <f>E4</f>
        <v>2130.7199999999998</v>
      </c>
      <c r="N21" s="87">
        <f>E4</f>
        <v>2130.7199999999998</v>
      </c>
      <c r="O21" s="87"/>
      <c r="P21" s="87"/>
    </row>
    <row r="22" spans="2:16" x14ac:dyDescent="0.3">
      <c r="B22" s="34" t="s">
        <v>161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87">
        <f>M20-M21</f>
        <v>7272.8314987862086</v>
      </c>
      <c r="N22" s="87">
        <f>N20-N21</f>
        <v>6825.4151480263172</v>
      </c>
      <c r="O22" s="87">
        <f>K4*O16</f>
        <v>7987.2033907331261</v>
      </c>
      <c r="P22" s="87">
        <f>H4*P16</f>
        <v>6311.5275000000001</v>
      </c>
    </row>
    <row r="23" spans="2:16" x14ac:dyDescent="0.3">
      <c r="B23" s="34" t="s">
        <v>162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88">
        <f>'Data Sheet'!B6</f>
        <v>16.940241492864985</v>
      </c>
      <c r="N23" s="88">
        <f>M23</f>
        <v>16.940241492864985</v>
      </c>
      <c r="O23" s="88">
        <f>N23</f>
        <v>16.940241492864985</v>
      </c>
      <c r="P23" s="88">
        <f>O23</f>
        <v>16.940241492864985</v>
      </c>
    </row>
    <row r="24" spans="2:16" x14ac:dyDescent="0.3">
      <c r="M24" s="53"/>
      <c r="N24" s="53"/>
      <c r="O24" s="53"/>
    </row>
    <row r="25" spans="2:16" x14ac:dyDescent="0.3">
      <c r="B25" s="89" t="s">
        <v>163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90">
        <f>M22/M23</f>
        <v>429.32277570242627</v>
      </c>
      <c r="N25" s="90">
        <f t="shared" ref="N25:O25" si="4">N22/N23</f>
        <v>402.91132513672227</v>
      </c>
      <c r="O25" s="90">
        <f t="shared" si="4"/>
        <v>471.49288834502357</v>
      </c>
      <c r="P25" s="90">
        <f>P22/P23</f>
        <v>372.57600505036106</v>
      </c>
    </row>
    <row r="26" spans="2:16" ht="43.2" x14ac:dyDescent="0.3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99" t="s">
        <v>164</v>
      </c>
      <c r="N26" s="99" t="s">
        <v>167</v>
      </c>
      <c r="O26" s="99" t="s">
        <v>168</v>
      </c>
      <c r="P26" s="9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Sheet</vt:lpstr>
      <vt:lpstr>HistoricalFS</vt:lpstr>
      <vt:lpstr>Intrinsic Growth</vt:lpstr>
      <vt:lpstr>DCF</vt:lpstr>
      <vt:lpstr>Raw data</vt:lpstr>
      <vt:lpstr>Relative Valution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ActSoftware</dc:creator>
  <cp:lastModifiedBy>ActSoftware</cp:lastModifiedBy>
  <dcterms:created xsi:type="dcterms:W3CDTF">2024-09-15T16:00:41Z</dcterms:created>
  <dcterms:modified xsi:type="dcterms:W3CDTF">2024-09-15T19:18:26Z</dcterms:modified>
</cp:coreProperties>
</file>