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defaultThemeVersion="124226"/>
  <mc:AlternateContent xmlns:mc="http://schemas.openxmlformats.org/markup-compatibility/2006">
    <mc:Choice Requires="x15">
      <x15ac:absPath xmlns:x15ac="http://schemas.microsoft.com/office/spreadsheetml/2010/11/ac" url="G:\data\data teori kuliah\semester 4\pspk\"/>
    </mc:Choice>
  </mc:AlternateContent>
  <xr:revisionPtr revIDLastSave="0" documentId="13_ncr:1_{012FDD86-C2E8-41E0-A467-A12141DA49C9}" xr6:coauthVersionLast="43" xr6:coauthVersionMax="43" xr10:uidLastSave="{00000000-0000-0000-0000-000000000000}"/>
  <bookViews>
    <workbookView xWindow="-120" yWindow="-120" windowWidth="20730" windowHeight="11160" activeTab="5" xr2:uid="{00000000-000D-0000-FFFF-FFFF00000000}"/>
  </bookViews>
  <sheets>
    <sheet name="Sheet1" sheetId="1" r:id="rId1"/>
    <sheet name="Sheet2" sheetId="2" r:id="rId2"/>
    <sheet name="Sheet3" sheetId="3" r:id="rId3"/>
    <sheet name="Sheet4" sheetId="4" r:id="rId4"/>
    <sheet name="Sheet5" sheetId="5" r:id="rId5"/>
    <sheet name="Sheet1 (2)" sheetId="6" r:id="rId6"/>
  </sheets>
  <definedNames>
    <definedName name="_GoBack" localSheetId="2">Sheet3!$C$222</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46" i="6" l="1"/>
  <c r="I245" i="6"/>
  <c r="I244" i="6"/>
  <c r="I243" i="6"/>
  <c r="I242" i="6"/>
  <c r="D234" i="6"/>
  <c r="D230" i="6"/>
  <c r="D233" i="6" s="1"/>
  <c r="G229" i="6"/>
  <c r="F229" i="6"/>
  <c r="E229" i="6"/>
  <c r="D229" i="6"/>
  <c r="D237" i="6" s="1"/>
  <c r="C229" i="6"/>
  <c r="G228" i="6"/>
  <c r="F228" i="6"/>
  <c r="E228" i="6"/>
  <c r="D228" i="6"/>
  <c r="D236" i="6" s="1"/>
  <c r="C228" i="6"/>
  <c r="G227" i="6"/>
  <c r="F227" i="6"/>
  <c r="E227" i="6"/>
  <c r="D227" i="6"/>
  <c r="C227" i="6"/>
  <c r="G226" i="6"/>
  <c r="F226" i="6"/>
  <c r="E226" i="6"/>
  <c r="D226" i="6"/>
  <c r="C226" i="6"/>
  <c r="G225" i="6"/>
  <c r="G230" i="6" s="1"/>
  <c r="G233" i="6" s="1"/>
  <c r="F225" i="6"/>
  <c r="E225" i="6"/>
  <c r="D225" i="6"/>
  <c r="C225" i="6"/>
  <c r="C230" i="6" s="1"/>
  <c r="C233" i="6" s="1"/>
  <c r="G213" i="6"/>
  <c r="F213" i="6"/>
  <c r="E213" i="6"/>
  <c r="D213" i="6"/>
  <c r="C213" i="6"/>
  <c r="G212" i="6"/>
  <c r="F212" i="6"/>
  <c r="E212" i="6"/>
  <c r="D212" i="6"/>
  <c r="C212" i="6"/>
  <c r="G211" i="6"/>
  <c r="F211" i="6"/>
  <c r="E211" i="6"/>
  <c r="D211" i="6"/>
  <c r="C211" i="6"/>
  <c r="G210" i="6"/>
  <c r="F210" i="6"/>
  <c r="E210" i="6"/>
  <c r="E214" i="6" s="1"/>
  <c r="D210" i="6"/>
  <c r="C210" i="6"/>
  <c r="G209" i="6"/>
  <c r="F209" i="6"/>
  <c r="E209" i="6"/>
  <c r="D209" i="6"/>
  <c r="C209" i="6"/>
  <c r="G197" i="6"/>
  <c r="F197" i="6"/>
  <c r="E197" i="6"/>
  <c r="D197" i="6"/>
  <c r="C197" i="6"/>
  <c r="G196" i="6"/>
  <c r="F196" i="6"/>
  <c r="E196" i="6"/>
  <c r="D196" i="6"/>
  <c r="C196" i="6"/>
  <c r="G195" i="6"/>
  <c r="F195" i="6"/>
  <c r="E195" i="6"/>
  <c r="D195" i="6"/>
  <c r="C195" i="6"/>
  <c r="G194" i="6"/>
  <c r="F194" i="6"/>
  <c r="F198" i="6" s="1"/>
  <c r="E194" i="6"/>
  <c r="D194" i="6"/>
  <c r="C194" i="6"/>
  <c r="G193" i="6"/>
  <c r="F193" i="6"/>
  <c r="E193" i="6"/>
  <c r="E198" i="6" s="1"/>
  <c r="E205" i="6" s="1"/>
  <c r="D193" i="6"/>
  <c r="C193" i="6"/>
  <c r="G179" i="6"/>
  <c r="F179" i="6"/>
  <c r="E179" i="6"/>
  <c r="D179" i="6"/>
  <c r="C179" i="6"/>
  <c r="G178" i="6"/>
  <c r="F178" i="6"/>
  <c r="E178" i="6"/>
  <c r="D178" i="6"/>
  <c r="C178" i="6"/>
  <c r="G177" i="6"/>
  <c r="F177" i="6"/>
  <c r="E177" i="6"/>
  <c r="D177" i="6"/>
  <c r="C177" i="6"/>
  <c r="G176" i="6"/>
  <c r="G180" i="6" s="1"/>
  <c r="F176" i="6"/>
  <c r="E176" i="6"/>
  <c r="D176" i="6"/>
  <c r="C176" i="6"/>
  <c r="C180" i="6" s="1"/>
  <c r="G175" i="6"/>
  <c r="F175" i="6"/>
  <c r="E175" i="6"/>
  <c r="D175" i="6"/>
  <c r="C175" i="6"/>
  <c r="D169" i="6"/>
  <c r="D165" i="6"/>
  <c r="G164" i="6"/>
  <c r="F164" i="6"/>
  <c r="E164" i="6"/>
  <c r="D164" i="6"/>
  <c r="D172" i="6" s="1"/>
  <c r="C164" i="6"/>
  <c r="G163" i="6"/>
  <c r="F163" i="6"/>
  <c r="E163" i="6"/>
  <c r="D163" i="6"/>
  <c r="D171" i="6" s="1"/>
  <c r="C163" i="6"/>
  <c r="G162" i="6"/>
  <c r="F162" i="6"/>
  <c r="E162" i="6"/>
  <c r="D162" i="6"/>
  <c r="C162" i="6"/>
  <c r="F161" i="6"/>
  <c r="E161" i="6"/>
  <c r="D161" i="6"/>
  <c r="C161" i="6"/>
  <c r="G160" i="6"/>
  <c r="G165" i="6" s="1"/>
  <c r="F160" i="6"/>
  <c r="F165" i="6" s="1"/>
  <c r="E160" i="6"/>
  <c r="E165" i="6" s="1"/>
  <c r="E170" i="6" s="1"/>
  <c r="D160" i="6"/>
  <c r="C160" i="6"/>
  <c r="C165" i="6" s="1"/>
  <c r="H156" i="6"/>
  <c r="I156" i="6" s="1"/>
  <c r="I155" i="6"/>
  <c r="H155" i="6"/>
  <c r="I154" i="6"/>
  <c r="H154" i="6"/>
  <c r="E154" i="6"/>
  <c r="H153" i="6"/>
  <c r="I153" i="6" s="1"/>
  <c r="E149" i="6"/>
  <c r="E155" i="6" s="1"/>
  <c r="F148" i="6"/>
  <c r="D148" i="6"/>
  <c r="G147" i="6"/>
  <c r="D147" i="6"/>
  <c r="G146" i="6"/>
  <c r="G154" i="6" s="1"/>
  <c r="F146" i="6"/>
  <c r="D146" i="6"/>
  <c r="D149" i="6" s="1"/>
  <c r="D153" i="6" s="1"/>
  <c r="G145" i="6"/>
  <c r="F145" i="6"/>
  <c r="C145" i="6"/>
  <c r="G144" i="6"/>
  <c r="G149" i="6" s="1"/>
  <c r="G156" i="6" s="1"/>
  <c r="F144" i="6"/>
  <c r="D144" i="6"/>
  <c r="J131" i="6"/>
  <c r="I131" i="6"/>
  <c r="J130" i="6"/>
  <c r="I130" i="6"/>
  <c r="J129" i="6"/>
  <c r="I129" i="6"/>
  <c r="J128" i="6"/>
  <c r="I128" i="6"/>
  <c r="F128" i="6"/>
  <c r="J127" i="6"/>
  <c r="I127" i="6"/>
  <c r="J126" i="6"/>
  <c r="I126" i="6"/>
  <c r="D121" i="6"/>
  <c r="N120" i="6"/>
  <c r="M120" i="6"/>
  <c r="L120" i="6"/>
  <c r="K120" i="6"/>
  <c r="J120" i="6"/>
  <c r="I120" i="6"/>
  <c r="H120" i="6"/>
  <c r="G120" i="6"/>
  <c r="G131" i="6" s="1"/>
  <c r="F120" i="6"/>
  <c r="E120" i="6"/>
  <c r="D120" i="6"/>
  <c r="C120" i="6"/>
  <c r="N119" i="6"/>
  <c r="M119" i="6"/>
  <c r="L119" i="6"/>
  <c r="K119" i="6"/>
  <c r="J119" i="6"/>
  <c r="I119" i="6"/>
  <c r="H119" i="6"/>
  <c r="G119" i="6"/>
  <c r="G130" i="6" s="1"/>
  <c r="F119" i="6"/>
  <c r="E119" i="6"/>
  <c r="D119" i="6"/>
  <c r="C119" i="6"/>
  <c r="N118" i="6"/>
  <c r="M118" i="6"/>
  <c r="L118" i="6"/>
  <c r="K118" i="6"/>
  <c r="J118" i="6"/>
  <c r="I118" i="6"/>
  <c r="H118" i="6"/>
  <c r="G118" i="6"/>
  <c r="G129" i="6" s="1"/>
  <c r="F118" i="6"/>
  <c r="E118" i="6"/>
  <c r="D118" i="6"/>
  <c r="C118" i="6"/>
  <c r="N117" i="6"/>
  <c r="M117" i="6"/>
  <c r="L117" i="6"/>
  <c r="K117" i="6"/>
  <c r="J117" i="6"/>
  <c r="I117" i="6"/>
  <c r="H117" i="6"/>
  <c r="G117" i="6"/>
  <c r="G128" i="6" s="1"/>
  <c r="F117" i="6"/>
  <c r="E117" i="6"/>
  <c r="D117" i="6"/>
  <c r="C117" i="6"/>
  <c r="N116" i="6"/>
  <c r="L116" i="6"/>
  <c r="K116" i="6"/>
  <c r="J116" i="6"/>
  <c r="I116" i="6"/>
  <c r="H116" i="6"/>
  <c r="F116" i="6"/>
  <c r="F127" i="6" s="1"/>
  <c r="E116" i="6"/>
  <c r="D116" i="6"/>
  <c r="C116" i="6"/>
  <c r="N115" i="6"/>
  <c r="M115" i="6"/>
  <c r="L115" i="6"/>
  <c r="K115" i="6"/>
  <c r="J115" i="6"/>
  <c r="I115" i="6"/>
  <c r="H115" i="6"/>
  <c r="G115" i="6"/>
  <c r="G121" i="6" s="1"/>
  <c r="G127" i="6" s="1"/>
  <c r="F115" i="6"/>
  <c r="F121" i="6" s="1"/>
  <c r="F129" i="6" s="1"/>
  <c r="E115" i="6"/>
  <c r="D115" i="6"/>
  <c r="C115" i="6"/>
  <c r="G106" i="6"/>
  <c r="F106" i="6"/>
  <c r="E106" i="6"/>
  <c r="D106" i="6"/>
  <c r="C106" i="6"/>
  <c r="G105" i="6"/>
  <c r="F105" i="6"/>
  <c r="E105" i="6"/>
  <c r="D105" i="6"/>
  <c r="C105" i="6"/>
  <c r="G104" i="6"/>
  <c r="F104" i="6"/>
  <c r="E104" i="6"/>
  <c r="D104" i="6"/>
  <c r="C104" i="6"/>
  <c r="G103" i="6"/>
  <c r="G107" i="6" s="1"/>
  <c r="F103" i="6"/>
  <c r="E103" i="6"/>
  <c r="D103" i="6"/>
  <c r="C103" i="6"/>
  <c r="C107" i="6" s="1"/>
  <c r="G102" i="6"/>
  <c r="F102" i="6"/>
  <c r="E102" i="6"/>
  <c r="D102" i="6"/>
  <c r="D107" i="6" s="1"/>
  <c r="C102" i="6"/>
  <c r="G96" i="6"/>
  <c r="F96" i="6"/>
  <c r="E96" i="6"/>
  <c r="D96" i="6"/>
  <c r="C96" i="6"/>
  <c r="G95" i="6"/>
  <c r="F95" i="6"/>
  <c r="E95" i="6"/>
  <c r="D95" i="6"/>
  <c r="C95" i="6"/>
  <c r="G94" i="6"/>
  <c r="F94" i="6"/>
  <c r="E94" i="6"/>
  <c r="D94" i="6"/>
  <c r="C94" i="6"/>
  <c r="G93" i="6"/>
  <c r="F93" i="6"/>
  <c r="E93" i="6"/>
  <c r="E97" i="6" s="1"/>
  <c r="D93" i="6"/>
  <c r="C93" i="6"/>
  <c r="G92" i="6"/>
  <c r="F92" i="6"/>
  <c r="F97" i="6" s="1"/>
  <c r="E92" i="6"/>
  <c r="D92" i="6"/>
  <c r="C92" i="6"/>
  <c r="G87" i="6"/>
  <c r="G86" i="6"/>
  <c r="F86" i="6"/>
  <c r="E86" i="6"/>
  <c r="D86" i="6"/>
  <c r="C86" i="6"/>
  <c r="G85" i="6"/>
  <c r="F85" i="6"/>
  <c r="E85" i="6"/>
  <c r="D85" i="6"/>
  <c r="C85" i="6"/>
  <c r="G84" i="6"/>
  <c r="F84" i="6"/>
  <c r="E84" i="6"/>
  <c r="D84" i="6"/>
  <c r="C84" i="6"/>
  <c r="G83" i="6"/>
  <c r="F83" i="6"/>
  <c r="E83" i="6"/>
  <c r="D83" i="6"/>
  <c r="C83" i="6"/>
  <c r="C87" i="6" s="1"/>
  <c r="G82" i="6"/>
  <c r="F82" i="6"/>
  <c r="F87" i="6" s="1"/>
  <c r="E82" i="6"/>
  <c r="E87" i="6" s="1"/>
  <c r="D82" i="6"/>
  <c r="D87" i="6" s="1"/>
  <c r="C82" i="6"/>
  <c r="E77" i="6"/>
  <c r="G76" i="6"/>
  <c r="F76" i="6"/>
  <c r="E76" i="6"/>
  <c r="D76" i="6"/>
  <c r="C76" i="6"/>
  <c r="G75" i="6"/>
  <c r="F75" i="6"/>
  <c r="E75" i="6"/>
  <c r="D75" i="6"/>
  <c r="C75" i="6"/>
  <c r="G74" i="6"/>
  <c r="F74" i="6"/>
  <c r="E74" i="6"/>
  <c r="D74" i="6"/>
  <c r="C74" i="6"/>
  <c r="G73" i="6"/>
  <c r="F73" i="6"/>
  <c r="E73" i="6"/>
  <c r="D73" i="6"/>
  <c r="C73" i="6"/>
  <c r="G72" i="6"/>
  <c r="G77" i="6" s="1"/>
  <c r="F72" i="6"/>
  <c r="F77" i="6" s="1"/>
  <c r="E72" i="6"/>
  <c r="D72" i="6"/>
  <c r="D77" i="6" s="1"/>
  <c r="C72" i="6"/>
  <c r="C77" i="6" s="1"/>
  <c r="G67" i="6"/>
  <c r="G66" i="6"/>
  <c r="F66" i="6"/>
  <c r="E66" i="6"/>
  <c r="D66" i="6"/>
  <c r="C66" i="6"/>
  <c r="G65" i="6"/>
  <c r="F65" i="6"/>
  <c r="E65" i="6"/>
  <c r="D65" i="6"/>
  <c r="C65" i="6"/>
  <c r="G64" i="6"/>
  <c r="F64" i="6"/>
  <c r="E64" i="6"/>
  <c r="D64" i="6"/>
  <c r="C64" i="6"/>
  <c r="F63" i="6"/>
  <c r="E63" i="6"/>
  <c r="D63" i="6"/>
  <c r="C63" i="6"/>
  <c r="G62" i="6"/>
  <c r="F62" i="6"/>
  <c r="F67" i="6" s="1"/>
  <c r="E62" i="6"/>
  <c r="E67" i="6" s="1"/>
  <c r="D62" i="6"/>
  <c r="D67" i="6" s="1"/>
  <c r="C62" i="6"/>
  <c r="C67" i="6" s="1"/>
  <c r="E57" i="6"/>
  <c r="F56" i="6"/>
  <c r="D56" i="6"/>
  <c r="G55" i="6"/>
  <c r="D55" i="6"/>
  <c r="D57" i="6" s="1"/>
  <c r="G54" i="6"/>
  <c r="F54" i="6"/>
  <c r="D54" i="6"/>
  <c r="G53" i="6"/>
  <c r="F53" i="6"/>
  <c r="C53" i="6"/>
  <c r="C57" i="6" s="1"/>
  <c r="G52" i="6"/>
  <c r="F52" i="6"/>
  <c r="F57" i="6" s="1"/>
  <c r="D52" i="6"/>
  <c r="H44" i="6"/>
  <c r="G44" i="6"/>
  <c r="F44" i="6"/>
  <c r="E44" i="6"/>
  <c r="D44" i="6"/>
  <c r="C44" i="6"/>
  <c r="H43" i="6"/>
  <c r="G43" i="6"/>
  <c r="F43" i="6"/>
  <c r="E43" i="6"/>
  <c r="D43" i="6"/>
  <c r="C43" i="6"/>
  <c r="H42" i="6"/>
  <c r="G42" i="6"/>
  <c r="F42" i="6"/>
  <c r="E42" i="6"/>
  <c r="D42" i="6"/>
  <c r="C42" i="6"/>
  <c r="H41" i="6"/>
  <c r="G41" i="6"/>
  <c r="G45" i="6" s="1"/>
  <c r="F41" i="6"/>
  <c r="F45" i="6" s="1"/>
  <c r="E41" i="6"/>
  <c r="D41" i="6"/>
  <c r="C41" i="6"/>
  <c r="H40" i="6"/>
  <c r="F40" i="6"/>
  <c r="E40" i="6"/>
  <c r="D40" i="6"/>
  <c r="C40" i="6"/>
  <c r="C45" i="6" s="1"/>
  <c r="H39" i="6"/>
  <c r="H45" i="6" s="1"/>
  <c r="G39" i="6"/>
  <c r="F39" i="6"/>
  <c r="E39" i="6"/>
  <c r="E45" i="6" s="1"/>
  <c r="D39" i="6"/>
  <c r="D45" i="6" s="1"/>
  <c r="C39" i="6"/>
  <c r="I246" i="1"/>
  <c r="I245" i="1"/>
  <c r="I244" i="1"/>
  <c r="I243" i="1"/>
  <c r="I242" i="1"/>
  <c r="H153" i="1"/>
  <c r="H154" i="1"/>
  <c r="H155" i="1"/>
  <c r="H156" i="1"/>
  <c r="I126" i="1"/>
  <c r="I127" i="1"/>
  <c r="I128" i="1"/>
  <c r="I129" i="1"/>
  <c r="I130" i="1"/>
  <c r="I131" i="1"/>
  <c r="F172" i="1"/>
  <c r="F168" i="1"/>
  <c r="N187" i="5"/>
  <c r="N189" i="5" s="1"/>
  <c r="M187" i="5"/>
  <c r="M190" i="5" s="1"/>
  <c r="H188" i="5"/>
  <c r="H189" i="5" s="1"/>
  <c r="C175" i="1"/>
  <c r="D175" i="1"/>
  <c r="E175" i="1"/>
  <c r="F175" i="1"/>
  <c r="G175" i="1"/>
  <c r="C176" i="1"/>
  <c r="D176" i="1"/>
  <c r="E176" i="1"/>
  <c r="F176" i="1"/>
  <c r="G176" i="1"/>
  <c r="C177" i="1"/>
  <c r="D177" i="1"/>
  <c r="E177" i="1"/>
  <c r="F177" i="1"/>
  <c r="G177" i="1"/>
  <c r="C178" i="1"/>
  <c r="D178" i="1"/>
  <c r="E178" i="1"/>
  <c r="F178" i="1"/>
  <c r="G178" i="1"/>
  <c r="G229" i="1"/>
  <c r="F229" i="1"/>
  <c r="E229" i="1"/>
  <c r="D229" i="1"/>
  <c r="C229" i="1"/>
  <c r="G228" i="1"/>
  <c r="F228" i="1"/>
  <c r="E228" i="1"/>
  <c r="D228" i="1"/>
  <c r="C228" i="1"/>
  <c r="G227" i="1"/>
  <c r="F227" i="1"/>
  <c r="E227" i="1"/>
  <c r="D227" i="1"/>
  <c r="C227" i="1"/>
  <c r="G226" i="1"/>
  <c r="F226" i="1"/>
  <c r="E226" i="1"/>
  <c r="D226" i="1"/>
  <c r="C226" i="1"/>
  <c r="G225" i="1"/>
  <c r="F225" i="1"/>
  <c r="E225" i="1"/>
  <c r="D225" i="1"/>
  <c r="C225" i="1"/>
  <c r="G213" i="1"/>
  <c r="F213" i="1"/>
  <c r="E213" i="1"/>
  <c r="D213" i="1"/>
  <c r="C213" i="1"/>
  <c r="G212" i="1"/>
  <c r="F212" i="1"/>
  <c r="E212" i="1"/>
  <c r="D212" i="1"/>
  <c r="C212" i="1"/>
  <c r="G211" i="1"/>
  <c r="F211" i="1"/>
  <c r="E211" i="1"/>
  <c r="D211" i="1"/>
  <c r="C211" i="1"/>
  <c r="G210" i="1"/>
  <c r="F210" i="1"/>
  <c r="E210" i="1"/>
  <c r="D210" i="1"/>
  <c r="C210" i="1"/>
  <c r="G209" i="1"/>
  <c r="F209" i="1"/>
  <c r="E209" i="1"/>
  <c r="D209" i="1"/>
  <c r="C209" i="1"/>
  <c r="G197" i="1"/>
  <c r="F197" i="1"/>
  <c r="E197" i="1"/>
  <c r="D197" i="1"/>
  <c r="C197" i="1"/>
  <c r="G196" i="1"/>
  <c r="F196" i="1"/>
  <c r="E196" i="1"/>
  <c r="D196" i="1"/>
  <c r="C196" i="1"/>
  <c r="G195" i="1"/>
  <c r="F195" i="1"/>
  <c r="E195" i="1"/>
  <c r="D195" i="1"/>
  <c r="C195" i="1"/>
  <c r="G194" i="1"/>
  <c r="F194" i="1"/>
  <c r="E194" i="1"/>
  <c r="D194" i="1"/>
  <c r="C194" i="1"/>
  <c r="G193" i="1"/>
  <c r="F193" i="1"/>
  <c r="E193" i="1"/>
  <c r="D193" i="1"/>
  <c r="C193" i="1"/>
  <c r="G179" i="1"/>
  <c r="F179" i="1"/>
  <c r="E179" i="1"/>
  <c r="D179" i="1"/>
  <c r="C179" i="1"/>
  <c r="G164" i="1"/>
  <c r="F164" i="1"/>
  <c r="E164" i="1"/>
  <c r="D164" i="1"/>
  <c r="C164" i="1"/>
  <c r="G163" i="1"/>
  <c r="F163" i="1"/>
  <c r="E163" i="1"/>
  <c r="D163" i="1"/>
  <c r="C163" i="1"/>
  <c r="G162" i="1"/>
  <c r="F162" i="1"/>
  <c r="E162" i="1"/>
  <c r="D162" i="1"/>
  <c r="C162" i="1"/>
  <c r="F161" i="1"/>
  <c r="E161" i="1"/>
  <c r="D161" i="1"/>
  <c r="C161" i="1"/>
  <c r="G160" i="1"/>
  <c r="F160" i="1"/>
  <c r="F165" i="1" s="1"/>
  <c r="F171" i="1" s="1"/>
  <c r="E160" i="1"/>
  <c r="D160" i="1"/>
  <c r="C160" i="1"/>
  <c r="I156" i="1"/>
  <c r="I154" i="1"/>
  <c r="I153" i="1"/>
  <c r="I155" i="1"/>
  <c r="E149" i="1"/>
  <c r="E156" i="1" s="1"/>
  <c r="F148" i="1"/>
  <c r="D148" i="1"/>
  <c r="G147" i="1"/>
  <c r="D147" i="1"/>
  <c r="G146" i="1"/>
  <c r="F146" i="1"/>
  <c r="D146" i="1"/>
  <c r="G145" i="1"/>
  <c r="F145" i="1"/>
  <c r="C145" i="1"/>
  <c r="C149" i="1" s="1"/>
  <c r="C155" i="1" s="1"/>
  <c r="G144" i="1"/>
  <c r="F144" i="1"/>
  <c r="F149" i="1" s="1"/>
  <c r="F155" i="1" s="1"/>
  <c r="D144" i="1"/>
  <c r="L187" i="5"/>
  <c r="L189" i="5" s="1"/>
  <c r="J147" i="5"/>
  <c r="K139" i="5"/>
  <c r="C134" i="5"/>
  <c r="L137" i="5" s="1"/>
  <c r="A7" i="4"/>
  <c r="C12" i="2"/>
  <c r="J128" i="1"/>
  <c r="J129" i="1"/>
  <c r="N120" i="1"/>
  <c r="M120" i="1"/>
  <c r="L120" i="1"/>
  <c r="K120" i="1"/>
  <c r="J120" i="1"/>
  <c r="I120" i="1"/>
  <c r="N119" i="1"/>
  <c r="M119" i="1"/>
  <c r="L119" i="1"/>
  <c r="K119" i="1"/>
  <c r="J119" i="1"/>
  <c r="I119" i="1"/>
  <c r="N118" i="1"/>
  <c r="M118" i="1"/>
  <c r="L118" i="1"/>
  <c r="K118" i="1"/>
  <c r="J118" i="1"/>
  <c r="I118" i="1"/>
  <c r="N117" i="1"/>
  <c r="M117" i="1"/>
  <c r="L117" i="1"/>
  <c r="K117" i="1"/>
  <c r="J117" i="1"/>
  <c r="I117" i="1"/>
  <c r="N116" i="1"/>
  <c r="L116" i="1"/>
  <c r="K116" i="1"/>
  <c r="J116" i="1"/>
  <c r="I116" i="1"/>
  <c r="N115" i="1"/>
  <c r="M115" i="1"/>
  <c r="L115" i="1"/>
  <c r="K115" i="1"/>
  <c r="J115" i="1"/>
  <c r="I115" i="1"/>
  <c r="H120" i="1"/>
  <c r="G120" i="1"/>
  <c r="F120" i="1"/>
  <c r="E120" i="1"/>
  <c r="D120" i="1"/>
  <c r="C120" i="1"/>
  <c r="H119" i="1"/>
  <c r="G119" i="1"/>
  <c r="F119" i="1"/>
  <c r="E119" i="1"/>
  <c r="D119" i="1"/>
  <c r="C119" i="1"/>
  <c r="H118" i="1"/>
  <c r="G118" i="1"/>
  <c r="F118" i="1"/>
  <c r="E118" i="1"/>
  <c r="D118" i="1"/>
  <c r="C118" i="1"/>
  <c r="H117" i="1"/>
  <c r="G117" i="1"/>
  <c r="F117" i="1"/>
  <c r="E117" i="1"/>
  <c r="D117" i="1"/>
  <c r="C117" i="1"/>
  <c r="H116" i="1"/>
  <c r="F116" i="1"/>
  <c r="E116" i="1"/>
  <c r="D116" i="1"/>
  <c r="C116" i="1"/>
  <c r="H115" i="1"/>
  <c r="G115" i="1"/>
  <c r="G121" i="1" s="1"/>
  <c r="G127" i="1" s="1"/>
  <c r="F115" i="1"/>
  <c r="E115" i="1"/>
  <c r="D115" i="1"/>
  <c r="C115" i="1"/>
  <c r="G106" i="1"/>
  <c r="G104" i="1"/>
  <c r="G105" i="1"/>
  <c r="G103" i="1"/>
  <c r="F106" i="1"/>
  <c r="F105" i="1"/>
  <c r="F104" i="1"/>
  <c r="F103" i="1"/>
  <c r="E106" i="1"/>
  <c r="E105" i="1"/>
  <c r="E104" i="1"/>
  <c r="E103" i="1"/>
  <c r="G102" i="1"/>
  <c r="F102" i="1"/>
  <c r="E102" i="1"/>
  <c r="D106" i="1"/>
  <c r="D105" i="1"/>
  <c r="D104" i="1"/>
  <c r="D103" i="1"/>
  <c r="D102" i="1"/>
  <c r="C106" i="1"/>
  <c r="C105" i="1"/>
  <c r="C104" i="1"/>
  <c r="C103" i="1"/>
  <c r="C102" i="1"/>
  <c r="G96" i="1"/>
  <c r="G95" i="1"/>
  <c r="G94" i="1"/>
  <c r="G93" i="1"/>
  <c r="G92" i="1"/>
  <c r="F96" i="1"/>
  <c r="F95" i="1"/>
  <c r="F94" i="1"/>
  <c r="F93" i="1"/>
  <c r="F92" i="1"/>
  <c r="E96" i="1"/>
  <c r="E95" i="1"/>
  <c r="E94" i="1"/>
  <c r="E93" i="1"/>
  <c r="E92" i="1"/>
  <c r="D96" i="1"/>
  <c r="D95" i="1"/>
  <c r="D94" i="1"/>
  <c r="D93" i="1"/>
  <c r="D92" i="1"/>
  <c r="C96" i="1"/>
  <c r="C95" i="1"/>
  <c r="C94" i="1"/>
  <c r="C93" i="1"/>
  <c r="C92" i="1"/>
  <c r="G86" i="1"/>
  <c r="G85" i="1"/>
  <c r="G84" i="1"/>
  <c r="G83" i="1"/>
  <c r="G82" i="1"/>
  <c r="F86" i="1"/>
  <c r="F85" i="1"/>
  <c r="F84" i="1"/>
  <c r="F83" i="1"/>
  <c r="F82" i="1"/>
  <c r="E86" i="1"/>
  <c r="E85" i="1"/>
  <c r="E84" i="1"/>
  <c r="E83" i="1"/>
  <c r="E82" i="1"/>
  <c r="D86" i="1"/>
  <c r="D85" i="1"/>
  <c r="D84" i="1"/>
  <c r="D83" i="1"/>
  <c r="D82" i="1"/>
  <c r="C86" i="1"/>
  <c r="C85" i="1"/>
  <c r="C84" i="1"/>
  <c r="C83" i="1"/>
  <c r="C82" i="1"/>
  <c r="G76" i="1"/>
  <c r="G75" i="1"/>
  <c r="G74" i="1"/>
  <c r="G73" i="1"/>
  <c r="G72" i="1"/>
  <c r="F76" i="1"/>
  <c r="F75" i="1"/>
  <c r="F74" i="1"/>
  <c r="F73" i="1"/>
  <c r="F72" i="1"/>
  <c r="E76" i="1"/>
  <c r="E75" i="1"/>
  <c r="E74" i="1"/>
  <c r="E73" i="1"/>
  <c r="E72" i="1"/>
  <c r="D76" i="1"/>
  <c r="D75" i="1"/>
  <c r="D74" i="1"/>
  <c r="D73" i="1"/>
  <c r="D72" i="1"/>
  <c r="C76" i="1"/>
  <c r="C75" i="1"/>
  <c r="C74" i="1"/>
  <c r="C73" i="1"/>
  <c r="C72" i="1"/>
  <c r="G66" i="1"/>
  <c r="G65" i="1"/>
  <c r="G64" i="1"/>
  <c r="G62" i="1"/>
  <c r="F66" i="1"/>
  <c r="F65" i="1"/>
  <c r="F64" i="1"/>
  <c r="F63" i="1"/>
  <c r="F62" i="1"/>
  <c r="E66" i="1"/>
  <c r="E65" i="1"/>
  <c r="E64" i="1"/>
  <c r="E63" i="1"/>
  <c r="E62" i="1"/>
  <c r="D66" i="1"/>
  <c r="D65" i="1"/>
  <c r="D64" i="1"/>
  <c r="C64" i="1"/>
  <c r="D63" i="1"/>
  <c r="D62" i="1"/>
  <c r="C66" i="1"/>
  <c r="C65" i="1"/>
  <c r="C53" i="1"/>
  <c r="C57" i="1" s="1"/>
  <c r="C63" i="1"/>
  <c r="C62" i="1"/>
  <c r="E57" i="1"/>
  <c r="G55" i="1"/>
  <c r="G54" i="1"/>
  <c r="G53" i="1"/>
  <c r="G52" i="1"/>
  <c r="F56" i="1"/>
  <c r="F54" i="1"/>
  <c r="F53" i="1"/>
  <c r="F52" i="1"/>
  <c r="D56" i="1"/>
  <c r="D55" i="1"/>
  <c r="D54" i="1"/>
  <c r="D52" i="1"/>
  <c r="H44" i="1"/>
  <c r="G43" i="1"/>
  <c r="F42" i="1"/>
  <c r="E41" i="1"/>
  <c r="D40" i="1"/>
  <c r="C39" i="1"/>
  <c r="H43" i="1"/>
  <c r="H42" i="1"/>
  <c r="H41" i="1"/>
  <c r="H40" i="1"/>
  <c r="H39" i="1"/>
  <c r="G44" i="1"/>
  <c r="G42" i="1"/>
  <c r="G41" i="1"/>
  <c r="G39" i="1"/>
  <c r="F44" i="1"/>
  <c r="F43" i="1"/>
  <c r="F41" i="1"/>
  <c r="F40" i="1"/>
  <c r="F39" i="1"/>
  <c r="C44" i="1"/>
  <c r="E44" i="1"/>
  <c r="E43" i="1"/>
  <c r="E42" i="1"/>
  <c r="E40" i="1"/>
  <c r="E39" i="1"/>
  <c r="D44" i="1"/>
  <c r="D43" i="1"/>
  <c r="D42" i="1"/>
  <c r="D41" i="1"/>
  <c r="D39" i="1"/>
  <c r="C43" i="1"/>
  <c r="C42" i="1"/>
  <c r="C41" i="1"/>
  <c r="C40" i="1"/>
  <c r="C184" i="6" l="1"/>
  <c r="C185" i="6"/>
  <c r="G184" i="6"/>
  <c r="G185" i="6"/>
  <c r="F205" i="6"/>
  <c r="F201" i="6"/>
  <c r="E221" i="6"/>
  <c r="E217" i="6"/>
  <c r="D184" i="6"/>
  <c r="D185" i="6"/>
  <c r="D180" i="6"/>
  <c r="D186" i="6" s="1"/>
  <c r="D202" i="6"/>
  <c r="E201" i="6"/>
  <c r="G57" i="6"/>
  <c r="C97" i="6"/>
  <c r="G97" i="6"/>
  <c r="E107" i="6"/>
  <c r="D128" i="6"/>
  <c r="H128" i="6"/>
  <c r="D129" i="6"/>
  <c r="D130" i="6"/>
  <c r="H130" i="6"/>
  <c r="D131" i="6"/>
  <c r="H121" i="6"/>
  <c r="H129" i="6" s="1"/>
  <c r="F131" i="6"/>
  <c r="D152" i="6"/>
  <c r="G152" i="6"/>
  <c r="C169" i="6"/>
  <c r="C170" i="6"/>
  <c r="C171" i="6"/>
  <c r="G169" i="6"/>
  <c r="G170" i="6"/>
  <c r="G171" i="6"/>
  <c r="C172" i="6"/>
  <c r="E184" i="6"/>
  <c r="C186" i="6"/>
  <c r="G186" i="6"/>
  <c r="E188" i="6"/>
  <c r="E202" i="6"/>
  <c r="E219" i="6"/>
  <c r="D220" i="6"/>
  <c r="E218" i="6"/>
  <c r="C234" i="6"/>
  <c r="G234" i="6"/>
  <c r="C237" i="6"/>
  <c r="C128" i="6"/>
  <c r="F154" i="6"/>
  <c r="F172" i="6"/>
  <c r="F168" i="6"/>
  <c r="F169" i="6"/>
  <c r="F170" i="6"/>
  <c r="F171" i="6"/>
  <c r="F204" i="6"/>
  <c r="F214" i="6"/>
  <c r="F219" i="6" s="1"/>
  <c r="D97" i="6"/>
  <c r="F107" i="6"/>
  <c r="H127" i="6"/>
  <c r="F126" i="6"/>
  <c r="F130" i="6"/>
  <c r="G153" i="6"/>
  <c r="D155" i="6"/>
  <c r="D168" i="6"/>
  <c r="C168" i="6"/>
  <c r="G172" i="6"/>
  <c r="C187" i="6"/>
  <c r="G187" i="6"/>
  <c r="C198" i="6"/>
  <c r="C203" i="6" s="1"/>
  <c r="G201" i="6"/>
  <c r="G198" i="6"/>
  <c r="G203" i="6" s="1"/>
  <c r="E203" i="6"/>
  <c r="C205" i="6"/>
  <c r="G205" i="6"/>
  <c r="F202" i="6"/>
  <c r="D214" i="6"/>
  <c r="G218" i="6"/>
  <c r="E220" i="6"/>
  <c r="E230" i="6"/>
  <c r="E235" i="6" s="1"/>
  <c r="C235" i="6"/>
  <c r="G235" i="6"/>
  <c r="G237" i="6"/>
  <c r="D156" i="6"/>
  <c r="D188" i="6"/>
  <c r="D219" i="6"/>
  <c r="D126" i="6"/>
  <c r="D132" i="6" s="1"/>
  <c r="H126" i="6"/>
  <c r="D127" i="6"/>
  <c r="D154" i="6"/>
  <c r="G155" i="6"/>
  <c r="E171" i="6"/>
  <c r="E172" i="6"/>
  <c r="E168" i="6"/>
  <c r="E169" i="6"/>
  <c r="D170" i="6"/>
  <c r="G168" i="6"/>
  <c r="D187" i="6"/>
  <c r="C188" i="6"/>
  <c r="G188" i="6"/>
  <c r="C202" i="6"/>
  <c r="G202" i="6"/>
  <c r="F203" i="6"/>
  <c r="E204" i="6"/>
  <c r="D218" i="6"/>
  <c r="E234" i="6"/>
  <c r="D235" i="6"/>
  <c r="C236" i="6"/>
  <c r="G236" i="6"/>
  <c r="F237" i="6"/>
  <c r="E121" i="6"/>
  <c r="E126" i="6" s="1"/>
  <c r="G126" i="6"/>
  <c r="G132" i="6" s="1"/>
  <c r="C130" i="6"/>
  <c r="E153" i="6"/>
  <c r="F149" i="6"/>
  <c r="F155" i="6" s="1"/>
  <c r="E152" i="6"/>
  <c r="E156" i="6"/>
  <c r="E180" i="6"/>
  <c r="E187" i="6" s="1"/>
  <c r="D198" i="6"/>
  <c r="C214" i="6"/>
  <c r="C219" i="6" s="1"/>
  <c r="H219" i="6" s="1"/>
  <c r="I219" i="6" s="1"/>
  <c r="G214" i="6"/>
  <c r="G219" i="6" s="1"/>
  <c r="F230" i="6"/>
  <c r="C121" i="6"/>
  <c r="C129" i="6" s="1"/>
  <c r="C149" i="6"/>
  <c r="C153" i="6" s="1"/>
  <c r="F180" i="6"/>
  <c r="F186" i="6" s="1"/>
  <c r="G201" i="1"/>
  <c r="C205" i="1"/>
  <c r="G220" i="1"/>
  <c r="F236" i="1"/>
  <c r="D233" i="1"/>
  <c r="G202" i="1"/>
  <c r="C217" i="1"/>
  <c r="D220" i="1"/>
  <c r="E234" i="1"/>
  <c r="F237" i="1"/>
  <c r="C234" i="1"/>
  <c r="E205" i="1"/>
  <c r="D221" i="1"/>
  <c r="D236" i="1"/>
  <c r="F121" i="1"/>
  <c r="L188" i="5"/>
  <c r="E198" i="1"/>
  <c r="E202" i="1" s="1"/>
  <c r="D198" i="1"/>
  <c r="D203" i="1" s="1"/>
  <c r="D214" i="1"/>
  <c r="D218" i="1" s="1"/>
  <c r="E201" i="1"/>
  <c r="N188" i="5"/>
  <c r="M189" i="5"/>
  <c r="F169" i="1"/>
  <c r="C152" i="1"/>
  <c r="N190" i="5"/>
  <c r="F87" i="1"/>
  <c r="D107" i="1"/>
  <c r="C121" i="1"/>
  <c r="C128" i="1" s="1"/>
  <c r="L190" i="5"/>
  <c r="M188" i="5"/>
  <c r="F170" i="1"/>
  <c r="D217" i="1"/>
  <c r="C198" i="1"/>
  <c r="C204" i="1" s="1"/>
  <c r="E230" i="1"/>
  <c r="C201" i="1"/>
  <c r="D202" i="1"/>
  <c r="G128" i="1"/>
  <c r="C130" i="1"/>
  <c r="G130" i="1"/>
  <c r="F154" i="1"/>
  <c r="D230" i="1"/>
  <c r="D234" i="1" s="1"/>
  <c r="C127" i="1"/>
  <c r="F128" i="1"/>
  <c r="F130" i="1"/>
  <c r="G149" i="1"/>
  <c r="G156" i="1" s="1"/>
  <c r="D180" i="1"/>
  <c r="D184" i="1" s="1"/>
  <c r="F127" i="1"/>
  <c r="G129" i="1"/>
  <c r="C131" i="1"/>
  <c r="G131" i="1"/>
  <c r="C230" i="1"/>
  <c r="C233" i="1" s="1"/>
  <c r="G230" i="1"/>
  <c r="G233" i="1" s="1"/>
  <c r="F129" i="1"/>
  <c r="F132" i="1" s="1"/>
  <c r="F131" i="1"/>
  <c r="F153" i="1"/>
  <c r="G154" i="1"/>
  <c r="F156" i="1"/>
  <c r="F77" i="1"/>
  <c r="D87" i="1"/>
  <c r="G126" i="1"/>
  <c r="D149" i="1"/>
  <c r="D153" i="1" s="1"/>
  <c r="C154" i="1"/>
  <c r="F152" i="1"/>
  <c r="D165" i="1"/>
  <c r="D172" i="1" s="1"/>
  <c r="G198" i="1"/>
  <c r="E180" i="1"/>
  <c r="E186" i="1" s="1"/>
  <c r="F180" i="1"/>
  <c r="F187" i="1" s="1"/>
  <c r="D168" i="1"/>
  <c r="D45" i="1"/>
  <c r="C153" i="1"/>
  <c r="C165" i="1"/>
  <c r="G165" i="1"/>
  <c r="F198" i="1"/>
  <c r="F201" i="1" s="1"/>
  <c r="E214" i="1"/>
  <c r="E218" i="1" s="1"/>
  <c r="E185" i="1"/>
  <c r="G67" i="1"/>
  <c r="C156" i="1"/>
  <c r="D152" i="1"/>
  <c r="G180" i="1"/>
  <c r="G186" i="1" s="1"/>
  <c r="C180" i="1"/>
  <c r="C187" i="1" s="1"/>
  <c r="F126" i="1"/>
  <c r="J126" i="1"/>
  <c r="E152" i="1"/>
  <c r="E153" i="1"/>
  <c r="E154" i="1"/>
  <c r="E155" i="1"/>
  <c r="E165" i="1"/>
  <c r="C214" i="1"/>
  <c r="C219" i="1" s="1"/>
  <c r="G214" i="1"/>
  <c r="G217" i="1" s="1"/>
  <c r="F214" i="1"/>
  <c r="F230" i="1"/>
  <c r="F235" i="1" s="1"/>
  <c r="J131" i="1"/>
  <c r="J127" i="1"/>
  <c r="J130" i="1"/>
  <c r="G87" i="1"/>
  <c r="E87" i="1"/>
  <c r="C67" i="1"/>
  <c r="G77" i="1"/>
  <c r="E121" i="1"/>
  <c r="E131" i="1" s="1"/>
  <c r="C45" i="1"/>
  <c r="F45" i="1"/>
  <c r="E77" i="1"/>
  <c r="D77" i="1"/>
  <c r="D121" i="1"/>
  <c r="D128" i="1" s="1"/>
  <c r="H121" i="1"/>
  <c r="H127" i="1" s="1"/>
  <c r="G107" i="1"/>
  <c r="F107" i="1"/>
  <c r="E107" i="1"/>
  <c r="C107" i="1"/>
  <c r="G97" i="1"/>
  <c r="F97" i="1"/>
  <c r="E97" i="1"/>
  <c r="D97" i="1"/>
  <c r="C97" i="1"/>
  <c r="D67" i="1"/>
  <c r="C77" i="1"/>
  <c r="G45" i="1"/>
  <c r="H45" i="1"/>
  <c r="F57" i="1"/>
  <c r="F67" i="1"/>
  <c r="E45" i="1"/>
  <c r="D57" i="1"/>
  <c r="G57" i="1"/>
  <c r="E67" i="1"/>
  <c r="C87" i="1"/>
  <c r="D203" i="6" l="1"/>
  <c r="H203" i="6" s="1"/>
  <c r="I203" i="6" s="1"/>
  <c r="D204" i="6"/>
  <c r="C127" i="6"/>
  <c r="D205" i="6"/>
  <c r="H202" i="6"/>
  <c r="I202" i="6" s="1"/>
  <c r="C218" i="6"/>
  <c r="H205" i="6"/>
  <c r="I205" i="6" s="1"/>
  <c r="F185" i="6"/>
  <c r="F132" i="6"/>
  <c r="E128" i="6"/>
  <c r="F217" i="6"/>
  <c r="C131" i="6"/>
  <c r="G204" i="6"/>
  <c r="F187" i="6"/>
  <c r="H187" i="6" s="1"/>
  <c r="I187" i="6" s="1"/>
  <c r="H172" i="6"/>
  <c r="I172" i="6" s="1"/>
  <c r="H171" i="6"/>
  <c r="I171" i="6" s="1"/>
  <c r="F156" i="6"/>
  <c r="G220" i="6"/>
  <c r="C154" i="6"/>
  <c r="C155" i="6"/>
  <c r="C156" i="6"/>
  <c r="C152" i="6"/>
  <c r="F235" i="6"/>
  <c r="F236" i="6"/>
  <c r="E185" i="6"/>
  <c r="F233" i="6"/>
  <c r="D201" i="6"/>
  <c r="E186" i="6"/>
  <c r="E237" i="6"/>
  <c r="H237" i="6" s="1"/>
  <c r="I237" i="6" s="1"/>
  <c r="E233" i="6"/>
  <c r="H233" i="6" s="1"/>
  <c r="I233" i="6" s="1"/>
  <c r="D217" i="6"/>
  <c r="D221" i="6"/>
  <c r="C201" i="6"/>
  <c r="H201" i="6" s="1"/>
  <c r="I201" i="6" s="1"/>
  <c r="E131" i="6"/>
  <c r="E236" i="6"/>
  <c r="G221" i="6"/>
  <c r="F218" i="6"/>
  <c r="C204" i="6"/>
  <c r="H170" i="6"/>
  <c r="I170" i="6" s="1"/>
  <c r="F153" i="6"/>
  <c r="H131" i="6"/>
  <c r="H132" i="6" s="1"/>
  <c r="F234" i="6"/>
  <c r="H234" i="6" s="1"/>
  <c r="I234" i="6" s="1"/>
  <c r="E127" i="6"/>
  <c r="E132" i="6" s="1"/>
  <c r="C220" i="6"/>
  <c r="H185" i="6"/>
  <c r="I185" i="6" s="1"/>
  <c r="H235" i="6"/>
  <c r="I235" i="6" s="1"/>
  <c r="E129" i="6"/>
  <c r="C217" i="6"/>
  <c r="H217" i="6" s="1"/>
  <c r="I217" i="6" s="1"/>
  <c r="F184" i="6"/>
  <c r="H184" i="6" s="1"/>
  <c r="I184" i="6" s="1"/>
  <c r="F188" i="6"/>
  <c r="H188" i="6" s="1"/>
  <c r="I188" i="6" s="1"/>
  <c r="C126" i="6"/>
  <c r="H236" i="6"/>
  <c r="I236" i="6" s="1"/>
  <c r="F220" i="6"/>
  <c r="H168" i="6"/>
  <c r="I168" i="6" s="1"/>
  <c r="F152" i="6"/>
  <c r="E130" i="6"/>
  <c r="F221" i="6"/>
  <c r="C221" i="6"/>
  <c r="G217" i="6"/>
  <c r="H186" i="6"/>
  <c r="I186" i="6" s="1"/>
  <c r="H169" i="6"/>
  <c r="I169" i="6" s="1"/>
  <c r="G170" i="1"/>
  <c r="G169" i="1"/>
  <c r="G172" i="1"/>
  <c r="G171" i="1"/>
  <c r="H217" i="1"/>
  <c r="I217" i="1" s="1"/>
  <c r="F184" i="1"/>
  <c r="C172" i="1"/>
  <c r="C171" i="1"/>
  <c r="C170" i="1"/>
  <c r="H170" i="1" s="1"/>
  <c r="I170" i="1" s="1"/>
  <c r="C169" i="1"/>
  <c r="C168" i="1"/>
  <c r="F234" i="1"/>
  <c r="E220" i="1"/>
  <c r="F204" i="1"/>
  <c r="E221" i="1"/>
  <c r="G236" i="1"/>
  <c r="F233" i="1"/>
  <c r="E219" i="1"/>
  <c r="D205" i="1"/>
  <c r="C202" i="1"/>
  <c r="H202" i="1" s="1"/>
  <c r="I202" i="1" s="1"/>
  <c r="G219" i="1"/>
  <c r="G235" i="1"/>
  <c r="C220" i="1"/>
  <c r="H220" i="1" s="1"/>
  <c r="I220" i="1" s="1"/>
  <c r="D204" i="1"/>
  <c r="H204" i="1" s="1"/>
  <c r="I204" i="1" s="1"/>
  <c r="G234" i="1"/>
  <c r="F217" i="1"/>
  <c r="F219" i="1"/>
  <c r="F221" i="1"/>
  <c r="F220" i="1"/>
  <c r="D186" i="1"/>
  <c r="G168" i="1"/>
  <c r="C126" i="1"/>
  <c r="G152" i="1"/>
  <c r="D185" i="1"/>
  <c r="G205" i="1"/>
  <c r="G204" i="1"/>
  <c r="G203" i="1"/>
  <c r="D187" i="1"/>
  <c r="H187" i="1" s="1"/>
  <c r="I187" i="1" s="1"/>
  <c r="C129" i="1"/>
  <c r="E235" i="1"/>
  <c r="E237" i="1"/>
  <c r="E233" i="1"/>
  <c r="H233" i="1" s="1"/>
  <c r="I233" i="1" s="1"/>
  <c r="E236" i="1"/>
  <c r="G237" i="1"/>
  <c r="G218" i="1"/>
  <c r="C203" i="1"/>
  <c r="H203" i="1" s="1"/>
  <c r="I203" i="1" s="1"/>
  <c r="E217" i="1"/>
  <c r="C236" i="1"/>
  <c r="G221" i="1"/>
  <c r="F218" i="1"/>
  <c r="E204" i="1"/>
  <c r="D201" i="1"/>
  <c r="H201" i="1" s="1"/>
  <c r="I201" i="1" s="1"/>
  <c r="F205" i="1"/>
  <c r="H205" i="1" s="1"/>
  <c r="I205" i="1" s="1"/>
  <c r="C235" i="1"/>
  <c r="H235" i="1" s="1"/>
  <c r="I235" i="1" s="1"/>
  <c r="D219" i="1"/>
  <c r="H219" i="1" s="1"/>
  <c r="I219" i="1" s="1"/>
  <c r="E203" i="1"/>
  <c r="H152" i="1"/>
  <c r="I152" i="1" s="1"/>
  <c r="H234" i="1"/>
  <c r="I234" i="1" s="1"/>
  <c r="E171" i="1"/>
  <c r="E172" i="1"/>
  <c r="E170" i="1"/>
  <c r="E168" i="1"/>
  <c r="E169" i="1"/>
  <c r="F185" i="1"/>
  <c r="G132" i="1"/>
  <c r="D188" i="1"/>
  <c r="C237" i="1"/>
  <c r="C218" i="1"/>
  <c r="D235" i="1"/>
  <c r="C221" i="1"/>
  <c r="H221" i="1" s="1"/>
  <c r="I221" i="1" s="1"/>
  <c r="F203" i="1"/>
  <c r="D237" i="1"/>
  <c r="F202" i="1"/>
  <c r="G153" i="1"/>
  <c r="C136" i="1"/>
  <c r="G155" i="1"/>
  <c r="G184" i="1"/>
  <c r="E188" i="1"/>
  <c r="D169" i="1"/>
  <c r="H128" i="1"/>
  <c r="G185" i="1"/>
  <c r="D126" i="1"/>
  <c r="C188" i="1"/>
  <c r="D154" i="1"/>
  <c r="D129" i="1"/>
  <c r="C186" i="1"/>
  <c r="H186" i="1" s="1"/>
  <c r="I186" i="1" s="1"/>
  <c r="D156" i="1"/>
  <c r="H126" i="1"/>
  <c r="C137" i="1"/>
  <c r="D137" i="1" s="1"/>
  <c r="C185" i="1"/>
  <c r="H185" i="1" s="1"/>
  <c r="I185" i="1" s="1"/>
  <c r="E187" i="1"/>
  <c r="D170" i="1"/>
  <c r="D130" i="1"/>
  <c r="C184" i="1"/>
  <c r="H184" i="1" s="1"/>
  <c r="I184" i="1" s="1"/>
  <c r="F188" i="1"/>
  <c r="E128" i="1"/>
  <c r="G188" i="1"/>
  <c r="H129" i="1"/>
  <c r="E184" i="1"/>
  <c r="D127" i="1"/>
  <c r="F186" i="1"/>
  <c r="H130" i="1"/>
  <c r="E127" i="1"/>
  <c r="D171" i="1"/>
  <c r="E130" i="1"/>
  <c r="G187" i="1"/>
  <c r="D131" i="1"/>
  <c r="E126" i="1"/>
  <c r="E129" i="1"/>
  <c r="D136" i="1"/>
  <c r="C138" i="1"/>
  <c r="D138" i="1" s="1"/>
  <c r="C140" i="1"/>
  <c r="D140" i="1" s="1"/>
  <c r="D155" i="1"/>
  <c r="H131" i="1"/>
  <c r="H218" i="6" l="1"/>
  <c r="I218" i="6" s="1"/>
  <c r="H220" i="6"/>
  <c r="I220" i="6" s="1"/>
  <c r="C132" i="6"/>
  <c r="C138" i="6"/>
  <c r="D138" i="6" s="1"/>
  <c r="C137" i="6"/>
  <c r="D137" i="6" s="1"/>
  <c r="C140" i="6"/>
  <c r="D140" i="6" s="1"/>
  <c r="C136" i="6"/>
  <c r="D136" i="6" s="1"/>
  <c r="C139" i="6"/>
  <c r="D139" i="6" s="1"/>
  <c r="C135" i="6"/>
  <c r="D135" i="6" s="1"/>
  <c r="H152" i="6"/>
  <c r="I152" i="6" s="1"/>
  <c r="H221" i="6"/>
  <c r="I221" i="6" s="1"/>
  <c r="H204" i="6"/>
  <c r="I204" i="6" s="1"/>
  <c r="H171" i="1"/>
  <c r="I171" i="1" s="1"/>
  <c r="H218" i="1"/>
  <c r="I218" i="1" s="1"/>
  <c r="H236" i="1"/>
  <c r="I236" i="1" s="1"/>
  <c r="C132" i="1"/>
  <c r="C135" i="1"/>
  <c r="D135" i="1" s="1"/>
  <c r="C139" i="1"/>
  <c r="D139" i="1" s="1"/>
  <c r="H168" i="1"/>
  <c r="I168" i="1" s="1"/>
  <c r="H172" i="1"/>
  <c r="I172" i="1" s="1"/>
  <c r="H188" i="1"/>
  <c r="I188" i="1" s="1"/>
  <c r="H237" i="1"/>
  <c r="I237" i="1" s="1"/>
  <c r="H169" i="1"/>
  <c r="I169" i="1" s="1"/>
  <c r="E135" i="1"/>
  <c r="E137" i="1" s="1"/>
  <c r="F137" i="1" s="1"/>
  <c r="E132" i="1"/>
  <c r="H132" i="1"/>
  <c r="D132" i="1"/>
  <c r="E135" i="6" l="1"/>
  <c r="E137" i="6" s="1"/>
  <c r="F137" i="6" s="1"/>
</calcChain>
</file>

<file path=xl/sharedStrings.xml><?xml version="1.0" encoding="utf-8"?>
<sst xmlns="http://schemas.openxmlformats.org/spreadsheetml/2006/main" count="1740" uniqueCount="465">
  <si>
    <t>METODE AHP</t>
  </si>
  <si>
    <t>PEMILIHAN RUMAH SAKIT TERBAIK DI YOGYAKARTA</t>
  </si>
  <si>
    <t>DATA KRITERIA</t>
  </si>
  <si>
    <t>TABLE KRITERIA</t>
  </si>
  <si>
    <t>C1</t>
  </si>
  <si>
    <t>Fasilitas</t>
  </si>
  <si>
    <t>C2</t>
  </si>
  <si>
    <t>Kebersihan</t>
  </si>
  <si>
    <t>C3</t>
  </si>
  <si>
    <t>Pelayanan</t>
  </si>
  <si>
    <t>C4</t>
  </si>
  <si>
    <t>Ketersediaan Dokter</t>
  </si>
  <si>
    <t>C5</t>
  </si>
  <si>
    <t>Keamanan</t>
  </si>
  <si>
    <t>C6</t>
  </si>
  <si>
    <t>Ketersediaan Obat</t>
  </si>
  <si>
    <t>DATA ALTERNATIF</t>
  </si>
  <si>
    <t>TABLE ALTERNATIF</t>
  </si>
  <si>
    <t>A1</t>
  </si>
  <si>
    <t xml:space="preserve">Rs. AU Drs Hardjolukito </t>
  </si>
  <si>
    <t>A2</t>
  </si>
  <si>
    <t xml:space="preserve">Rs. Panti Rapih </t>
  </si>
  <si>
    <t>A3</t>
  </si>
  <si>
    <t>Rs. Bethesda</t>
  </si>
  <si>
    <t>A4</t>
  </si>
  <si>
    <t>Rs. Dr Sardjito</t>
  </si>
  <si>
    <t>A5</t>
  </si>
  <si>
    <t>RSI Yogyakarta</t>
  </si>
  <si>
    <t>NILAI PERBANDINGAN</t>
  </si>
  <si>
    <t>konversi ke dalam nilai AHP</t>
  </si>
  <si>
    <t>Nilai Kepentingan Kriteria</t>
  </si>
  <si>
    <t>Sama Penting dengan</t>
  </si>
  <si>
    <t>Mendekati sedikit lebih penting dari</t>
  </si>
  <si>
    <t>Sedikit lebih penting dari</t>
  </si>
  <si>
    <t>Mendekati lebih penting dari</t>
  </si>
  <si>
    <t>Lebih penting dari</t>
  </si>
  <si>
    <t>Mendekati sangat penting dari</t>
  </si>
  <si>
    <t>Sangat penting dari</t>
  </si>
  <si>
    <t>Mendekati mutlak dari</t>
  </si>
  <si>
    <t>Mutlak Sangat penting dari</t>
  </si>
  <si>
    <t>a. Perbandingan Antar Kriteria</t>
  </si>
  <si>
    <t>Kriteria</t>
  </si>
  <si>
    <t>NILAI</t>
  </si>
  <si>
    <t xml:space="preserve">b. Perbandingan antar alternatif </t>
  </si>
  <si>
    <t>JUMLAH</t>
  </si>
  <si>
    <t>1. Kriteria C1 (3,4,2,5,2)</t>
  </si>
  <si>
    <t>A6</t>
  </si>
  <si>
    <t>A1 (3)</t>
  </si>
  <si>
    <t>A2 (4)</t>
  </si>
  <si>
    <t>A3 (2)</t>
  </si>
  <si>
    <t>A4 (5)</t>
  </si>
  <si>
    <t>A5 (2)</t>
  </si>
  <si>
    <t>A1 (4)</t>
  </si>
  <si>
    <t>A4 (3)</t>
  </si>
  <si>
    <t>2. Kriteria C2 (4,4,3,5,2)</t>
  </si>
  <si>
    <t>A3 (3)</t>
  </si>
  <si>
    <t>3. Kriteria C3 (3,5,2,4,3)</t>
  </si>
  <si>
    <t>A2 (5)</t>
  </si>
  <si>
    <t>A4 (4)</t>
  </si>
  <si>
    <t>A5 (3)</t>
  </si>
  <si>
    <t>A1 (2)</t>
  </si>
  <si>
    <t>A2 (2)</t>
  </si>
  <si>
    <t>A3 (4)</t>
  </si>
  <si>
    <t>4. Kriteria C4 (3,5,2,4,3)</t>
  </si>
  <si>
    <t>5. Kriteria C5 (4,5,4,3,2)</t>
  </si>
  <si>
    <t>5. Kriteria C6 (4,5,4,2,3)</t>
  </si>
  <si>
    <t>A4 (2)</t>
  </si>
  <si>
    <t>TOTAL</t>
  </si>
  <si>
    <t>PRIORITAS</t>
  </si>
  <si>
    <t>BARIS 1</t>
  </si>
  <si>
    <t>BARIS 2</t>
  </si>
  <si>
    <t>BARIS 3</t>
  </si>
  <si>
    <t>BARIS 4</t>
  </si>
  <si>
    <t>BARIS 5</t>
  </si>
  <si>
    <t>BARIS 6</t>
  </si>
  <si>
    <t>MATRIX</t>
  </si>
  <si>
    <t>HASIL BAGI PRORITAS</t>
  </si>
  <si>
    <t>CONSINTENSY INDEX</t>
  </si>
  <si>
    <t>MENCARI BARIS TOTAL</t>
  </si>
  <si>
    <t>NORMALISASI DAN BOBOT PRIORITAS</t>
  </si>
  <si>
    <t>KONSINTENSY MATRIX</t>
  </si>
  <si>
    <t>C1=(2,51-6)/(6-1)</t>
  </si>
  <si>
    <t>CONSINTENSY RASIO</t>
  </si>
  <si>
    <r>
      <t>C1</t>
    </r>
    <r>
      <rPr>
        <sz val="12"/>
        <color theme="1"/>
        <rFont val="Times New Roman"/>
        <family val="1"/>
      </rPr>
      <t>(1)</t>
    </r>
  </si>
  <si>
    <r>
      <t>C2</t>
    </r>
    <r>
      <rPr>
        <sz val="12"/>
        <color theme="1"/>
        <rFont val="Times New Roman"/>
        <family val="1"/>
      </rPr>
      <t>(3)</t>
    </r>
  </si>
  <si>
    <r>
      <t>C3</t>
    </r>
    <r>
      <rPr>
        <sz val="12"/>
        <color theme="1"/>
        <rFont val="Times New Roman"/>
        <family val="1"/>
      </rPr>
      <t>(1)</t>
    </r>
  </si>
  <si>
    <r>
      <t>C4</t>
    </r>
    <r>
      <rPr>
        <sz val="12"/>
        <color theme="1"/>
        <rFont val="Times New Roman"/>
        <family val="1"/>
      </rPr>
      <t>(4)</t>
    </r>
  </si>
  <si>
    <r>
      <t>C5</t>
    </r>
    <r>
      <rPr>
        <sz val="12"/>
        <color theme="1"/>
        <rFont val="Times New Roman"/>
        <family val="1"/>
      </rPr>
      <t>(4)</t>
    </r>
  </si>
  <si>
    <r>
      <t>C6</t>
    </r>
    <r>
      <rPr>
        <sz val="12"/>
        <color theme="1"/>
        <rFont val="Times New Roman"/>
        <family val="1"/>
      </rPr>
      <t>(2)</t>
    </r>
  </si>
  <si>
    <r>
      <t xml:space="preserve">C5 </t>
    </r>
    <r>
      <rPr>
        <sz val="12"/>
        <color theme="1"/>
        <rFont val="Times New Roman"/>
        <family val="1"/>
      </rPr>
      <t>(4)</t>
    </r>
  </si>
  <si>
    <r>
      <t xml:space="preserve">C6 </t>
    </r>
    <r>
      <rPr>
        <sz val="12"/>
        <color theme="1"/>
        <rFont val="Times New Roman"/>
        <family val="1"/>
      </rPr>
      <t>(2)</t>
    </r>
  </si>
  <si>
    <r>
      <t>A1</t>
    </r>
    <r>
      <rPr>
        <sz val="12"/>
        <color theme="1"/>
        <rFont val="Times New Roman"/>
        <family val="1"/>
      </rPr>
      <t>(3)</t>
    </r>
  </si>
  <si>
    <r>
      <t>A2</t>
    </r>
    <r>
      <rPr>
        <sz val="12"/>
        <color theme="1"/>
        <rFont val="Times New Roman"/>
        <family val="1"/>
      </rPr>
      <t>(4)</t>
    </r>
  </si>
  <si>
    <r>
      <t>A3</t>
    </r>
    <r>
      <rPr>
        <sz val="12"/>
        <color theme="1"/>
        <rFont val="Times New Roman"/>
        <family val="1"/>
      </rPr>
      <t>(1)</t>
    </r>
  </si>
  <si>
    <r>
      <t>A4</t>
    </r>
    <r>
      <rPr>
        <sz val="12"/>
        <color theme="1"/>
        <rFont val="Times New Roman"/>
        <family val="1"/>
      </rPr>
      <t>(2)</t>
    </r>
  </si>
  <si>
    <r>
      <t xml:space="preserve">A5 </t>
    </r>
    <r>
      <rPr>
        <sz val="12"/>
        <color theme="1"/>
        <rFont val="Times New Roman"/>
        <family val="1"/>
      </rPr>
      <t>(3)</t>
    </r>
  </si>
  <si>
    <r>
      <t xml:space="preserve">A6 </t>
    </r>
    <r>
      <rPr>
        <sz val="12"/>
        <color theme="1"/>
        <rFont val="Times New Roman"/>
        <family val="1"/>
      </rPr>
      <t>(1)</t>
    </r>
  </si>
  <si>
    <t>Jumlah</t>
  </si>
  <si>
    <t>PERHITUNGAN MENGGUNAKAN AHP</t>
  </si>
  <si>
    <t xml:space="preserve">Kriteria : </t>
  </si>
  <si>
    <t>Nilai</t>
  </si>
  <si>
    <t>C1 = Jenis Armada</t>
  </si>
  <si>
    <t>C2 = Jangkauan</t>
  </si>
  <si>
    <t>C3 = Pengalaman Perusahaan</t>
  </si>
  <si>
    <t>C4 = Harga</t>
  </si>
  <si>
    <t>C5 = Estimasi Waktu Pengiriman</t>
  </si>
  <si>
    <t>C6 = Hasil Packing</t>
  </si>
  <si>
    <t xml:space="preserve">Alternatif : </t>
  </si>
  <si>
    <t>Alternatif</t>
  </si>
  <si>
    <t>JNE</t>
  </si>
  <si>
    <t>Pos Indonesia</t>
  </si>
  <si>
    <t>JET Express</t>
  </si>
  <si>
    <t>J&amp;T Express</t>
  </si>
  <si>
    <t>TIKI</t>
  </si>
  <si>
    <t>Sicepat Express</t>
  </si>
  <si>
    <r>
      <t>A.</t>
    </r>
    <r>
      <rPr>
        <sz val="7"/>
        <color theme="1"/>
        <rFont val="Times New Roman"/>
        <family val="1"/>
      </rPr>
      <t xml:space="preserve">    </t>
    </r>
    <r>
      <rPr>
        <sz val="12"/>
        <color theme="1"/>
        <rFont val="Times New Roman"/>
        <family val="1"/>
      </rPr>
      <t>Perbandingan antar kriteria (Cn/Cn)</t>
    </r>
  </si>
  <si>
    <r>
      <t>B.</t>
    </r>
    <r>
      <rPr>
        <sz val="7"/>
        <color theme="1"/>
        <rFont val="Times New Roman"/>
        <family val="1"/>
      </rPr>
      <t xml:space="preserve">     </t>
    </r>
    <r>
      <rPr>
        <sz val="12"/>
        <color theme="1"/>
        <rFont val="Times New Roman"/>
        <family val="1"/>
      </rPr>
      <t>Perbandingan antar alternatif (An/An)</t>
    </r>
  </si>
  <si>
    <r>
      <t>1.</t>
    </r>
    <r>
      <rPr>
        <sz val="7"/>
        <color theme="1"/>
        <rFont val="Times New Roman"/>
        <family val="1"/>
      </rPr>
      <t xml:space="preserve">      </t>
    </r>
    <r>
      <rPr>
        <sz val="12"/>
        <color theme="1"/>
        <rFont val="Times New Roman"/>
        <family val="1"/>
      </rPr>
      <t>Kriteria C1 (3,4,1,2,3,1)</t>
    </r>
  </si>
  <si>
    <r>
      <t>2.</t>
    </r>
    <r>
      <rPr>
        <sz val="7"/>
        <color theme="1"/>
        <rFont val="Times New Roman"/>
        <family val="1"/>
      </rPr>
      <t xml:space="preserve">      </t>
    </r>
    <r>
      <rPr>
        <sz val="12"/>
        <color theme="1"/>
        <rFont val="Times New Roman"/>
        <family val="1"/>
      </rPr>
      <t>Kriteria C2 (4,4,3,3,4,2)</t>
    </r>
  </si>
  <si>
    <r>
      <t>A1</t>
    </r>
    <r>
      <rPr>
        <sz val="12"/>
        <color theme="1"/>
        <rFont val="Times New Roman"/>
        <family val="1"/>
      </rPr>
      <t>(4)</t>
    </r>
  </si>
  <si>
    <r>
      <t>A3</t>
    </r>
    <r>
      <rPr>
        <sz val="12"/>
        <color theme="1"/>
        <rFont val="Times New Roman"/>
        <family val="1"/>
      </rPr>
      <t>(3)</t>
    </r>
  </si>
  <si>
    <r>
      <t>A4</t>
    </r>
    <r>
      <rPr>
        <sz val="12"/>
        <color theme="1"/>
        <rFont val="Times New Roman"/>
        <family val="1"/>
      </rPr>
      <t>(3)</t>
    </r>
  </si>
  <si>
    <r>
      <t xml:space="preserve">A5 </t>
    </r>
    <r>
      <rPr>
        <sz val="12"/>
        <color theme="1"/>
        <rFont val="Times New Roman"/>
        <family val="1"/>
      </rPr>
      <t>(4)</t>
    </r>
  </si>
  <si>
    <r>
      <t xml:space="preserve">A6 </t>
    </r>
    <r>
      <rPr>
        <sz val="12"/>
        <color theme="1"/>
        <rFont val="Times New Roman"/>
        <family val="1"/>
      </rPr>
      <t>(2)</t>
    </r>
  </si>
  <si>
    <r>
      <t>3.</t>
    </r>
    <r>
      <rPr>
        <sz val="7"/>
        <color theme="1"/>
        <rFont val="Times New Roman"/>
        <family val="1"/>
      </rPr>
      <t xml:space="preserve">      </t>
    </r>
    <r>
      <rPr>
        <sz val="12"/>
        <color theme="1"/>
        <rFont val="Times New Roman"/>
        <family val="1"/>
      </rPr>
      <t>Kriteria C3 (3,4,2,2,3,2)</t>
    </r>
  </si>
  <si>
    <r>
      <t>A3</t>
    </r>
    <r>
      <rPr>
        <sz val="12"/>
        <color theme="1"/>
        <rFont val="Times New Roman"/>
        <family val="1"/>
      </rPr>
      <t>(2)</t>
    </r>
  </si>
  <si>
    <r>
      <t>4.</t>
    </r>
    <r>
      <rPr>
        <sz val="7"/>
        <color theme="1"/>
        <rFont val="Times New Roman"/>
        <family val="1"/>
      </rPr>
      <t xml:space="preserve">      </t>
    </r>
    <r>
      <rPr>
        <sz val="12"/>
        <color theme="1"/>
        <rFont val="Times New Roman"/>
        <family val="1"/>
      </rPr>
      <t>Kriteria C4 (4,3,4,4,3,4)</t>
    </r>
  </si>
  <si>
    <r>
      <t>A2</t>
    </r>
    <r>
      <rPr>
        <sz val="12"/>
        <color theme="1"/>
        <rFont val="Times New Roman"/>
        <family val="1"/>
      </rPr>
      <t>(3)</t>
    </r>
  </si>
  <si>
    <r>
      <t>A3</t>
    </r>
    <r>
      <rPr>
        <sz val="12"/>
        <color theme="1"/>
        <rFont val="Times New Roman"/>
        <family val="1"/>
      </rPr>
      <t>(4)</t>
    </r>
  </si>
  <si>
    <r>
      <t>A4</t>
    </r>
    <r>
      <rPr>
        <sz val="12"/>
        <color theme="1"/>
        <rFont val="Times New Roman"/>
        <family val="1"/>
      </rPr>
      <t>(4)</t>
    </r>
  </si>
  <si>
    <r>
      <t xml:space="preserve">A6 </t>
    </r>
    <r>
      <rPr>
        <sz val="12"/>
        <color theme="1"/>
        <rFont val="Times New Roman"/>
        <family val="1"/>
      </rPr>
      <t>(4)</t>
    </r>
  </si>
  <si>
    <r>
      <t>5.</t>
    </r>
    <r>
      <rPr>
        <sz val="7"/>
        <color theme="1"/>
        <rFont val="Times New Roman"/>
        <family val="1"/>
      </rPr>
      <t xml:space="preserve">      </t>
    </r>
    <r>
      <rPr>
        <sz val="12"/>
        <color theme="1"/>
        <rFont val="Times New Roman"/>
        <family val="1"/>
      </rPr>
      <t>Kriteria C5 (3,4,1,2,3,2)</t>
    </r>
  </si>
  <si>
    <r>
      <t>6.</t>
    </r>
    <r>
      <rPr>
        <sz val="7"/>
        <color theme="1"/>
        <rFont val="Times New Roman"/>
        <family val="1"/>
      </rPr>
      <t xml:space="preserve">      </t>
    </r>
    <r>
      <rPr>
        <sz val="12"/>
        <color theme="1"/>
        <rFont val="Times New Roman"/>
        <family val="1"/>
      </rPr>
      <t>Kriteria C6 (2,4,3,3,4,2)</t>
    </r>
  </si>
  <si>
    <r>
      <t>A1</t>
    </r>
    <r>
      <rPr>
        <sz val="12"/>
        <color theme="1"/>
        <rFont val="Times New Roman"/>
        <family val="1"/>
      </rPr>
      <t>(2)</t>
    </r>
  </si>
  <si>
    <t>PERHITUNGAN METODE AHP</t>
  </si>
  <si>
    <r>
      <t>A.</t>
    </r>
    <r>
      <rPr>
        <sz val="7"/>
        <color theme="1"/>
        <rFont val="Times New Roman"/>
        <family val="1"/>
      </rPr>
      <t xml:space="preserve">    </t>
    </r>
    <r>
      <rPr>
        <sz val="12"/>
        <color theme="1"/>
        <rFont val="Times New Roman"/>
        <family val="1"/>
      </rPr>
      <t>Perhitungan Bobot Prioritas Kriteria</t>
    </r>
  </si>
  <si>
    <r>
      <t>1.</t>
    </r>
    <r>
      <rPr>
        <sz val="7"/>
        <color theme="1"/>
        <rFont val="Times New Roman"/>
        <family val="1"/>
      </rPr>
      <t xml:space="preserve">      </t>
    </r>
    <r>
      <rPr>
        <sz val="12"/>
        <color theme="1"/>
        <rFont val="Times New Roman"/>
        <family val="1"/>
      </rPr>
      <t>Mencari baris total</t>
    </r>
  </si>
  <si>
    <r>
      <t>2.</t>
    </r>
    <r>
      <rPr>
        <sz val="7"/>
        <color theme="1"/>
        <rFont val="Times New Roman"/>
        <family val="1"/>
      </rPr>
      <t xml:space="preserve">      </t>
    </r>
    <r>
      <rPr>
        <sz val="12"/>
        <color theme="1"/>
        <rFont val="Times New Roman"/>
        <family val="1"/>
      </rPr>
      <t>Menormalisasi matriks dan bobot prioritas (nilai perbandingan antar kriteria/nilai baris total)</t>
    </r>
  </si>
  <si>
    <t>Jumlah/n</t>
  </si>
  <si>
    <t>Bobot Prioritas</t>
  </si>
  <si>
    <t>0,36/6</t>
  </si>
  <si>
    <t>1,2/6</t>
  </si>
  <si>
    <t>1,56/6</t>
  </si>
  <si>
    <t>0,78/6</t>
  </si>
  <si>
    <r>
      <t>3.</t>
    </r>
    <r>
      <rPr>
        <sz val="7"/>
        <color theme="1"/>
        <rFont val="Times New Roman"/>
        <family val="1"/>
      </rPr>
      <t xml:space="preserve">      </t>
    </r>
    <r>
      <rPr>
        <sz val="12"/>
        <color theme="1"/>
        <rFont val="Times New Roman"/>
        <family val="1"/>
      </rPr>
      <t>Mencari konsistensi matriks</t>
    </r>
  </si>
  <si>
    <t>Mencari consistency measure (CM)</t>
  </si>
  <si>
    <t>Baris1</t>
  </si>
  <si>
    <t>: [(1 x 0,06)+(0,03 x 0,2)+(1 x 0,06)+(0,25 x 0,26) + (0,25 x 0,26)+(0,5 x 0,13)]/0,06</t>
  </si>
  <si>
    <r>
      <t xml:space="preserve">: (0,06 + 0,006 + 0,06 + 0,065 + 0,065 + 0,065)/0,06 = 0,375/0,06 = </t>
    </r>
    <r>
      <rPr>
        <b/>
        <sz val="12"/>
        <color theme="1"/>
        <rFont val="Times New Roman"/>
        <family val="1"/>
      </rPr>
      <t>6,25</t>
    </r>
  </si>
  <si>
    <t>Baris2</t>
  </si>
  <si>
    <t>: [(3 x 0,06)+(1 x 0,2)+(3 x 0,06)+(0,75 x 0,26) + (0,75 x 0,26)+(1,5 x 0,13)]/0,2</t>
  </si>
  <si>
    <r>
      <t xml:space="preserve">: (0,18 + 0,2 + 0,18 + 0,195 + 0,195 + 0,195)/0,2 = 2,145/0,2 = </t>
    </r>
    <r>
      <rPr>
        <b/>
        <sz val="12"/>
        <color theme="1"/>
        <rFont val="Times New Roman"/>
        <family val="1"/>
      </rPr>
      <t>10,725</t>
    </r>
  </si>
  <si>
    <t>Baris3</t>
  </si>
  <si>
    <t>: [(1 x 0,06)+(0,33 x 0,2)+(1 x 0,06)+(0,25 x 0,26) + (0,25 x 0,26)+(0,5 x 0,13)]/0,06</t>
  </si>
  <si>
    <r>
      <t xml:space="preserve">: (0,06 + 0,066 + 0,06 + 0,065 + 0,065 + 0,065)/0,06 = 0,381/0,06 = </t>
    </r>
    <r>
      <rPr>
        <b/>
        <sz val="12"/>
        <color theme="1"/>
        <rFont val="Times New Roman"/>
        <family val="1"/>
      </rPr>
      <t>6,35</t>
    </r>
  </si>
  <si>
    <t>Baris4</t>
  </si>
  <si>
    <t>: [(4 x 0,06)+(1,33 x 0,2)+(4 x 0,06)+(1 x 0,26) + (1 x 0,26)+(2 x 0,13)]/0,26</t>
  </si>
  <si>
    <r>
      <t xml:space="preserve">: (0,24 + 0,266 + 0,24 + 0,26 + 0,26 + 0,26)/0,26 = 1,525/0,26 = </t>
    </r>
    <r>
      <rPr>
        <b/>
        <sz val="12"/>
        <color theme="1"/>
        <rFont val="Times New Roman"/>
        <family val="1"/>
      </rPr>
      <t>5,869</t>
    </r>
  </si>
  <si>
    <t>Baris5</t>
  </si>
  <si>
    <r>
      <t xml:space="preserve">: (0,24 + 0,266 + 0,24 + 0,26 + 0,26 + 0,26)/0,26 = 1,525/0,26 = </t>
    </r>
    <r>
      <rPr>
        <b/>
        <sz val="12"/>
        <color theme="1"/>
        <rFont val="Times New Roman"/>
        <family val="1"/>
      </rPr>
      <t xml:space="preserve">5,869 </t>
    </r>
  </si>
  <si>
    <t>Baris6</t>
  </si>
  <si>
    <t>: [(2 x 0,06)+(0,66 x 0,2)+(2 x 0,06)+(0,5 x 0,26) + (0,5 x 0,26)+(1 x 0,13)]/0,13</t>
  </si>
  <si>
    <r>
      <t xml:space="preserve">: (0,12 + 0,132 + 0,12 + 0,13 + 0,13 + 0,13)/0,13= 0,762/0,13 = </t>
    </r>
    <r>
      <rPr>
        <b/>
        <sz val="12"/>
        <color theme="1"/>
        <rFont val="Times New Roman"/>
        <family val="1"/>
      </rPr>
      <t>5,861</t>
    </r>
  </si>
  <si>
    <t>Mencari consistency index</t>
  </si>
  <si>
    <t>LambdaMax adalah rata-rata dari CM (Consistency Measure) = (6,25 + 10.725 + 6.35 + 5.869 + 5.869 + 5,861) / 6 = 40,924 / 6 = 6,820</t>
  </si>
  <si>
    <t>n adalah jumlah kriteria (ukuran matriks) = 5, sehingga:</t>
  </si>
  <si>
    <t>CI = (6,820 – 6) / (6-1) = 0.164</t>
  </si>
  <si>
    <t>RI (Ratio Index) berdasarkan teori Saaty pada ordo matriks 6 adalah 1,24</t>
  </si>
  <si>
    <t>Maka Consistency Ratio = CI/RI = 0,164/1,24 = 0,129</t>
  </si>
  <si>
    <r>
      <t>B.</t>
    </r>
    <r>
      <rPr>
        <sz val="7"/>
        <color theme="1"/>
        <rFont val="Times New Roman"/>
        <family val="1"/>
      </rPr>
      <t xml:space="preserve">     </t>
    </r>
    <r>
      <rPr>
        <sz val="12"/>
        <color theme="1"/>
        <rFont val="Times New Roman"/>
        <family val="1"/>
      </rPr>
      <t>Perhitungan Bobot Prioritas Alternatif</t>
    </r>
  </si>
  <si>
    <t>Menormalisasi matriks dan bobot prioritas (nilai perbandingan antar alternatif /nilai baris total)</t>
  </si>
  <si>
    <r>
      <t>1.</t>
    </r>
    <r>
      <rPr>
        <sz val="7"/>
        <color theme="1"/>
        <rFont val="Times New Roman"/>
        <family val="1"/>
      </rPr>
      <t xml:space="preserve">      </t>
    </r>
    <r>
      <rPr>
        <sz val="12"/>
        <color theme="1"/>
        <rFont val="Times New Roman"/>
        <family val="1"/>
      </rPr>
      <t>Kriteria C1</t>
    </r>
  </si>
  <si>
    <t>1,26/6</t>
  </si>
  <si>
    <t>1,68/6</t>
  </si>
  <si>
    <t>0,42/6</t>
  </si>
  <si>
    <t>0,84/6</t>
  </si>
  <si>
    <r>
      <t>2.</t>
    </r>
    <r>
      <rPr>
        <sz val="7"/>
        <color theme="1"/>
        <rFont val="Times New Roman"/>
        <family val="1"/>
      </rPr>
      <t xml:space="preserve">      </t>
    </r>
    <r>
      <rPr>
        <sz val="12"/>
        <color theme="1"/>
        <rFont val="Times New Roman"/>
        <family val="1"/>
      </rPr>
      <t>Kriteria C2</t>
    </r>
  </si>
  <si>
    <t>0,9/6</t>
  </si>
  <si>
    <t>0,58/6</t>
  </si>
  <si>
    <r>
      <t>3.</t>
    </r>
    <r>
      <rPr>
        <sz val="7"/>
        <color theme="1"/>
        <rFont val="Times New Roman"/>
        <family val="1"/>
      </rPr>
      <t xml:space="preserve">      </t>
    </r>
    <r>
      <rPr>
        <sz val="12"/>
        <color theme="1"/>
        <rFont val="Times New Roman"/>
        <family val="1"/>
      </rPr>
      <t>Kriteria C3</t>
    </r>
  </si>
  <si>
    <t>1,32/6</t>
  </si>
  <si>
    <t>1,78/6</t>
  </si>
  <si>
    <t>0,86/6</t>
  </si>
  <si>
    <r>
      <t>4.</t>
    </r>
    <r>
      <rPr>
        <sz val="7"/>
        <color theme="1"/>
        <rFont val="Times New Roman"/>
        <family val="1"/>
      </rPr>
      <t xml:space="preserve">      </t>
    </r>
    <r>
      <rPr>
        <sz val="12"/>
        <color theme="1"/>
        <rFont val="Times New Roman"/>
        <family val="1"/>
      </rPr>
      <t>Kriteria C4</t>
    </r>
  </si>
  <si>
    <t>1,08/6</t>
  </si>
  <si>
    <r>
      <t>5.</t>
    </r>
    <r>
      <rPr>
        <sz val="7"/>
        <color theme="1"/>
        <rFont val="Times New Roman"/>
        <family val="1"/>
      </rPr>
      <t xml:space="preserve">      </t>
    </r>
    <r>
      <rPr>
        <sz val="12"/>
        <color theme="1"/>
        <rFont val="Times New Roman"/>
        <family val="1"/>
      </rPr>
      <t>Kriteria C5</t>
    </r>
  </si>
  <si>
    <t>1,3/6</t>
  </si>
  <si>
    <t>1,7/6</t>
  </si>
  <si>
    <r>
      <t>6.</t>
    </r>
    <r>
      <rPr>
        <sz val="7"/>
        <color theme="1"/>
        <rFont val="Times New Roman"/>
        <family val="1"/>
      </rPr>
      <t xml:space="preserve">      </t>
    </r>
    <r>
      <rPr>
        <sz val="12"/>
        <color theme="1"/>
        <rFont val="Times New Roman"/>
        <family val="1"/>
      </rPr>
      <t>Kriteria C6</t>
    </r>
  </si>
  <si>
    <t>0.66/6</t>
  </si>
  <si>
    <t>0,96/6</t>
  </si>
  <si>
    <r>
      <t>C.</t>
    </r>
    <r>
      <rPr>
        <sz val="7"/>
        <color theme="1"/>
        <rFont val="Times New Roman"/>
        <family val="1"/>
      </rPr>
      <t xml:space="preserve">     </t>
    </r>
    <r>
      <rPr>
        <sz val="12"/>
        <color theme="1"/>
        <rFont val="Times New Roman"/>
        <family val="1"/>
      </rPr>
      <t>Perankingan</t>
    </r>
  </si>
  <si>
    <t>Rank</t>
  </si>
  <si>
    <t>Nilai total A1: [(0,06 x 0,21)+(0,2 x 0,2)+(0,06 x 0,06)+(0,26 x 0,26) + (0,26 x 0,21)+(0,13 x 0,11)]</t>
  </si>
  <si>
    <t>: (0,012 + 0,04 + 0,013 + 0,046 + 0,054 + 0,014) = 0,179</t>
  </si>
  <si>
    <t>Nilai total A2: [(0,06 x 0,28)+(0,2 x 0,2)+(0,06 x 0,29)+(0,26 x 0,13) + (0,26 x 0,28)+(0,13 x 0,22)]</t>
  </si>
  <si>
    <t>: (0,016 + 0,04 + 0,017 + 0,033 + 0,072 + 0,028) = 0,206</t>
  </si>
  <si>
    <t>Nilai total A3: [(0,06 x 0,07)+(0,2 x0,15)+(0,06 x 0,14)+(0,26 x 0,18) + (0,26 x 0,15)+(0,13 x 0,16)]</t>
  </si>
  <si>
    <t>: (0,004 + 0,03 + 0,008 + 0,046 + 0,039 + 0,020) = 0,147</t>
  </si>
  <si>
    <t>Nilai total A4: [(0,06 x 0,14)+(0,2 x0,15)+(0,06 x 0,14)+(0,26 x 0,18) + (0,26 x 0,14)+(0,13 x 0,16)]</t>
  </si>
  <si>
    <t>: (0,008 + 0,03 + 0,008 + 0,046 + 0,036 + 0,020) = 0,148</t>
  </si>
  <si>
    <t>Nilai total A5: [(0,06 x 0,21)+(0,2 x 0,2)+(0,06 x 0,22)+(0,26 x 0,13) + (0,26 x 0,21)+(0,13 x 0,22)]</t>
  </si>
  <si>
    <t>: (0,012 + 0,04 + 0,013 + 0,033 + 0,054 + 0,028) = 0,18</t>
  </si>
  <si>
    <t>Nilai total A6: [(0,06 x 0,07)+(0,2 x0,09)+(0,06 x 0,14)+(0,26 x 0,18) + (0,26 x 0,14)+(0,13 x 0,11)]</t>
  </si>
  <si>
    <t>: (0,004 + 0,018 + 0,008 + 0,046 + 0,036 + 0,014) = 0,126</t>
  </si>
  <si>
    <t>Flowchart.</t>
  </si>
  <si>
    <t>Kesimpulan</t>
  </si>
  <si>
    <t>Berdasarkan permasalahan dan pembahasan di atas dapat disimpulkan bahwa sistem berhasil menghitung dan memproses dengan metode AHP dalam penentuan pemilihan mitra pengiriman barang yang sesuai dengan kriteria yang telah ditentukan yaitu Jenis armada, Jangkauan, Pengalaman Perusahaan, Harga, Estimasi Waktu Pengiriman, Hasil Packing. Berdasarkan perhitungan  di atas, nilai tertinggi adalah hasil perhitungan dari A2, dengan nilai sebesar 0,206, maka keputusan mitra pengiriman barang yang terbaik adalah Pos Indonesia (Alternatif 2). Dengan demikian mitra pengiriman barang terbaik menurut perhitungan metode AHP adalah Pos Indonesia</t>
  </si>
  <si>
    <t>Perhitungan</t>
  </si>
  <si>
    <t>Contoh Perhitungan SPK Metode AHP</t>
  </si>
  <si>
    <t>2 tahun ago</t>
  </si>
  <si>
    <t>5 Comments</t>
  </si>
  <si>
    <t>by admin</t>
  </si>
  <si>
    <t>Written by admin</t>
  </si>
  <si>
    <t>Contoh perhitungan spk metode ahp dengan mengambil studi kasus pemilihan lokasi warnet terbaik. Dalam perhitungan dengan metode ahp, akan banyak melakukan perbandingan yaitu perbandingan antar kriteria, dan perbandingan antar alternatif setiap kriteria. Sehingga akan cocok bila digunakan untuk studi kasus yang lebih mementingkan ketelitian dalam penilaian daripada banyaknya kriteria dan alternatif yang dinilai.</t>
  </si>
  <si>
    <t>Data yang dibutuhkan dalam contoh perhitungan spk metode ahp</t>
  </si>
  <si>
    <t>1. Data Kriteria</t>
  </si>
  <si>
    <t>Data kriteria digunakan sebagai acuan/dasar dari penilaian. Dalam kriteria, kita bisa menambahkan kode kriteria dan nama kriteria. Dalam ahp, tidak usah memberikan bobot kepentingan dalam kriteria seperti pada metode saw, karena penting atau tidaknya kriteria akan terlihat dari perbandingan antar kriteria (dijelaskan bagian berikutnya).</t>
  </si>
  <si>
    <t>Berikut contoh data kriteria dalam perhitungan spk metode ahp:</t>
  </si>
  <si>
    <t>Kode</t>
  </si>
  <si>
    <t>Nama</t>
  </si>
  <si>
    <t>C01</t>
  </si>
  <si>
    <t>Jarak ke pondok mahasiswa</t>
  </si>
  <si>
    <t>C02</t>
  </si>
  <si>
    <t>Jarak ke sarana pendidikan</t>
  </si>
  <si>
    <t>C03</t>
  </si>
  <si>
    <t>Jarak dengan BTS</t>
  </si>
  <si>
    <t>C04</t>
  </si>
  <si>
    <t>Pesaing</t>
  </si>
  <si>
    <t>C05</t>
  </si>
  <si>
    <t>Luas bangunan</t>
  </si>
  <si>
    <t>Tabel 1</t>
  </si>
  <si>
    <t>2. Data Alternatif</t>
  </si>
  <si>
    <r>
      <t>Data alternatif</t>
    </r>
    <r>
      <rPr>
        <sz val="12"/>
        <color rgb="FF444444"/>
        <rFont val="Open Sans"/>
      </rPr>
      <t> adalah sesuatu/orang yang akan diberikan penilaian. Alternatif biasanya berisi kode alternatif dan nama alternatif. Berikut contoh data alteranatif dalam perhitungan spk metode ahp:</t>
    </r>
  </si>
  <si>
    <t>A01</t>
  </si>
  <si>
    <t>Lokasi 1</t>
  </si>
  <si>
    <t>A02</t>
  </si>
  <si>
    <t>Lokasi 2</t>
  </si>
  <si>
    <t>A03</t>
  </si>
  <si>
    <t>Lokasi 3</t>
  </si>
  <si>
    <t>Tabel 2</t>
  </si>
  <si>
    <t>3. Nilai Perbandingan</t>
  </si>
  <si>
    <t>Dalam AHP nilai perbandingan diberikan antara 1 sampe 9 sesuai dengan teori Saaty. Berikut penamaan nilai Saaty:</t>
  </si>
  <si>
    <t>Sama penting dengan</t>
  </si>
  <si>
    <t>Mutlak sangat penting dari</t>
  </si>
  <si>
    <t>Tabel 3</t>
  </si>
  <si>
    <t>Dalam metode AHP, kita melakukan 2 perbandingan yaitu</t>
  </si>
  <si>
    <t>0.333</t>
  </si>
  <si>
    <t>0.5</t>
  </si>
  <si>
    <t>Tabel 4</t>
  </si>
  <si>
    <r>
      <t>Dalam tabel perbandingan diatas bisa kita melihat setiap kriteria akan dibandingkan dengan semua kriteria (termasuk kriteria itu sendiri). Contoh: perbandingan nilai kriteria C01 (kiri) dengan kriteria C03 (atas) adalah 3. Sebaliknya C03 -&gt; C01 = 1/3 (0.33). Begitu juga nilai antara C03-C05 =  2 adalah 1/nilai C05-C03 = 0.5. Perbandingan nilai antar </t>
    </r>
    <r>
      <rPr>
        <b/>
        <sz val="12"/>
        <color rgb="FF444444"/>
        <rFont val="Open Sans"/>
      </rPr>
      <t>kriteria yang sama harus 1</t>
    </r>
    <r>
      <rPr>
        <sz val="12"/>
        <color rgb="FF444444"/>
        <rFont val="Open Sans"/>
      </rPr>
      <t>. Berdasarkan aturan ini maka kita hanya perlu memberikan nilai di cell yang berwarna merah saja. Untuk yang warna hitam otomatis kebalikan dari warna </t>
    </r>
    <r>
      <rPr>
        <sz val="12"/>
        <color rgb="FFFF0000"/>
        <rFont val="Open Sans"/>
      </rPr>
      <t>merah</t>
    </r>
    <r>
      <rPr>
        <sz val="12"/>
        <color rgb="FF444444"/>
        <rFont val="Open Sans"/>
      </rPr>
      <t>, dan yang berwarna </t>
    </r>
    <r>
      <rPr>
        <sz val="12"/>
        <color rgb="FF008000"/>
        <rFont val="Open Sans"/>
      </rPr>
      <t>hijau</t>
    </r>
    <r>
      <rPr>
        <sz val="12"/>
        <color rgb="FF444444"/>
        <rFont val="Open Sans"/>
      </rPr>
      <t> otomatis bernilai 1.</t>
    </r>
  </si>
  <si>
    <r>
      <t>Kalau diperhatikan nilai yang berwarna merah semua &gt;= 1 dan wana hitam &lt;=1, apakah harus begitu? </t>
    </r>
    <r>
      <rPr>
        <b/>
        <sz val="12"/>
        <color rgb="FF444444"/>
        <rFont val="Open Sans"/>
      </rPr>
      <t>Tidak</t>
    </r>
    <r>
      <rPr>
        <sz val="12"/>
        <color rgb="FF444444"/>
        <rFont val="Open Sans"/>
      </rPr>
      <t>, nilai itu tergantung dari penilaian, bisa saja C1-C3 = 0.33 sebaliknya C3-C1 bernilai 3. Ingat, besar nilai yang diberikan berdasarkan penting atau tidaknya kriteria tersebut.</t>
    </r>
  </si>
  <si>
    <t>b. Perbandingan Antar Alternatif</t>
  </si>
  <si>
    <t>Konsep dari pemberian nilai pada alternatif hampir sama dengan kriteria. Kelebihannya adalah pada alternatif kita melakukan perbandingan untuk semua kriteria, contoh:</t>
  </si>
  <si>
    <t>1. Kriteria C01</t>
  </si>
  <si>
    <t>Tabel 5</t>
  </si>
  <si>
    <t>2. Kriteria C02</t>
  </si>
  <si>
    <t>0.25</t>
  </si>
  <si>
    <t>Tabel 6</t>
  </si>
  <si>
    <t>3. Kriteria C03</t>
  </si>
  <si>
    <t>Tabel 7</t>
  </si>
  <si>
    <t>4. Kriteria C04</t>
  </si>
  <si>
    <t>0.167</t>
  </si>
  <si>
    <t>Tabel 8</t>
  </si>
  <si>
    <t>5. Kriteria C05</t>
  </si>
  <si>
    <t>Tabel 9</t>
  </si>
  <si>
    <t>Pada tabel di atas dapat dilihat bahwa perbandingan nilai alternatif berbeda untuk masing-masing kriteria. Contoh A01-A02 pada kriteria 4 adalah 2 sedangkan di kriteria 5 nilainya adalah 4. Nah, bayangkan kalau nanti kriterianya 10 dan alternatif 10, maka perbandingan yang kita lakukan akan banyak sekali.</t>
  </si>
  <si>
    <t>Itulah data yang perlu kita siapkan untuk melakukan perhitungan AHP. Selanjutnya kita akan bahas bagaimana melakukan perhitungan sehingga akan dapat alternatif terbaik.</t>
  </si>
  <si>
    <t>Perhitungan Metode AHP</t>
  </si>
  <si>
    <t>Dalam perhitungan ahp, ada beberapa tahap yang dilakukan yaitu:</t>
  </si>
  <si>
    <t>a. Perhitungan Bobot Prioritas Kriteria</t>
  </si>
  <si>
    <t>1. Mencari baris total</t>
  </si>
  <si>
    <t>#</t>
  </si>
  <si>
    <t>C01 – Jarak ke pondok mahasiswa</t>
  </si>
  <si>
    <t>C02 – Jarak ke sarana pendidikan</t>
  </si>
  <si>
    <t>C03 – Jarak dengan BTS</t>
  </si>
  <si>
    <t>0.3333</t>
  </si>
  <si>
    <t>C04 – Pesaing</t>
  </si>
  <si>
    <t>C05 – Luas bangunan</t>
  </si>
  <si>
    <t>Total kolom</t>
  </si>
  <si>
    <t>4.5</t>
  </si>
  <si>
    <t>7.5</t>
  </si>
  <si>
    <t>Tabel 10</t>
  </si>
  <si>
    <r>
      <t>Baris total didapat dari pengolahan tabel 4 dengan cara menjumlahkan masing masing baris dari setiap kolom. Contoh total dari C01 didapat dari 1 + 1 + 0.0.3333 + 1 + 0.3333 =</t>
    </r>
    <r>
      <rPr>
        <b/>
        <sz val="12"/>
        <color rgb="FFFF0000"/>
        <rFont val="Open Sans"/>
      </rPr>
      <t> 3.6667</t>
    </r>
    <r>
      <rPr>
        <sz val="12"/>
        <color rgb="FF444444"/>
        <rFont val="Open Sans"/>
      </rPr>
      <t>.</t>
    </r>
  </si>
  <si>
    <t>2. Menormalisasikan matriks &amp; bobot prioritas</t>
  </si>
  <si>
    <t>0.2727</t>
  </si>
  <si>
    <t>0.2222</t>
  </si>
  <si>
    <t>0.4</t>
  </si>
  <si>
    <t>0.2308</t>
  </si>
  <si>
    <t>0.3</t>
  </si>
  <si>
    <t>0.285</t>
  </si>
  <si>
    <t>0.2667</t>
  </si>
  <si>
    <t>0.1</t>
  </si>
  <si>
    <t>0.218</t>
  </si>
  <si>
    <t>0.0909</t>
  </si>
  <si>
    <t>0.1111</t>
  </si>
  <si>
    <t>0.1333</t>
  </si>
  <si>
    <t>0.2</t>
  </si>
  <si>
    <t>0.153</t>
  </si>
  <si>
    <t>0.232</t>
  </si>
  <si>
    <t>0.0667</t>
  </si>
  <si>
    <t>0.0769</t>
  </si>
  <si>
    <t>0.111</t>
  </si>
  <si>
    <t>Tabel 11</t>
  </si>
  <si>
    <r>
      <t>Cara menormalisasikan matriks adalah membagi setiap elemen matriks dengan baris total. Contoh cell C01-C02 = 1 / 3.6667 = </t>
    </r>
    <r>
      <rPr>
        <b/>
        <sz val="12"/>
        <color rgb="FFFF0000"/>
        <rFont val="Open Sans"/>
      </rPr>
      <t>0.2727</t>
    </r>
    <r>
      <rPr>
        <sz val="12"/>
        <color rgb="FF444444"/>
        <rFont val="Open Sans"/>
      </rPr>
      <t>, C2-C3 = 2 / 7.5 = </t>
    </r>
    <r>
      <rPr>
        <b/>
        <sz val="12"/>
        <color rgb="FFFF0000"/>
        <rFont val="Open Sans"/>
      </rPr>
      <t>0.2667</t>
    </r>
    <r>
      <rPr>
        <sz val="12"/>
        <color rgb="FF444444"/>
        <rFont val="Open Sans"/>
      </rPr>
      <t>, begitu seterusnya untuk cell yang lain.</t>
    </r>
  </si>
  <si>
    <r>
      <t>Kolom bobot prioritas didapat dari merata-ratakan setiap baris matriks hasil normalisasi. Contoh bobot prioritas baris pertama = (0.2727 + 0.2222 + 0.4 + 0.2308 + 0.3) / 5 = </t>
    </r>
    <r>
      <rPr>
        <b/>
        <sz val="12"/>
        <color rgb="FF444444"/>
        <rFont val="Open Sans"/>
      </rPr>
      <t>0.285</t>
    </r>
    <r>
      <rPr>
        <sz val="12"/>
        <color rgb="FF444444"/>
        <rFont val="Open Sans"/>
      </rPr>
      <t>.</t>
    </r>
  </si>
  <si>
    <t>3. Mencari Konsistensi Matriks</t>
  </si>
  <si>
    <t>Sebenarnya untuk bisa melakukan perangkingan, hanya perlu melakukan sampe langkah mencari bobot prioritas kemudian dilanjutkan ke perhitungan bobot prioritas alternatif. Konsistensi ini penting untuk mengecek apakah kita sudah benar (konsisten) memberikan nilai perbandingan. Lebih jelasnya perhatikan nilai berikut:</t>
  </si>
  <si>
    <t>C01-C02 = 3, artinya C01 lebih penting dari C02</t>
  </si>
  <si>
    <t>C02-C03 = 4, artinya C02 lebih penting dari C03</t>
  </si>
  <si>
    <t>C03-C01 = 5, artinya C03 lebih penting dari C01 atau C01 kurang penting dibandingkan C03.</t>
  </si>
  <si>
    <t>Jika pebandingan pertama dan kedua memang benar, maka perbandingan ketiga (C03-C01) itu tidak konsisten, karena sudah jelas C01 harusnya lebih penting dari C03. Anggap saja A lebih tinggi dari B, dan B lebih tinggi dari C, dapat kita simpulkan A pasti lebih tinggi dari C. Kalau anda memberi nilai C lebih tinggi dari A maka itu sudah tidak konsisten.</t>
  </si>
  <si>
    <t>CM</t>
  </si>
  <si>
    <t>Tabel 12</t>
  </si>
  <si>
    <r>
      <t>CM (Consistency Measure) didapat dari mengalikan matriks pada tabel 4 dengan bobot prioritas masing-masing baris. Contoh untuk baris pertama CM = [(1 * 0.285) + (1 * 0.218) + (3 * 0.153) + (1 * 0.232) + (3 * 0.111)] / 0.285 = </t>
    </r>
    <r>
      <rPr>
        <b/>
        <sz val="12"/>
        <color rgb="FFFF0000"/>
        <rFont val="Open Sans"/>
      </rPr>
      <t>5.363</t>
    </r>
    <r>
      <rPr>
        <sz val="12"/>
        <color rgb="FF444444"/>
        <rFont val="Open Sans"/>
      </rPr>
      <t>.</t>
    </r>
  </si>
  <si>
    <t>Berikutnya mencari CI (Consistency Index) yang didapat dengan rumus:</t>
  </si>
  <si>
    <r>
      <t>LambdaMax</t>
    </r>
    <r>
      <rPr>
        <sz val="12"/>
        <color rgb="FF444444"/>
        <rFont val="Open Sans"/>
      </rPr>
      <t> itu adalah rata-rata dari CM (Consistency Measure) = (5.365 + 5.278 + 5.299 + 5.275 + 5.198) / 5 = 5.2826</t>
    </r>
  </si>
  <si>
    <t>CI = (5.2826 – 5) / (5-1) = 0.071</t>
  </si>
  <si>
    <t>Berikutnya mencari RI (Ratio Index), berdasarkan teori Saaty ratio index sudah ditentukan nilainya berdasarkan ordo matriks (jumlah kriteria. Berikut tabelnya:</t>
  </si>
  <si>
    <t>Ordo matriks</t>
  </si>
  <si>
    <t>Ratio index</t>
  </si>
  <si>
    <t>0.58</t>
  </si>
  <si>
    <t>0.9</t>
  </si>
  <si>
    <t>1.12</t>
  </si>
  <si>
    <t>1.24</t>
  </si>
  <si>
    <t>1.32</t>
  </si>
  <si>
    <t>1.41</t>
  </si>
  <si>
    <t>1.46</t>
  </si>
  <si>
    <t>1.49</t>
  </si>
  <si>
    <t>Tabel 13</t>
  </si>
  <si>
    <r>
      <t>Karena matriks terdiri dari 5 kriteria maka otomatis RI = </t>
    </r>
    <r>
      <rPr>
        <b/>
        <sz val="12"/>
        <color rgb="FF444444"/>
        <rFont val="Open Sans"/>
      </rPr>
      <t>1.12</t>
    </r>
    <r>
      <rPr>
        <sz val="12"/>
        <color rgb="FF444444"/>
        <rFont val="Open Sans"/>
      </rPr>
      <t>.</t>
    </r>
  </si>
  <si>
    <r>
      <t>Dari CI dan RI, kita bisa menghitung Consistency Ratio dengan cari CI / RI = 00.71 / 1.12 = </t>
    </r>
    <r>
      <rPr>
        <b/>
        <sz val="12"/>
        <color rgb="FFFF0000"/>
        <rFont val="Open Sans"/>
      </rPr>
      <t>0.063</t>
    </r>
    <r>
      <rPr>
        <sz val="12"/>
        <color rgb="FF444444"/>
        <rFont val="Open Sans"/>
      </rPr>
      <t>.</t>
    </r>
  </si>
  <si>
    <r>
      <t>Untuk nilai CR 0 – 0.1 dianggap </t>
    </r>
    <r>
      <rPr>
        <b/>
        <sz val="12"/>
        <color rgb="FF444444"/>
        <rFont val="Open Sans"/>
      </rPr>
      <t>konsisten</t>
    </r>
    <r>
      <rPr>
        <sz val="12"/>
        <color rgb="FF444444"/>
        <rFont val="Open Sans"/>
      </rPr>
      <t> lebih dari itu </t>
    </r>
    <r>
      <rPr>
        <b/>
        <sz val="12"/>
        <color rgb="FF444444"/>
        <rFont val="Open Sans"/>
      </rPr>
      <t>tidak konsisten</t>
    </r>
    <r>
      <rPr>
        <sz val="12"/>
        <color rgb="FF444444"/>
        <rFont val="Open Sans"/>
      </rPr>
      <t>. Sehingga perbandingan yang diberikan untuk kriteria sudah </t>
    </r>
    <r>
      <rPr>
        <b/>
        <sz val="12"/>
        <color rgb="FFFF0000"/>
        <rFont val="Open Sans"/>
      </rPr>
      <t>konsisten</t>
    </r>
    <r>
      <rPr>
        <sz val="12"/>
        <color rgb="FF444444"/>
        <rFont val="Open Sans"/>
      </rPr>
      <t>.</t>
    </r>
  </si>
  <si>
    <t>b. Perhitungan Bobot Prioritas Alternatif</t>
  </si>
  <si>
    <t>Untuk mencari bobot prioritas kriteria pada alternatif dilakukan sebanyak jumlah kriteria, berdasarkan tabel 5, 6, 7, 8, dan 9. Langkah langkahnya sama seperti mencari bobot prioritas kriteria. Berikut hasil dari perhitungannya:</t>
  </si>
  <si>
    <t>Bobot</t>
  </si>
  <si>
    <t>0.6</t>
  </si>
  <si>
    <t>0.667</t>
  </si>
  <si>
    <t>0.589</t>
  </si>
  <si>
    <t>0.222</t>
  </si>
  <si>
    <t>0.252</t>
  </si>
  <si>
    <t>0.159</t>
  </si>
  <si>
    <t>0.571</t>
  </si>
  <si>
    <t>0.557</t>
  </si>
  <si>
    <t>0.286</t>
  </si>
  <si>
    <t>0.375</t>
  </si>
  <si>
    <t>0.32</t>
  </si>
  <si>
    <t>0.143</t>
  </si>
  <si>
    <t>0.125</t>
  </si>
  <si>
    <t>0.123</t>
  </si>
  <si>
    <t>Tabel 14</t>
  </si>
  <si>
    <t>0.407</t>
  </si>
  <si>
    <t>0.329</t>
  </si>
  <si>
    <t>0.264</t>
  </si>
  <si>
    <t>Tabel 15</t>
  </si>
  <si>
    <t>0.545</t>
  </si>
  <si>
    <t>0.632</t>
  </si>
  <si>
    <t>0.492</t>
  </si>
  <si>
    <t>0.273</t>
  </si>
  <si>
    <t>0.316</t>
  </si>
  <si>
    <t>0.396</t>
  </si>
  <si>
    <t>0.182</t>
  </si>
  <si>
    <t>0.053</t>
  </si>
  <si>
    <t>Tabel 16</t>
  </si>
  <si>
    <t>0.727</t>
  </si>
  <si>
    <t>0.62</t>
  </si>
  <si>
    <t>0.158</t>
  </si>
  <si>
    <t>0.224</t>
  </si>
  <si>
    <t>0.211</t>
  </si>
  <si>
    <t>0.091</t>
  </si>
  <si>
    <t>0.156</t>
  </si>
  <si>
    <t>Tabel 17</t>
  </si>
  <si>
    <t>c. Perangkingan</t>
  </si>
  <si>
    <t>Berdasarkan bobot prioritas kriteria (tabel 11) dan bobot alternatif (tabel 13, 14, 15, 16, 17) maka bisa disusun tabel seperti berikut:</t>
  </si>
  <si>
    <t>Bobot prioritas</t>
  </si>
  <si>
    <t>A01 – Lokasi 1</t>
  </si>
  <si>
    <t>0.535</t>
  </si>
  <si>
    <t>A02 – Lokasi 2</t>
  </si>
  <si>
    <t>0.309</t>
  </si>
  <si>
    <t>A03 – Lokasi 3</t>
  </si>
  <si>
    <t>Tabel 18</t>
  </si>
  <si>
    <r>
      <t>Untuk mencari </t>
    </r>
    <r>
      <rPr>
        <b/>
        <sz val="12"/>
        <color rgb="FFFF0000"/>
        <rFont val="Open Sans"/>
      </rPr>
      <t>nilai</t>
    </r>
    <r>
      <rPr>
        <sz val="12"/>
        <color rgb="FFFF0000"/>
        <rFont val="Open Sans"/>
      </rPr>
      <t> </t>
    </r>
    <r>
      <rPr>
        <sz val="12"/>
        <color rgb="FF444444"/>
        <rFont val="Open Sans"/>
      </rPr>
      <t>total dengan mengalikan bobot prioritas kriteria dengan setiap baris matriks bobot prioritas alternatif. Contoh untuk baris 1 = (0.285 * 0.589) + (0.218* 0.557) + (0.153* 0.407) + (0.232* 0.492) + (0.111* 0.62) = </t>
    </r>
    <r>
      <rPr>
        <b/>
        <sz val="12"/>
        <color rgb="FFFF0000"/>
        <rFont val="Open Sans"/>
      </rPr>
      <t>0.535</t>
    </r>
    <r>
      <rPr>
        <sz val="12"/>
        <color rgb="FF444444"/>
        <rFont val="Open Sans"/>
      </rPr>
      <t>.</t>
    </r>
  </si>
  <si>
    <t>Berdasarkan perhitungan, alternatif terbaik adalah lokasi 1 (A01) dengan total 0.535. Demikian penjelasan tentang contoh perhitungan spk metode ahp. Jika ada kesulitan silahkan menghubingi kami lewat kontak atau memberikan komentar.</t>
  </si>
  <si>
    <t>Video Perhitungan SPK Metode AHP dengan Excel</t>
  </si>
  <si>
    <r>
      <t>ahp excel download</t>
    </r>
    <r>
      <rPr>
        <sz val="12"/>
        <color rgb="FF444444"/>
        <rFont val="Open Sans"/>
      </rPr>
      <t> </t>
    </r>
    <r>
      <rPr>
        <sz val="12"/>
        <color rgb="FFCF4D35"/>
        <rFont val="Open Sans"/>
      </rPr>
      <t>Aplikasi SPK</t>
    </r>
    <r>
      <rPr>
        <sz val="12"/>
        <color rgb="FF444444"/>
        <rFont val="Open Sans"/>
      </rPr>
      <t> </t>
    </r>
    <r>
      <rPr>
        <sz val="12"/>
        <color rgb="FFCF4D35"/>
        <rFont val="Open Sans"/>
      </rPr>
      <t>contoh perhitungan ahp</t>
    </r>
    <r>
      <rPr>
        <sz val="12"/>
        <color rgb="FF444444"/>
        <rFont val="Open Sans"/>
      </rPr>
      <t> </t>
    </r>
    <r>
      <rPr>
        <sz val="12"/>
        <color rgb="FFCF4D35"/>
        <rFont val="Open Sans"/>
      </rPr>
      <t>Contoh Soal Sistem Pendukung Keputusan</t>
    </r>
    <r>
      <rPr>
        <sz val="12"/>
        <color rgb="FF444444"/>
        <rFont val="Open Sans"/>
      </rPr>
      <t> </t>
    </r>
    <r>
      <rPr>
        <sz val="12"/>
        <color rgb="FFCF4D35"/>
        <rFont val="Open Sans"/>
      </rPr>
      <t>perhitungan ahp</t>
    </r>
    <r>
      <rPr>
        <sz val="12"/>
        <color rgb="FF444444"/>
        <rFont val="Open Sans"/>
      </rPr>
      <t> </t>
    </r>
    <r>
      <rPr>
        <sz val="12"/>
        <color rgb="FFCF4D35"/>
        <rFont val="Open Sans"/>
      </rPr>
      <t>perhitungan ahp excelperhitungan ahp menggunakan excel</t>
    </r>
    <r>
      <rPr>
        <sz val="12"/>
        <color rgb="FF444444"/>
        <rFont val="Open Sans"/>
      </rPr>
      <t> </t>
    </r>
    <r>
      <rPr>
        <sz val="12"/>
        <color rgb="FFCF4D35"/>
        <rFont val="Open Sans"/>
      </rPr>
      <t>perhitungan spk ahp</t>
    </r>
    <r>
      <rPr>
        <sz val="12"/>
        <color rgb="FF444444"/>
        <rFont val="Open Sans"/>
      </rPr>
      <t> </t>
    </r>
    <r>
      <rPr>
        <sz val="12"/>
        <color rgb="FFCF4D35"/>
        <rFont val="Open Sans"/>
      </rPr>
      <t>Rumus AHP dengan Excel</t>
    </r>
    <r>
      <rPr>
        <sz val="12"/>
        <color rgb="FF444444"/>
        <rFont val="Open Sans"/>
      </rPr>
      <t> </t>
    </r>
    <r>
      <rPr>
        <sz val="12"/>
        <color rgb="FFCF4D35"/>
        <rFont val="Open Sans"/>
      </rPr>
      <t>Rumus AHP Menggunakan Excel</t>
    </r>
    <r>
      <rPr>
        <sz val="12"/>
        <color rgb="FF444444"/>
        <rFont val="Open Sans"/>
      </rPr>
      <t> </t>
    </r>
    <r>
      <rPr>
        <sz val="12"/>
        <color rgb="FFCF4D35"/>
        <rFont val="Open Sans"/>
      </rPr>
      <t>source code penilaian karyawan</t>
    </r>
    <r>
      <rPr>
        <sz val="12"/>
        <color rgb="FF444444"/>
        <rFont val="Open Sans"/>
      </rPr>
      <t> </t>
    </r>
    <r>
      <rPr>
        <sz val="12"/>
        <color rgb="FFCF4D35"/>
        <rFont val="Open Sans"/>
      </rPr>
      <t>Source Code Sistem Pendukung Keputusan dengan Metode AHP</t>
    </r>
  </si>
  <si>
    <t>Contoh Perhitungan SPK Metode TOPSIS</t>
  </si>
  <si>
    <t>Source Code SI Koperasi Simpan Pinjam Menggunakan C#</t>
  </si>
  <si>
    <t>You may also like</t>
  </si>
  <si>
    <r>
      <t>Kecerdasan Buatan</t>
    </r>
    <r>
      <rPr>
        <sz val="12"/>
        <color rgb="FF444444"/>
        <rFont val="Open Sans"/>
      </rPr>
      <t> </t>
    </r>
    <r>
      <rPr>
        <sz val="9"/>
        <color rgb="FF9B9B9B"/>
        <rFont val="Open Sans"/>
      </rPr>
      <t>•</t>
    </r>
    <r>
      <rPr>
        <sz val="12"/>
        <color rgb="FFCF4D35"/>
        <rFont val="Open Sans"/>
      </rPr>
      <t>Perhitungan</t>
    </r>
  </si>
  <si>
    <t>Contoh Perhitungan Algoritma Genetika Penjadwalan</t>
  </si>
  <si>
    <t>Contoh Perhitungan SPK Metode SAW</t>
  </si>
  <si>
    <t>About the author</t>
  </si>
  <si>
    <t>admin</t>
  </si>
  <si>
    <t>View all posts</t>
  </si>
  <si>
    <t>diki saputra</t>
  </si>
  <si>
    <t>14 November 2017 pukul 2:46 am</t>
  </si>
  <si>
    <t>saya minta file excelnya dong min buat yang SAW,AHP,dan Topsis untuk jurnal yg judul ini</t>
  </si>
  <si>
    <t>Reply</t>
  </si>
  <si>
    <t>14 November 2017 pukul 7:39 am</t>
  </si>
  <si>
    <t>Download excel di https://tugasakhir.id/source-code-tugas-akhir/</t>
  </si>
  <si>
    <t>Irwan</t>
  </si>
  <si>
    <t>7 September 2018 pukul 11:16 am</t>
  </si>
  <si>
    <t>Mas, klu kasusnya semisal strategi pengembangan agribisnis bisa nggak menggunakan metode AHP</t>
  </si>
  <si>
    <t>11 September 2018 pukul 11:45 pm</t>
  </si>
  <si>
    <t>AHP untuk melakukan perbandingan alternatif (sesuatu atau orang). Sehingga hasilnya perangkingan dengan nilai terbesar.</t>
  </si>
  <si>
    <t>zura</t>
  </si>
  <si>
    <t>5 Desember 2018 pukul 7:08 pm</t>
  </si>
  <si>
    <t>kak link yang diatas untuk excelnya mati, boleh dikirim ke email saya? zhurazura97@gmail.com terima kasih</t>
  </si>
  <si>
    <t>Leave a Comment</t>
  </si>
  <si>
    <t>Comment</t>
  </si>
  <si>
    <r>
      <t>Name</t>
    </r>
    <r>
      <rPr>
        <sz val="12"/>
        <color rgb="FFCF4D35"/>
        <rFont val="Open Sans"/>
      </rPr>
      <t> *</t>
    </r>
  </si>
  <si>
    <r>
      <t>Email</t>
    </r>
    <r>
      <rPr>
        <sz val="12"/>
        <color rgb="FFCF4D35"/>
        <rFont val="Open Sans"/>
      </rPr>
      <t> *</t>
    </r>
  </si>
  <si>
    <t>Website</t>
  </si>
  <si>
    <t>This site uses Akismet to reduce spam. Learn how your comment data is processed.</t>
  </si>
  <si>
    <t>Cari Source Code</t>
  </si>
  <si>
    <t>Kontak Kami</t>
  </si>
  <si>
    <r>
      <t>I Kayan </t>
    </r>
    <r>
      <rPr>
        <b/>
        <sz val="11"/>
        <color rgb="FF444444"/>
        <rFont val="Open Sans"/>
      </rPr>
      <t>Herdi</t>
    </r>
    <r>
      <rPr>
        <sz val="11"/>
        <color rgb="FF444444"/>
        <rFont val="Open Sans"/>
      </rPr>
      <t>ana</t>
    </r>
  </si>
  <si>
    <t>Email : herdikayan@gmail.com</t>
  </si>
  <si>
    <t>WA / SMS : +6281 999 886 827</t>
  </si>
  <si>
    <t>BBM : 5AF1A226</t>
  </si>
  <si>
    <t>Line ID : herdikayan</t>
  </si>
  <si>
    <t>a/n I Kayan Herdiana</t>
  </si>
  <si>
    <t>BNI</t>
  </si>
  <si>
    <t>BCA</t>
  </si>
  <si>
    <t>BRI</t>
  </si>
  <si>
    <t>4643-01-008473-53-8</t>
  </si>
  <si>
    <t>CIMB</t>
  </si>
  <si>
    <t>7612 9066 4600</t>
  </si>
  <si>
    <t>Contoh Perhitungan</t>
  </si>
  <si>
    <t>Sistem Pakar</t>
  </si>
  <si>
    <t>Source Code Sistem Pakar Metode Certainty Factor dan...</t>
  </si>
  <si>
    <t>Source Code Sistem Pakar Metode Certainty Factor C...</t>
  </si>
  <si>
    <t>Source Code Sistem Pakar Dempster Shafer CodeIgniter</t>
  </si>
  <si>
    <t>Source Code SPK Metode TOPSIS C Sharp (C#)</t>
  </si>
  <si>
    <t>Source Code Sistem Pakar CBR PHP</t>
  </si>
  <si>
    <t>Sistem Pendukung Keputusan</t>
  </si>
  <si>
    <t>Source Code SPK Metode MOORA PHP</t>
  </si>
  <si>
    <t>Source Code SPK Metode MFEP CodeIgniter</t>
  </si>
  <si>
    <t>Source Code SPK Metode AHP dan Weighted Product (AHP...</t>
  </si>
  <si>
    <t>Source Code SPK Metode Fuzzy AHP TOPSIS PHP</t>
  </si>
  <si>
    <t>Source Code SPK Fuzzy Tsukamoto CodeIgniter</t>
  </si>
  <si>
    <r>
      <t>Copyright © 2014. Created by </t>
    </r>
    <r>
      <rPr>
        <sz val="10"/>
        <color rgb="FFCF4D35"/>
        <rFont val="Open Sans"/>
      </rPr>
      <t>Meks</t>
    </r>
    <r>
      <rPr>
        <sz val="10"/>
        <color rgb="FF444444"/>
        <rFont val="Open Sans"/>
      </rPr>
      <t>. Powered by </t>
    </r>
    <r>
      <rPr>
        <sz val="10"/>
        <color rgb="FFCF4D35"/>
        <rFont val="Open Sans"/>
      </rPr>
      <t>WordPress</t>
    </r>
    <r>
      <rPr>
        <sz val="10"/>
        <color rgb="FF444444"/>
        <rFont val="Open Sans"/>
      </rPr>
      <t>.</t>
    </r>
  </si>
  <si>
    <t>Privacy Policy</t>
  </si>
  <si>
    <t>About</t>
  </si>
  <si>
    <t>Kontak</t>
  </si>
  <si>
    <t>CI/RI</t>
  </si>
  <si>
    <t>data</t>
  </si>
  <si>
    <t>perhitungan bobot prioritas alternatif</t>
  </si>
  <si>
    <t>bobot</t>
  </si>
  <si>
    <t>jumlah</t>
  </si>
  <si>
    <t xml:space="preserve">bobot </t>
  </si>
  <si>
    <t>c1</t>
  </si>
  <si>
    <t>c2</t>
  </si>
  <si>
    <t>c3</t>
  </si>
  <si>
    <t>c4</t>
  </si>
  <si>
    <t>c5</t>
  </si>
  <si>
    <t xml:space="preserve">A1 </t>
  </si>
  <si>
    <t xml:space="preserve">A2 </t>
  </si>
  <si>
    <t xml:space="preserve">A3 </t>
  </si>
  <si>
    <t xml:space="preserve">A4 </t>
  </si>
  <si>
    <t xml:space="preserve">A5 </t>
  </si>
  <si>
    <t>bobot prioritas</t>
  </si>
  <si>
    <t>6. Kriteria C6 (4,5,4,2,3)</t>
  </si>
  <si>
    <t>nilai</t>
  </si>
  <si>
    <t>PEMILIHAN LOKASI CAFE TERBAIK DI YOGYAKARTA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</si>
</sst>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31">
    <font>
      <sz val="11"/>
      <color theme="1"/>
      <name val="Calibri"/>
      <family val="2"/>
      <charset val="1"/>
      <scheme val="minor"/>
    </font>
    <font>
      <sz val="12"/>
      <color theme="1"/>
      <name val="Times New Roman"/>
      <family val="1"/>
    </font>
    <font>
      <sz val="11"/>
      <color theme="1"/>
      <name val="Times New Roman"/>
      <family val="1"/>
    </font>
    <font>
      <sz val="14"/>
      <color theme="1"/>
      <name val="Times New Roman"/>
      <family val="1"/>
    </font>
    <font>
      <sz val="18"/>
      <color theme="1"/>
      <name val="Times New Roman"/>
      <family val="1"/>
    </font>
    <font>
      <b/>
      <sz val="12"/>
      <color theme="1"/>
      <name val="Times New Roman"/>
      <family val="1"/>
    </font>
    <font>
      <b/>
      <sz val="11"/>
      <color theme="1"/>
      <name val="Times New Roman"/>
      <family val="1"/>
    </font>
    <font>
      <sz val="7"/>
      <color theme="1"/>
      <name val="Times New Roman"/>
      <family val="1"/>
    </font>
    <font>
      <sz val="12"/>
      <color rgb="FF444444"/>
      <name val="Open Sans"/>
    </font>
    <font>
      <sz val="27"/>
      <color rgb="FF232323"/>
      <name val="Roboto Slab"/>
    </font>
    <font>
      <sz val="30"/>
      <color rgb="FF232323"/>
      <name val="Roboto Slab"/>
    </font>
    <font>
      <sz val="12"/>
      <color rgb="FFCF4D35"/>
      <name val="Open Sans"/>
    </font>
    <font>
      <sz val="24"/>
      <color rgb="FF232323"/>
      <name val="Roboto Slab"/>
    </font>
    <font>
      <sz val="11"/>
      <color rgb="FF9B9B9B"/>
      <name val="Open Sans"/>
    </font>
    <font>
      <sz val="18"/>
      <color rgb="FF232323"/>
      <name val="Roboto Slab"/>
    </font>
    <font>
      <sz val="13.5"/>
      <color rgb="FF232323"/>
      <name val="Roboto Slab"/>
    </font>
    <font>
      <b/>
      <sz val="12"/>
      <color rgb="FF444444"/>
      <name val="Open Sans"/>
    </font>
    <font>
      <sz val="12"/>
      <color theme="1"/>
      <name val="Open Sans"/>
    </font>
    <font>
      <sz val="12"/>
      <color rgb="FF232323"/>
      <name val="Roboto Slab"/>
    </font>
    <font>
      <b/>
      <sz val="12"/>
      <color theme="1"/>
      <name val="Open Sans"/>
    </font>
    <font>
      <sz val="12"/>
      <color rgb="FF008000"/>
      <name val="Open Sans"/>
    </font>
    <font>
      <sz val="12"/>
      <color rgb="FFFF0000"/>
      <name val="Open Sans"/>
    </font>
    <font>
      <b/>
      <sz val="12"/>
      <color rgb="FFFF0000"/>
      <name val="Open Sans"/>
    </font>
    <font>
      <sz val="9"/>
      <color rgb="FF9B9B9B"/>
      <name val="Open Sans"/>
    </font>
    <font>
      <sz val="11"/>
      <color rgb="FF444444"/>
      <name val="Open Sans"/>
    </font>
    <font>
      <b/>
      <sz val="11"/>
      <color rgb="FF444444"/>
      <name val="Open Sans"/>
    </font>
    <font>
      <sz val="11"/>
      <color rgb="FFF9F9F9"/>
      <name val="Open Sans"/>
    </font>
    <font>
      <sz val="14"/>
      <color rgb="FFFFFFFF"/>
      <name val="Roboto Slab"/>
    </font>
    <font>
      <sz val="10"/>
      <color rgb="FF444444"/>
      <name val="Open Sans"/>
    </font>
    <font>
      <sz val="10"/>
      <color rgb="FFCF4D35"/>
      <name val="Open Sans"/>
    </font>
    <font>
      <u/>
      <sz val="11"/>
      <color theme="10"/>
      <name val="Calibri"/>
      <family val="2"/>
      <charset val="1"/>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19">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style="thick">
        <color rgb="FFFFFFFF"/>
      </top>
      <bottom style="thick">
        <color rgb="FFFFFFFF"/>
      </bottom>
      <diagonal/>
    </border>
    <border>
      <left style="medium">
        <color rgb="FF000000"/>
      </left>
      <right style="medium">
        <color rgb="FF000000"/>
      </right>
      <top style="medium">
        <color rgb="FFE6E6E6"/>
      </top>
      <bottom style="medium">
        <color rgb="FF000000"/>
      </bottom>
      <diagonal/>
    </border>
    <border>
      <left/>
      <right style="medium">
        <color rgb="FF000000"/>
      </right>
      <top style="medium">
        <color rgb="FFE6E6E6"/>
      </top>
      <bottom style="medium">
        <color rgb="FF000000"/>
      </bottom>
      <diagonal/>
    </border>
    <border>
      <left style="medium">
        <color rgb="FF000000"/>
      </left>
      <right/>
      <top style="medium">
        <color rgb="FFE6E6E6"/>
      </top>
      <bottom/>
      <diagonal/>
    </border>
    <border>
      <left/>
      <right/>
      <top style="medium">
        <color rgb="FFE6E6E6"/>
      </top>
      <bottom/>
      <diagonal/>
    </border>
    <border>
      <left style="medium">
        <color rgb="FF000000"/>
      </left>
      <right/>
      <top/>
      <bottom/>
      <diagonal/>
    </border>
    <border>
      <left/>
      <right/>
      <top/>
      <bottom style="medium">
        <color rgb="FF000000"/>
      </bottom>
      <diagonal/>
    </border>
    <border>
      <left/>
      <right/>
      <top/>
      <bottom style="medium">
        <color rgb="FFE6E6E6"/>
      </bottom>
      <diagonal/>
    </border>
  </borders>
  <cellStyleXfs count="2">
    <xf numFmtId="0" fontId="0" fillId="0" borderId="0"/>
    <xf numFmtId="0" fontId="30" fillId="0" borderId="0" applyNumberFormat="0" applyFill="0" applyBorder="0" applyAlignment="0" applyProtection="0">
      <alignment vertical="top"/>
      <protection locked="0"/>
    </xf>
  </cellStyleXfs>
  <cellXfs count="137">
    <xf numFmtId="0" fontId="0" fillId="0" borderId="0" xfId="0"/>
    <xf numFmtId="2" fontId="0" fillId="0" borderId="0" xfId="0" applyNumberFormat="1"/>
    <xf numFmtId="0" fontId="1" fillId="0" borderId="4" xfId="0" applyFont="1" applyBorder="1" applyAlignment="1">
      <alignment horizontal="center" vertical="top" wrapText="1"/>
    </xf>
    <xf numFmtId="0" fontId="1" fillId="0" borderId="5" xfId="0" applyFont="1" applyBorder="1" applyAlignment="1">
      <alignment horizontal="justify" vertical="top" wrapText="1"/>
    </xf>
    <xf numFmtId="0" fontId="2" fillId="0" borderId="0" xfId="0" applyFont="1"/>
    <xf numFmtId="0" fontId="3" fillId="0" borderId="0" xfId="0" applyFont="1"/>
    <xf numFmtId="0" fontId="1" fillId="0" borderId="5" xfId="0" applyFont="1" applyBorder="1" applyAlignment="1">
      <alignment horizontal="justify" vertical="center" wrapText="1"/>
    </xf>
    <xf numFmtId="0" fontId="2" fillId="0" borderId="0" xfId="0" applyNumberFormat="1" applyFont="1" applyAlignment="1"/>
    <xf numFmtId="2" fontId="2" fillId="0" borderId="0" xfId="0" applyNumberFormat="1" applyFont="1"/>
    <xf numFmtId="0" fontId="1" fillId="0" borderId="0" xfId="0" applyFont="1"/>
    <xf numFmtId="0" fontId="2" fillId="0" borderId="0" xfId="0" applyFont="1" applyAlignment="1">
      <alignment horizontal="center" vertical="center"/>
    </xf>
    <xf numFmtId="0" fontId="2" fillId="0" borderId="6" xfId="0" applyFont="1" applyBorder="1" applyAlignment="1">
      <alignment horizontal="center" vertical="center"/>
    </xf>
    <xf numFmtId="0" fontId="1" fillId="0" borderId="6" xfId="0" applyFont="1" applyBorder="1" applyAlignment="1">
      <alignment horizontal="center"/>
    </xf>
    <xf numFmtId="0" fontId="2" fillId="0" borderId="6" xfId="0" applyFont="1" applyBorder="1" applyAlignment="1">
      <alignment horizontal="left" vertical="top"/>
    </xf>
    <xf numFmtId="0" fontId="1" fillId="0" borderId="6" xfId="0" applyFont="1" applyBorder="1" applyAlignment="1">
      <alignment horizontal="center" vertical="center" wrapText="1"/>
    </xf>
    <xf numFmtId="0" fontId="2" fillId="2" borderId="0" xfId="0" applyFont="1" applyFill="1"/>
    <xf numFmtId="0" fontId="2" fillId="0" borderId="6" xfId="0" applyNumberFormat="1" applyFont="1" applyBorder="1" applyAlignment="1">
      <alignment horizontal="center" vertical="center"/>
    </xf>
    <xf numFmtId="1" fontId="2" fillId="0" borderId="6" xfId="0" applyNumberFormat="1" applyFont="1" applyBorder="1" applyAlignment="1">
      <alignment horizontal="center" vertical="center"/>
    </xf>
    <xf numFmtId="164" fontId="2" fillId="0" borderId="6" xfId="0" applyNumberFormat="1" applyFont="1" applyBorder="1" applyAlignment="1">
      <alignment horizontal="center" vertical="center"/>
    </xf>
    <xf numFmtId="2" fontId="2" fillId="0" borderId="6" xfId="0" applyNumberFormat="1"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justify" vertical="center" wrapText="1"/>
    </xf>
    <xf numFmtId="0" fontId="2" fillId="0" borderId="1" xfId="0" applyFont="1" applyBorder="1" applyAlignment="1">
      <alignment horizontal="center" vertical="center"/>
    </xf>
    <xf numFmtId="0" fontId="1" fillId="0" borderId="0" xfId="0" applyFont="1" applyBorder="1" applyAlignment="1">
      <alignment horizontal="justify" vertical="center" wrapText="1"/>
    </xf>
    <xf numFmtId="2" fontId="2" fillId="0" borderId="0" xfId="0" applyNumberFormat="1" applyFont="1" applyBorder="1" applyAlignment="1">
      <alignment horizontal="center" vertical="center"/>
    </xf>
    <xf numFmtId="0" fontId="5" fillId="0" borderId="6" xfId="0" applyFont="1" applyBorder="1" applyAlignment="1">
      <alignment horizontal="center" vertical="center" wrapText="1"/>
    </xf>
    <xf numFmtId="2" fontId="6" fillId="0" borderId="6" xfId="0" applyNumberFormat="1" applyFont="1" applyBorder="1" applyAlignment="1">
      <alignment horizontal="center" vertical="center"/>
    </xf>
    <xf numFmtId="0" fontId="6" fillId="0" borderId="6" xfId="0" applyNumberFormat="1" applyFont="1" applyBorder="1" applyAlignment="1">
      <alignment horizontal="center" vertical="center"/>
    </xf>
    <xf numFmtId="164" fontId="6" fillId="0" borderId="6" xfId="0" applyNumberFormat="1" applyFont="1" applyBorder="1" applyAlignment="1">
      <alignment horizontal="center" vertical="center"/>
    </xf>
    <xf numFmtId="0" fontId="2" fillId="0" borderId="0" xfId="0" applyNumberFormat="1" applyFont="1" applyAlignment="1">
      <alignment horizontal="center" vertical="center"/>
    </xf>
    <xf numFmtId="0" fontId="2" fillId="0" borderId="7" xfId="0" applyFont="1" applyBorder="1" applyAlignment="1">
      <alignment horizontal="center" vertical="center"/>
    </xf>
    <xf numFmtId="0" fontId="5" fillId="0" borderId="6" xfId="0" applyFont="1" applyBorder="1" applyAlignment="1">
      <alignmen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1" fillId="0" borderId="9" xfId="0" applyFont="1" applyBorder="1" applyAlignment="1">
      <alignment vertical="top" wrapText="1"/>
    </xf>
    <xf numFmtId="0" fontId="1" fillId="0" borderId="0" xfId="0" applyFont="1" applyAlignment="1">
      <alignment horizontal="center"/>
    </xf>
    <xf numFmtId="0" fontId="5" fillId="0" borderId="0" xfId="0" applyFont="1"/>
    <xf numFmtId="0" fontId="1" fillId="0" borderId="6"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0" xfId="0" applyFont="1" applyAlignment="1">
      <alignment horizontal="left" indent="5"/>
    </xf>
    <xf numFmtId="0" fontId="1" fillId="0" borderId="0" xfId="0" applyFont="1" applyAlignment="1">
      <alignment horizontal="left" indent="2"/>
    </xf>
    <xf numFmtId="0" fontId="1" fillId="0" borderId="0" xfId="0" applyFont="1" applyAlignment="1">
      <alignment horizontal="left" indent="8"/>
    </xf>
    <xf numFmtId="0" fontId="5" fillId="0" borderId="0" xfId="0" applyFont="1" applyAlignment="1">
      <alignment horizontal="left" indent="5"/>
    </xf>
    <xf numFmtId="0" fontId="5" fillId="0" borderId="9" xfId="0" applyFont="1" applyBorder="1" applyAlignment="1">
      <alignment vertical="top" wrapText="1"/>
    </xf>
    <xf numFmtId="0" fontId="1" fillId="0" borderId="0" xfId="0" applyFont="1" applyAlignment="1">
      <alignment horizontal="left" indent="10"/>
    </xf>
    <xf numFmtId="0" fontId="5" fillId="0" borderId="0" xfId="0" applyFont="1" applyAlignment="1">
      <alignment horizontal="justify"/>
    </xf>
    <xf numFmtId="0" fontId="1" fillId="0" borderId="0" xfId="0" applyFont="1" applyAlignment="1">
      <alignment horizontal="justify"/>
    </xf>
    <xf numFmtId="0" fontId="0" fillId="0" borderId="10" xfId="0" applyBorder="1"/>
    <xf numFmtId="0" fontId="9" fillId="0" borderId="0" xfId="0" applyFont="1" applyAlignment="1">
      <alignment horizontal="center" wrapText="1"/>
    </xf>
    <xf numFmtId="0" fontId="10" fillId="0" borderId="0" xfId="0" applyFont="1" applyAlignment="1">
      <alignment horizontal="center" wrapText="1"/>
    </xf>
    <xf numFmtId="0" fontId="0" fillId="0" borderId="0" xfId="0" applyAlignment="1">
      <alignment wrapText="1"/>
    </xf>
    <xf numFmtId="0" fontId="11" fillId="0" borderId="0" xfId="0" applyFont="1" applyAlignment="1">
      <alignment wrapText="1"/>
    </xf>
    <xf numFmtId="0" fontId="30" fillId="0" borderId="0" xfId="1" applyAlignment="1" applyProtection="1">
      <alignment wrapText="1"/>
    </xf>
    <xf numFmtId="0" fontId="12" fillId="0" borderId="0" xfId="0" applyFont="1" applyAlignment="1">
      <alignment wrapText="1"/>
    </xf>
    <xf numFmtId="0" fontId="13" fillId="0" borderId="0" xfId="0" applyFont="1"/>
    <xf numFmtId="0" fontId="30" fillId="0" borderId="0" xfId="1" applyAlignment="1" applyProtection="1"/>
    <xf numFmtId="0" fontId="8" fillId="0" borderId="0" xfId="0" applyFont="1" applyAlignment="1">
      <alignment wrapText="1"/>
    </xf>
    <xf numFmtId="0" fontId="0" fillId="0" borderId="11" xfId="0" applyBorder="1" applyAlignment="1">
      <alignment horizontal="center" vertical="center" wrapText="1"/>
    </xf>
    <xf numFmtId="0" fontId="8" fillId="0" borderId="11" xfId="0" applyFont="1" applyBorder="1" applyAlignment="1">
      <alignment horizontal="center" vertical="center" wrapText="1"/>
    </xf>
    <xf numFmtId="0" fontId="0" fillId="0" borderId="0" xfId="0" applyAlignment="1">
      <alignment horizontal="center" wrapText="1"/>
    </xf>
    <xf numFmtId="0" fontId="30" fillId="0" borderId="0" xfId="1" applyAlignment="1" applyProtection="1">
      <alignment horizontal="center" wrapText="1"/>
    </xf>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7" fillId="3" borderId="5" xfId="0" applyFont="1" applyFill="1" applyBorder="1" applyAlignment="1">
      <alignment horizontal="left" wrapText="1" indent="1"/>
    </xf>
    <xf numFmtId="0" fontId="17" fillId="3" borderId="12" xfId="0" applyFont="1" applyFill="1" applyBorder="1" applyAlignment="1">
      <alignment horizontal="left" wrapText="1" indent="1"/>
    </xf>
    <xf numFmtId="0" fontId="17" fillId="3" borderId="13" xfId="0" applyFont="1" applyFill="1" applyBorder="1" applyAlignment="1">
      <alignment horizontal="left" wrapText="1" indent="1"/>
    </xf>
    <xf numFmtId="0" fontId="17" fillId="3" borderId="4" xfId="0" applyFont="1" applyFill="1" applyBorder="1" applyAlignment="1">
      <alignment horizontal="left" wrapText="1" indent="1"/>
    </xf>
    <xf numFmtId="0" fontId="18" fillId="0" borderId="0" xfId="0" applyFont="1" applyAlignment="1">
      <alignment wrapText="1"/>
    </xf>
    <xf numFmtId="0" fontId="20" fillId="3" borderId="5" xfId="0" applyFont="1" applyFill="1" applyBorder="1" applyAlignment="1">
      <alignment horizontal="left" wrapText="1" indent="1"/>
    </xf>
    <xf numFmtId="0" fontId="21" fillId="3" borderId="5" xfId="0" applyFont="1" applyFill="1" applyBorder="1" applyAlignment="1">
      <alignment horizontal="left" wrapText="1" indent="1"/>
    </xf>
    <xf numFmtId="0" fontId="19" fillId="3" borderId="14" xfId="0" applyFont="1" applyFill="1" applyBorder="1" applyAlignment="1">
      <alignment horizontal="left" wrapText="1"/>
    </xf>
    <xf numFmtId="0" fontId="19" fillId="3" borderId="15" xfId="0" applyFont="1" applyFill="1" applyBorder="1" applyAlignment="1">
      <alignment horizontal="left" wrapText="1"/>
    </xf>
    <xf numFmtId="0" fontId="19" fillId="3" borderId="16" xfId="0" applyFont="1" applyFill="1" applyBorder="1" applyAlignment="1">
      <alignment horizontal="left" wrapText="1"/>
    </xf>
    <xf numFmtId="0" fontId="0" fillId="0" borderId="0" xfId="0" applyAlignment="1">
      <alignment horizontal="left" wrapText="1" indent="1"/>
    </xf>
    <xf numFmtId="0" fontId="8" fillId="0" borderId="0" xfId="0" applyFont="1" applyAlignment="1">
      <alignment horizontal="left" wrapText="1" indent="1"/>
    </xf>
    <xf numFmtId="3" fontId="21" fillId="3" borderId="5" xfId="0" applyNumberFormat="1" applyFont="1" applyFill="1" applyBorder="1" applyAlignment="1">
      <alignment horizontal="left" wrapText="1" indent="1"/>
    </xf>
    <xf numFmtId="3" fontId="17" fillId="3" borderId="5" xfId="0" applyNumberFormat="1" applyFont="1" applyFill="1" applyBorder="1" applyAlignment="1">
      <alignment horizontal="left" wrapText="1" indent="1"/>
    </xf>
    <xf numFmtId="0" fontId="0" fillId="0" borderId="0" xfId="0" applyAlignment="1">
      <alignment vertical="top" wrapText="1"/>
    </xf>
    <xf numFmtId="0" fontId="30" fillId="0" borderId="0" xfId="1" applyAlignment="1" applyProtection="1">
      <alignment vertical="top" wrapText="1"/>
    </xf>
    <xf numFmtId="0" fontId="15" fillId="0" borderId="0" xfId="0" applyFont="1" applyAlignment="1">
      <alignment horizontal="center" wrapText="1"/>
    </xf>
    <xf numFmtId="0" fontId="8" fillId="0" borderId="0" xfId="0" applyFont="1" applyAlignment="1">
      <alignment horizontal="left" wrapText="1" indent="2"/>
    </xf>
    <xf numFmtId="0" fontId="11" fillId="0" borderId="0" xfId="0" applyFont="1" applyAlignment="1">
      <alignment horizontal="left" wrapText="1" indent="2"/>
    </xf>
    <xf numFmtId="0" fontId="0" fillId="0" borderId="0" xfId="0" applyAlignment="1">
      <alignment horizontal="left" wrapText="1" indent="2"/>
    </xf>
    <xf numFmtId="0" fontId="30" fillId="0" borderId="0" xfId="1" applyAlignment="1" applyProtection="1">
      <alignment horizontal="left" wrapText="1" indent="2"/>
    </xf>
    <xf numFmtId="0" fontId="0" fillId="0" borderId="0" xfId="0" applyAlignment="1">
      <alignment horizontal="left" wrapText="1" indent="15"/>
    </xf>
    <xf numFmtId="0" fontId="14" fillId="0" borderId="0" xfId="0" applyFont="1" applyAlignment="1">
      <alignment horizontal="left" vertical="top" wrapText="1" indent="15"/>
    </xf>
    <xf numFmtId="0" fontId="0" fillId="0" borderId="0" xfId="0" applyAlignment="1">
      <alignment horizontal="left" wrapText="1" indent="3"/>
    </xf>
    <xf numFmtId="0" fontId="16" fillId="0" borderId="0" xfId="0" applyFont="1" applyAlignment="1">
      <alignment horizontal="left" wrapText="1" indent="3"/>
    </xf>
    <xf numFmtId="0" fontId="0" fillId="3" borderId="0" xfId="0" applyFill="1" applyAlignment="1">
      <alignment horizontal="left" wrapText="1" indent="3"/>
    </xf>
    <xf numFmtId="0" fontId="30" fillId="0" borderId="0" xfId="1" applyAlignment="1" applyProtection="1">
      <alignment horizontal="left" wrapText="1" indent="3"/>
    </xf>
    <xf numFmtId="0" fontId="8" fillId="3" borderId="0" xfId="0" applyFont="1" applyFill="1" applyAlignment="1">
      <alignment horizontal="left" wrapText="1" indent="3"/>
    </xf>
    <xf numFmtId="0" fontId="0" fillId="0" borderId="0" xfId="0" applyAlignment="1">
      <alignment horizontal="left" wrapText="1" indent="4"/>
    </xf>
    <xf numFmtId="0" fontId="16" fillId="0" borderId="0" xfId="0" applyFont="1" applyAlignment="1">
      <alignment horizontal="left" wrapText="1" indent="4"/>
    </xf>
    <xf numFmtId="0" fontId="30" fillId="0" borderId="0" xfId="1" applyAlignment="1" applyProtection="1">
      <alignment horizontal="left" wrapText="1" indent="4"/>
    </xf>
    <xf numFmtId="0" fontId="18" fillId="0" borderId="0" xfId="0" applyFont="1" applyAlignment="1">
      <alignment horizontal="center" wrapText="1"/>
    </xf>
    <xf numFmtId="0" fontId="8" fillId="4" borderId="0" xfId="0" applyFont="1" applyFill="1" applyAlignment="1">
      <alignment wrapText="1"/>
    </xf>
    <xf numFmtId="0" fontId="24" fillId="0" borderId="0" xfId="0" applyFont="1" applyAlignment="1">
      <alignment horizontal="left" wrapText="1" indent="2"/>
    </xf>
    <xf numFmtId="0" fontId="27" fillId="0" borderId="17" xfId="0" applyFont="1" applyBorder="1" applyAlignment="1">
      <alignment horizontal="center" wrapText="1"/>
    </xf>
    <xf numFmtId="0" fontId="26" fillId="0" borderId="0" xfId="0" applyFont="1" applyAlignment="1">
      <alignment horizontal="left" wrapText="1" indent="3"/>
    </xf>
    <xf numFmtId="0" fontId="28" fillId="0" borderId="0" xfId="0" applyFont="1" applyAlignment="1">
      <alignment wrapText="1"/>
    </xf>
    <xf numFmtId="0" fontId="30" fillId="0" borderId="0" xfId="1" applyAlignment="1" applyProtection="1">
      <alignment horizontal="left" wrapText="1" indent="1"/>
    </xf>
    <xf numFmtId="0" fontId="8" fillId="0" borderId="0" xfId="0" applyFont="1" applyAlignment="1">
      <alignment horizontal="left" vertical="top" wrapText="1" indent="1"/>
    </xf>
    <xf numFmtId="165" fontId="0" fillId="0" borderId="0" xfId="0" applyNumberFormat="1"/>
    <xf numFmtId="164" fontId="0" fillId="0" borderId="0" xfId="0" applyNumberFormat="1"/>
    <xf numFmtId="166" fontId="0" fillId="0" borderId="0" xfId="0" applyNumberFormat="1"/>
    <xf numFmtId="166" fontId="2" fillId="0" borderId="6" xfId="0" applyNumberFormat="1" applyFont="1" applyBorder="1" applyAlignment="1">
      <alignment horizontal="center" vertical="center"/>
    </xf>
    <xf numFmtId="0" fontId="0" fillId="0" borderId="0" xfId="0" applyNumberFormat="1" applyAlignment="1">
      <alignment vertical="top"/>
    </xf>
    <xf numFmtId="0" fontId="2" fillId="0" borderId="6" xfId="0" applyFont="1" applyBorder="1"/>
    <xf numFmtId="2" fontId="2" fillId="0" borderId="0" xfId="0" applyNumberFormat="1" applyFont="1" applyAlignment="1">
      <alignment horizontal="center" vertical="center"/>
    </xf>
    <xf numFmtId="0" fontId="5" fillId="0" borderId="0" xfId="0" applyFont="1" applyBorder="1" applyAlignment="1">
      <alignment horizontal="center" vertical="center" wrapText="1"/>
    </xf>
    <xf numFmtId="2" fontId="6" fillId="0" borderId="0" xfId="0" applyNumberFormat="1" applyFont="1" applyBorder="1" applyAlignment="1">
      <alignment horizontal="center" vertical="center"/>
    </xf>
    <xf numFmtId="0" fontId="6" fillId="0" borderId="0" xfId="0" applyNumberFormat="1" applyFont="1" applyBorder="1" applyAlignment="1">
      <alignment horizontal="center" vertical="center"/>
    </xf>
    <xf numFmtId="2" fontId="2" fillId="0" borderId="6" xfId="0" applyNumberFormat="1" applyFont="1" applyBorder="1"/>
    <xf numFmtId="164" fontId="2" fillId="0" borderId="0" xfId="0" applyNumberFormat="1" applyFont="1"/>
    <xf numFmtId="0" fontId="2" fillId="0" borderId="6" xfId="0" applyFont="1" applyBorder="1" applyAlignment="1">
      <alignment horizontal="center"/>
    </xf>
    <xf numFmtId="164" fontId="2" fillId="0" borderId="6" xfId="0" applyNumberFormat="1" applyFont="1" applyBorder="1"/>
    <xf numFmtId="2" fontId="1" fillId="0" borderId="6" xfId="0" applyNumberFormat="1" applyFont="1" applyBorder="1" applyAlignment="1">
      <alignment horizontal="center" vertical="center" wrapText="1"/>
    </xf>
    <xf numFmtId="2" fontId="2" fillId="0" borderId="6" xfId="0" applyNumberFormat="1" applyFont="1" applyBorder="1" applyAlignment="1">
      <alignment horizontal="center"/>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0" xfId="0" applyFont="1" applyFill="1" applyBorder="1" applyAlignment="1">
      <alignment horizontal="left" vertical="top" wrapText="1"/>
    </xf>
    <xf numFmtId="0" fontId="4" fillId="0" borderId="0" xfId="0" applyNumberFormat="1" applyFont="1" applyAlignment="1">
      <alignment horizontal="center"/>
    </xf>
    <xf numFmtId="0" fontId="1" fillId="0" borderId="1" xfId="0" applyFont="1" applyBorder="1" applyAlignment="1">
      <alignment horizontal="center" vertical="top" wrapText="1"/>
    </xf>
    <xf numFmtId="0" fontId="1" fillId="0" borderId="0" xfId="0" applyFont="1" applyFill="1" applyBorder="1" applyAlignment="1">
      <alignment horizontal="left" vertical="center" wrapText="1"/>
    </xf>
    <xf numFmtId="0" fontId="15" fillId="0" borderId="0" xfId="0" applyFont="1" applyAlignment="1">
      <alignment horizontal="center" vertical="top" wrapText="1"/>
    </xf>
    <xf numFmtId="0" fontId="8" fillId="0" borderId="0" xfId="0" applyFont="1" applyAlignment="1">
      <alignment horizontal="center" vertical="top" wrapText="1"/>
    </xf>
    <xf numFmtId="0" fontId="18" fillId="0" borderId="18" xfId="0" applyFont="1" applyBorder="1" applyAlignment="1">
      <alignment horizontal="center" vertical="top" wrapText="1"/>
    </xf>
    <xf numFmtId="0" fontId="8" fillId="0" borderId="0" xfId="0" applyFont="1" applyAlignment="1">
      <alignment horizontal="left" wrapText="1"/>
    </xf>
    <xf numFmtId="0" fontId="8" fillId="0" borderId="0" xfId="0" applyFont="1" applyAlignment="1">
      <alignment horizontal="center" wrapText="1"/>
    </xf>
    <xf numFmtId="0" fontId="16" fillId="0" borderId="0" xfId="0" applyFont="1" applyAlignment="1">
      <alignment horizontal="center" vertical="top" wrapText="1"/>
    </xf>
    <xf numFmtId="0" fontId="8" fillId="0" borderId="18" xfId="0" applyFont="1" applyBorder="1" applyAlignment="1">
      <alignment horizontal="center" vertical="top" wrapText="1"/>
    </xf>
    <xf numFmtId="0" fontId="8" fillId="0" borderId="0" xfId="0" applyFont="1" applyAlignment="1">
      <alignment horizontal="center" vertical="center" wrapText="1"/>
    </xf>
    <xf numFmtId="0" fontId="18" fillId="0" borderId="0" xfId="0" applyFont="1" applyAlignment="1">
      <alignment horizontal="left" vertical="top" wrapText="1"/>
    </xf>
    <xf numFmtId="0" fontId="8" fillId="0" borderId="0" xfId="0" applyFont="1" applyAlignment="1">
      <alignment horizontal="left" vertical="top" wrapText="1"/>
    </xf>
    <xf numFmtId="0" fontId="14"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5512D124-5CC6-11CF-8D67-00AA00BDCE1D}" ax:persistence="persistStream" r:id="rId1"/>
</file>

<file path=xl/activeX/activeX2.xml><?xml version="1.0" encoding="utf-8"?>
<ax:ocx xmlns:ax="http://schemas.microsoft.com/office/2006/activeX" xmlns:r="http://schemas.openxmlformats.org/officeDocument/2006/relationships" ax:classid="{5512D11A-5CC6-11CF-8D67-00AA00BDCE1D}" ax:persistence="persistStream" r:id="rId1"/>
</file>

<file path=xl/activeX/activeX3.xml><?xml version="1.0" encoding="utf-8"?>
<ax:ocx xmlns:ax="http://schemas.microsoft.com/office/2006/activeX" xmlns:r="http://schemas.openxmlformats.org/officeDocument/2006/relationships" ax:classid="{5512D11A-5CC6-11CF-8D67-00AA00BDCE1D}" ax:persistence="persistStream" r:id="rId1"/>
</file>

<file path=xl/activeX/activeX4.xml><?xml version="1.0" encoding="utf-8"?>
<ax:ocx xmlns:ax="http://schemas.microsoft.com/office/2006/activeX" xmlns:r="http://schemas.openxmlformats.org/officeDocument/2006/relationships" ax:classid="{5512D11A-5CC6-11CF-8D67-00AA00BDCE1D}" ax:persistence="persistStream" r:id="rId1"/>
</file>

<file path=xl/activeX/activeX5.xml><?xml version="1.0" encoding="utf-8"?>
<ax:ocx xmlns:ax="http://schemas.microsoft.com/office/2006/activeX" xmlns:r="http://schemas.openxmlformats.org/officeDocument/2006/relationships" ax:classid="{5512D110-5CC6-11CF-8D67-00AA00BDCE1D}" ax:persistence="persistStream" r:id="rId1"/>
</file>

<file path=xl/activeX/activeX6.xml><?xml version="1.0" encoding="utf-8"?>
<ax:ocx xmlns:ax="http://schemas.microsoft.com/office/2006/activeX" xmlns:r="http://schemas.openxmlformats.org/officeDocument/2006/relationships" ax:classid="{5512D11A-5CC6-11CF-8D67-00AA00BDCE1D}" ax:persistence="persistStream" r:id="rId1"/>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hyperlink" Target="https://tugasakhir.id/source-code-si-koperasi-simpan-pinjam-menggunakan-c/" TargetMode="External"/><Relationship Id="rId13" Type="http://schemas.openxmlformats.org/officeDocument/2006/relationships/image" Target="../media/image13.png"/><Relationship Id="rId18" Type="http://schemas.openxmlformats.org/officeDocument/2006/relationships/image" Target="../media/image17.png"/><Relationship Id="rId26" Type="http://schemas.openxmlformats.org/officeDocument/2006/relationships/image" Target="../media/image21.png"/><Relationship Id="rId39" Type="http://schemas.openxmlformats.org/officeDocument/2006/relationships/image" Target="../media/image28.gif"/><Relationship Id="rId3" Type="http://schemas.openxmlformats.org/officeDocument/2006/relationships/image" Target="../media/image8.png"/><Relationship Id="rId21" Type="http://schemas.openxmlformats.org/officeDocument/2006/relationships/hyperlink" Target="https://tugasakhir.id/source-code-sistem-pakar-metode-certainty-factor-c-sharp/" TargetMode="External"/><Relationship Id="rId34" Type="http://schemas.openxmlformats.org/officeDocument/2006/relationships/image" Target="../media/image25.png"/><Relationship Id="rId7" Type="http://schemas.openxmlformats.org/officeDocument/2006/relationships/image" Target="../media/image10.png"/><Relationship Id="rId12" Type="http://schemas.openxmlformats.org/officeDocument/2006/relationships/hyperlink" Target="https://tugasakhir.id/contoh-perhitungan-spk-metode-saw/" TargetMode="External"/><Relationship Id="rId17" Type="http://schemas.openxmlformats.org/officeDocument/2006/relationships/hyperlink" Target="https://tugasakhir.id/contoh-perhitungan-spk-metode-ahp/" TargetMode="External"/><Relationship Id="rId25" Type="http://schemas.openxmlformats.org/officeDocument/2006/relationships/hyperlink" Target="https://tugasakhir.id/source-code-spk-metode-topsis-c-sharp-c/" TargetMode="External"/><Relationship Id="rId33" Type="http://schemas.openxmlformats.org/officeDocument/2006/relationships/hyperlink" Target="https://tugasakhir.id/spk-metode-ahp-weighted-product-php/" TargetMode="External"/><Relationship Id="rId38" Type="http://schemas.openxmlformats.org/officeDocument/2006/relationships/image" Target="../media/image27.png"/><Relationship Id="rId2" Type="http://schemas.openxmlformats.org/officeDocument/2006/relationships/image" Target="../media/image7.png"/><Relationship Id="rId16" Type="http://schemas.openxmlformats.org/officeDocument/2006/relationships/image" Target="../media/image16.png"/><Relationship Id="rId20" Type="http://schemas.openxmlformats.org/officeDocument/2006/relationships/image" Target="../media/image18.png"/><Relationship Id="rId29" Type="http://schemas.openxmlformats.org/officeDocument/2006/relationships/hyperlink" Target="https://tugasakhir.id/source-code-spk-metode-moora-php/" TargetMode="External"/><Relationship Id="rId1" Type="http://schemas.openxmlformats.org/officeDocument/2006/relationships/hyperlink" Target="https://tugasakhir.id/" TargetMode="External"/><Relationship Id="rId6" Type="http://schemas.openxmlformats.org/officeDocument/2006/relationships/hyperlink" Target="https://tugasakhir.id/contoh-perhitungan-spk-metode-topsis/" TargetMode="External"/><Relationship Id="rId11" Type="http://schemas.openxmlformats.org/officeDocument/2006/relationships/image" Target="../media/image12.png"/><Relationship Id="rId24" Type="http://schemas.openxmlformats.org/officeDocument/2006/relationships/image" Target="../media/image20.png"/><Relationship Id="rId32" Type="http://schemas.openxmlformats.org/officeDocument/2006/relationships/image" Target="../media/image24.png"/><Relationship Id="rId37" Type="http://schemas.openxmlformats.org/officeDocument/2006/relationships/hyperlink" Target="https://tugasakhir.id/fuzzy-tsukamoto-codeigniter/" TargetMode="External"/><Relationship Id="rId5" Type="http://schemas.openxmlformats.org/officeDocument/2006/relationships/image" Target="../media/image1.png"/><Relationship Id="rId15" Type="http://schemas.openxmlformats.org/officeDocument/2006/relationships/image" Target="../media/image15.jpeg"/><Relationship Id="rId23" Type="http://schemas.openxmlformats.org/officeDocument/2006/relationships/hyperlink" Target="https://tugasakhir.id/source-code-sistem-pakar-dempster-shafer-codeigniter/" TargetMode="External"/><Relationship Id="rId28" Type="http://schemas.openxmlformats.org/officeDocument/2006/relationships/image" Target="../media/image22.png"/><Relationship Id="rId36" Type="http://schemas.openxmlformats.org/officeDocument/2006/relationships/image" Target="../media/image26.png"/><Relationship Id="rId10" Type="http://schemas.openxmlformats.org/officeDocument/2006/relationships/hyperlink" Target="https://tugasakhir.id/algoritma-genetika-penjadwalan/" TargetMode="External"/><Relationship Id="rId19" Type="http://schemas.openxmlformats.org/officeDocument/2006/relationships/hyperlink" Target="https://tugasakhir.id/source-code-sistem-pakar-metode-certainty-factor-dan-forward-chaining-php/" TargetMode="External"/><Relationship Id="rId31" Type="http://schemas.openxmlformats.org/officeDocument/2006/relationships/hyperlink" Target="https://tugasakhir.id/source-code-spk-metode-mfep-codeigniter/" TargetMode="External"/><Relationship Id="rId4" Type="http://schemas.openxmlformats.org/officeDocument/2006/relationships/image" Target="../media/image9.jpeg"/><Relationship Id="rId9" Type="http://schemas.openxmlformats.org/officeDocument/2006/relationships/image" Target="../media/image11.png"/><Relationship Id="rId14" Type="http://schemas.openxmlformats.org/officeDocument/2006/relationships/image" Target="../media/image14.jpeg"/><Relationship Id="rId22" Type="http://schemas.openxmlformats.org/officeDocument/2006/relationships/image" Target="../media/image19.png"/><Relationship Id="rId27" Type="http://schemas.openxmlformats.org/officeDocument/2006/relationships/hyperlink" Target="https://tugasakhir.id/sistem-pakar-cbr-php/" TargetMode="External"/><Relationship Id="rId30" Type="http://schemas.openxmlformats.org/officeDocument/2006/relationships/image" Target="../media/image23.png"/><Relationship Id="rId35" Type="http://schemas.openxmlformats.org/officeDocument/2006/relationships/hyperlink" Target="https://tugasakhir.id/fuzzy-ahp-topsis-php/" TargetMode="External"/></Relationships>
</file>

<file path=xl/drawings/_rels/vmlDrawing1.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0</xdr:col>
      <xdr:colOff>152400</xdr:colOff>
      <xdr:row>130</xdr:row>
      <xdr:rowOff>0</xdr:rowOff>
    </xdr:from>
    <xdr:to>
      <xdr:col>2</xdr:col>
      <xdr:colOff>419100</xdr:colOff>
      <xdr:row>132</xdr:row>
      <xdr:rowOff>85725</xdr:rowOff>
    </xdr:to>
    <xdr:pic>
      <xdr:nvPicPr>
        <xdr:cNvPr id="2050" name="Picture 4" descr="https://i1.wp.com/tugasakhir.id/wp-content/uploads/2017/05/Consistency-Index.png?resize=290%2C94&amp;ssl=1">
          <a:extLst>
            <a:ext uri="{FF2B5EF4-FFF2-40B4-BE49-F238E27FC236}">
              <a16:creationId xmlns:a16="http://schemas.microsoft.com/office/drawing/2014/main" id="{00000000-0008-0000-0200-000002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52400" y="31099125"/>
          <a:ext cx="1485900" cy="485775"/>
        </a:xfrm>
        <a:prstGeom prst="rect">
          <a:avLst/>
        </a:prstGeom>
        <a:noFill/>
      </xdr:spPr>
    </xdr:pic>
    <xdr:clientData/>
  </xdr:twoCellAnchor>
  <xdr:twoCellAnchor>
    <xdr:from>
      <xdr:col>2</xdr:col>
      <xdr:colOff>0</xdr:colOff>
      <xdr:row>221</xdr:row>
      <xdr:rowOff>0</xdr:rowOff>
    </xdr:from>
    <xdr:to>
      <xdr:col>7</xdr:col>
      <xdr:colOff>133350</xdr:colOff>
      <xdr:row>226</xdr:row>
      <xdr:rowOff>161925</xdr:rowOff>
    </xdr:to>
    <xdr:pic>
      <xdr:nvPicPr>
        <xdr:cNvPr id="2049" name="Picture 5" descr="Diagramahp">
          <a:extLst>
            <a:ext uri="{FF2B5EF4-FFF2-40B4-BE49-F238E27FC236}">
              <a16:creationId xmlns:a16="http://schemas.microsoft.com/office/drawing/2014/main" id="{00000000-0008-0000-02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19200" y="51444525"/>
          <a:ext cx="3181350" cy="63341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195262</xdr:colOff>
      <xdr:row>0</xdr:row>
      <xdr:rowOff>381000</xdr:rowOff>
    </xdr:to>
    <xdr:pic>
      <xdr:nvPicPr>
        <xdr:cNvPr id="1025" name="Picture 1" descr="Tugas Akhir ">
          <a:hlinkClick xmlns:r="http://schemas.openxmlformats.org/officeDocument/2006/relationships" r:id="rId1" tooltip="Tugas Akhir "/>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09600" y="0"/>
          <a:ext cx="2238375" cy="381000"/>
        </a:xfrm>
        <a:prstGeom prst="rect">
          <a:avLst/>
        </a:prstGeom>
        <a:noFill/>
      </xdr:spPr>
    </xdr:pic>
    <xdr:clientData/>
  </xdr:twoCellAnchor>
  <xdr:twoCellAnchor editAs="oneCell">
    <xdr:from>
      <xdr:col>1</xdr:col>
      <xdr:colOff>0</xdr:colOff>
      <xdr:row>1</xdr:row>
      <xdr:rowOff>0</xdr:rowOff>
    </xdr:from>
    <xdr:to>
      <xdr:col>3</xdr:col>
      <xdr:colOff>195262</xdr:colOff>
      <xdr:row>1</xdr:row>
      <xdr:rowOff>381000</xdr:rowOff>
    </xdr:to>
    <xdr:pic>
      <xdr:nvPicPr>
        <xdr:cNvPr id="1026" name="Picture 2" descr="Tugas Akhir ">
          <a:hlinkClick xmlns:r="http://schemas.openxmlformats.org/officeDocument/2006/relationships" r:id="rId1" tooltip="Tugas Akhir "/>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09600" y="428625"/>
          <a:ext cx="2238375" cy="381000"/>
        </a:xfrm>
        <a:prstGeom prst="rect">
          <a:avLst/>
        </a:prstGeom>
        <a:noFill/>
      </xdr:spPr>
    </xdr:pic>
    <xdr:clientData/>
  </xdr:twoCellAnchor>
  <xdr:twoCellAnchor editAs="oneCell">
    <xdr:from>
      <xdr:col>1</xdr:col>
      <xdr:colOff>0</xdr:colOff>
      <xdr:row>7</xdr:row>
      <xdr:rowOff>0</xdr:rowOff>
    </xdr:from>
    <xdr:to>
      <xdr:col>10</xdr:col>
      <xdr:colOff>188119</xdr:colOff>
      <xdr:row>31</xdr:row>
      <xdr:rowOff>57150</xdr:rowOff>
    </xdr:to>
    <xdr:pic>
      <xdr:nvPicPr>
        <xdr:cNvPr id="1027" name="Picture 3" descr="Contoh Perhitungan SPK Metode AHP">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609600" y="7058025"/>
          <a:ext cx="7143750" cy="4667250"/>
        </a:xfrm>
        <a:prstGeom prst="rect">
          <a:avLst/>
        </a:prstGeom>
        <a:noFill/>
      </xdr:spPr>
    </xdr:pic>
    <xdr:clientData/>
  </xdr:twoCellAnchor>
  <xdr:twoCellAnchor editAs="oneCell">
    <xdr:from>
      <xdr:col>1</xdr:col>
      <xdr:colOff>0</xdr:colOff>
      <xdr:row>31</xdr:row>
      <xdr:rowOff>0</xdr:rowOff>
    </xdr:from>
    <xdr:to>
      <xdr:col>1</xdr:col>
      <xdr:colOff>950119</xdr:colOff>
      <xdr:row>35</xdr:row>
      <xdr:rowOff>114300</xdr:rowOff>
    </xdr:to>
    <xdr:pic>
      <xdr:nvPicPr>
        <xdr:cNvPr id="1028" name="Picture 4" descr="https://secure.gravatar.com/avatar/65831462a6b35ba5ac41f92165ccf478?s=100&amp;d=mm&amp;r=g">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609600" y="11668125"/>
          <a:ext cx="952500" cy="952500"/>
        </a:xfrm>
        <a:prstGeom prst="rect">
          <a:avLst/>
        </a:prstGeom>
        <a:noFill/>
      </xdr:spPr>
    </xdr:pic>
    <xdr:clientData/>
  </xdr:twoCellAnchor>
  <xdr:twoCellAnchor editAs="oneCell">
    <xdr:from>
      <xdr:col>1</xdr:col>
      <xdr:colOff>0</xdr:colOff>
      <xdr:row>165</xdr:row>
      <xdr:rowOff>0</xdr:rowOff>
    </xdr:from>
    <xdr:to>
      <xdr:col>4</xdr:col>
      <xdr:colOff>2381</xdr:colOff>
      <xdr:row>168</xdr:row>
      <xdr:rowOff>314324</xdr:rowOff>
    </xdr:to>
    <xdr:pic>
      <xdr:nvPicPr>
        <xdr:cNvPr id="1029" name="Picture 5" descr="Consistency Index AHP">
          <a:extLst>
            <a:ext uri="{FF2B5EF4-FFF2-40B4-BE49-F238E27FC236}">
              <a16:creationId xmlns:a16="http://schemas.microsoft.com/office/drawing/2014/main" id="{00000000-0008-0000-0400-00000504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609600" y="160667700"/>
          <a:ext cx="2762250" cy="895350"/>
        </a:xfrm>
        <a:prstGeom prst="rect">
          <a:avLst/>
        </a:prstGeom>
        <a:noFill/>
      </xdr:spPr>
    </xdr:pic>
    <xdr:clientData/>
  </xdr:twoCellAnchor>
  <xdr:twoCellAnchor editAs="oneCell">
    <xdr:from>
      <xdr:col>1</xdr:col>
      <xdr:colOff>0</xdr:colOff>
      <xdr:row>226</xdr:row>
      <xdr:rowOff>0</xdr:rowOff>
    </xdr:from>
    <xdr:to>
      <xdr:col>5</xdr:col>
      <xdr:colOff>95250</xdr:colOff>
      <xdr:row>231</xdr:row>
      <xdr:rowOff>142875</xdr:rowOff>
    </xdr:to>
    <xdr:pic>
      <xdr:nvPicPr>
        <xdr:cNvPr id="1030" name="Picture 6" descr="Contoh Perhitungan SPK Metode TOPSIS">
          <a:hlinkClick xmlns:r="http://schemas.openxmlformats.org/officeDocument/2006/relationships" r:id="rId6"/>
          <a:extLst>
            <a:ext uri="{FF2B5EF4-FFF2-40B4-BE49-F238E27FC236}">
              <a16:creationId xmlns:a16="http://schemas.microsoft.com/office/drawing/2014/main" id="{00000000-0008-0000-0400-00000604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609600" y="227352225"/>
          <a:ext cx="3571875" cy="1857375"/>
        </a:xfrm>
        <a:prstGeom prst="rect">
          <a:avLst/>
        </a:prstGeom>
        <a:noFill/>
      </xdr:spPr>
    </xdr:pic>
    <xdr:clientData/>
  </xdr:twoCellAnchor>
  <xdr:twoCellAnchor editAs="oneCell">
    <xdr:from>
      <xdr:col>1</xdr:col>
      <xdr:colOff>0</xdr:colOff>
      <xdr:row>236</xdr:row>
      <xdr:rowOff>0</xdr:rowOff>
    </xdr:from>
    <xdr:to>
      <xdr:col>5</xdr:col>
      <xdr:colOff>95250</xdr:colOff>
      <xdr:row>239</xdr:row>
      <xdr:rowOff>142875</xdr:rowOff>
    </xdr:to>
    <xdr:pic>
      <xdr:nvPicPr>
        <xdr:cNvPr id="1031" name="Picture 7" descr="https://i0.wp.com/tugasakhir.id/wp-content/uploads/2017/05/main.png?resize=375%2C195&amp;ssl=1">
          <a:hlinkClick xmlns:r="http://schemas.openxmlformats.org/officeDocument/2006/relationships" r:id="rId8"/>
          <a:extLst>
            <a:ext uri="{FF2B5EF4-FFF2-40B4-BE49-F238E27FC236}">
              <a16:creationId xmlns:a16="http://schemas.microsoft.com/office/drawing/2014/main" id="{00000000-0008-0000-0400-00000704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609600" y="230028750"/>
          <a:ext cx="3571875" cy="1857375"/>
        </a:xfrm>
        <a:prstGeom prst="rect">
          <a:avLst/>
        </a:prstGeom>
        <a:noFill/>
      </xdr:spPr>
    </xdr:pic>
    <xdr:clientData/>
  </xdr:twoCellAnchor>
  <xdr:twoCellAnchor editAs="oneCell">
    <xdr:from>
      <xdr:col>1</xdr:col>
      <xdr:colOff>0</xdr:colOff>
      <xdr:row>246</xdr:row>
      <xdr:rowOff>0</xdr:rowOff>
    </xdr:from>
    <xdr:to>
      <xdr:col>2</xdr:col>
      <xdr:colOff>352425</xdr:colOff>
      <xdr:row>250</xdr:row>
      <xdr:rowOff>180975</xdr:rowOff>
    </xdr:to>
    <xdr:pic>
      <xdr:nvPicPr>
        <xdr:cNvPr id="1032" name="Picture 8" descr="https://i1.wp.com/tugasakhir.id/wp-content/uploads/2016/12/penjadwalan.png?resize=145%2C100&amp;ssl=1">
          <a:hlinkClick xmlns:r="http://schemas.openxmlformats.org/officeDocument/2006/relationships" r:id="rId10" tooltip="Contoh Perhitungan Algoritma Genetika Penjadwalan"/>
          <a:extLst>
            <a:ext uri="{FF2B5EF4-FFF2-40B4-BE49-F238E27FC236}">
              <a16:creationId xmlns:a16="http://schemas.microsoft.com/office/drawing/2014/main" id="{00000000-0008-0000-0400-00000804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609600" y="233762550"/>
          <a:ext cx="1381125" cy="952500"/>
        </a:xfrm>
        <a:prstGeom prst="rect">
          <a:avLst/>
        </a:prstGeom>
        <a:noFill/>
      </xdr:spPr>
    </xdr:pic>
    <xdr:clientData/>
  </xdr:twoCellAnchor>
  <xdr:twoCellAnchor editAs="oneCell">
    <xdr:from>
      <xdr:col>1</xdr:col>
      <xdr:colOff>0</xdr:colOff>
      <xdr:row>253</xdr:row>
      <xdr:rowOff>0</xdr:rowOff>
    </xdr:from>
    <xdr:to>
      <xdr:col>2</xdr:col>
      <xdr:colOff>352425</xdr:colOff>
      <xdr:row>257</xdr:row>
      <xdr:rowOff>180976</xdr:rowOff>
    </xdr:to>
    <xdr:pic>
      <xdr:nvPicPr>
        <xdr:cNvPr id="1033" name="Picture 9" descr="Perhitungan SAW">
          <a:hlinkClick xmlns:r="http://schemas.openxmlformats.org/officeDocument/2006/relationships" r:id="rId12" tooltip="Contoh Perhitungan SPK Metode SAW"/>
          <a:extLst>
            <a:ext uri="{FF2B5EF4-FFF2-40B4-BE49-F238E27FC236}">
              <a16:creationId xmlns:a16="http://schemas.microsoft.com/office/drawing/2014/main" id="{00000000-0008-0000-0400-000009040000}"/>
            </a:ext>
          </a:extLst>
        </xdr:cNvPr>
        <xdr:cNvPicPr>
          <a:picLocks noChangeAspect="1" noChangeArrowheads="1"/>
        </xdr:cNvPicPr>
      </xdr:nvPicPr>
      <xdr:blipFill>
        <a:blip xmlns:r="http://schemas.openxmlformats.org/officeDocument/2006/relationships" r:embed="rId13"/>
        <a:srcRect/>
        <a:stretch>
          <a:fillRect/>
        </a:stretch>
      </xdr:blipFill>
      <xdr:spPr bwMode="auto">
        <a:xfrm>
          <a:off x="609600" y="238353600"/>
          <a:ext cx="1381125" cy="952500"/>
        </a:xfrm>
        <a:prstGeom prst="rect">
          <a:avLst/>
        </a:prstGeom>
        <a:noFill/>
      </xdr:spPr>
    </xdr:pic>
    <xdr:clientData/>
  </xdr:twoCellAnchor>
  <xdr:twoCellAnchor editAs="oneCell">
    <xdr:from>
      <xdr:col>1</xdr:col>
      <xdr:colOff>0</xdr:colOff>
      <xdr:row>261</xdr:row>
      <xdr:rowOff>0</xdr:rowOff>
    </xdr:from>
    <xdr:to>
      <xdr:col>2</xdr:col>
      <xdr:colOff>40482</xdr:colOff>
      <xdr:row>266</xdr:row>
      <xdr:rowOff>104776</xdr:rowOff>
    </xdr:to>
    <xdr:pic>
      <xdr:nvPicPr>
        <xdr:cNvPr id="1034" name="Picture 10" descr="https://secure.gravatar.com/avatar/65831462a6b35ba5ac41f92165ccf478?s=112&amp;d=mm&amp;r=g">
          <a:extLst>
            <a:ext uri="{FF2B5EF4-FFF2-40B4-BE49-F238E27FC236}">
              <a16:creationId xmlns:a16="http://schemas.microsoft.com/office/drawing/2014/main" id="{00000000-0008-0000-0400-00000A040000}"/>
            </a:ext>
          </a:extLst>
        </xdr:cNvPr>
        <xdr:cNvPicPr>
          <a:picLocks noChangeAspect="1" noChangeArrowheads="1"/>
        </xdr:cNvPicPr>
      </xdr:nvPicPr>
      <xdr:blipFill>
        <a:blip xmlns:r="http://schemas.openxmlformats.org/officeDocument/2006/relationships" r:embed="rId14"/>
        <a:srcRect/>
        <a:stretch>
          <a:fillRect/>
        </a:stretch>
      </xdr:blipFill>
      <xdr:spPr bwMode="auto">
        <a:xfrm>
          <a:off x="609600" y="241877850"/>
          <a:ext cx="1066800" cy="1066800"/>
        </a:xfrm>
        <a:prstGeom prst="rect">
          <a:avLst/>
        </a:prstGeom>
        <a:noFill/>
      </xdr:spPr>
    </xdr:pic>
    <xdr:clientData/>
  </xdr:twoCellAnchor>
  <xdr:twoCellAnchor editAs="oneCell">
    <xdr:from>
      <xdr:col>1</xdr:col>
      <xdr:colOff>0</xdr:colOff>
      <xdr:row>269</xdr:row>
      <xdr:rowOff>0</xdr:rowOff>
    </xdr:from>
    <xdr:to>
      <xdr:col>1</xdr:col>
      <xdr:colOff>711994</xdr:colOff>
      <xdr:row>269</xdr:row>
      <xdr:rowOff>714375</xdr:rowOff>
    </xdr:to>
    <xdr:pic>
      <xdr:nvPicPr>
        <xdr:cNvPr id="1035" name="Picture 11" descr="https://secure.gravatar.com/avatar/7c67cf48560aac0968fb17bb33b316a4?s=75&amp;d=mm&amp;r=g">
          <a:extLst>
            <a:ext uri="{FF2B5EF4-FFF2-40B4-BE49-F238E27FC236}">
              <a16:creationId xmlns:a16="http://schemas.microsoft.com/office/drawing/2014/main" id="{00000000-0008-0000-0400-00000B040000}"/>
            </a:ext>
          </a:extLst>
        </xdr:cNvPr>
        <xdr:cNvPicPr>
          <a:picLocks noChangeAspect="1" noChangeArrowheads="1"/>
        </xdr:cNvPicPr>
      </xdr:nvPicPr>
      <xdr:blipFill>
        <a:blip xmlns:r="http://schemas.openxmlformats.org/officeDocument/2006/relationships" r:embed="rId15"/>
        <a:srcRect/>
        <a:stretch>
          <a:fillRect/>
        </a:stretch>
      </xdr:blipFill>
      <xdr:spPr bwMode="auto">
        <a:xfrm>
          <a:off x="609600" y="245354475"/>
          <a:ext cx="714375" cy="714375"/>
        </a:xfrm>
        <a:prstGeom prst="rect">
          <a:avLst/>
        </a:prstGeom>
        <a:noFill/>
      </xdr:spPr>
    </xdr:pic>
    <xdr:clientData/>
  </xdr:twoCellAnchor>
  <xdr:twoCellAnchor editAs="oneCell">
    <xdr:from>
      <xdr:col>1</xdr:col>
      <xdr:colOff>0</xdr:colOff>
      <xdr:row>276</xdr:row>
      <xdr:rowOff>0</xdr:rowOff>
    </xdr:from>
    <xdr:to>
      <xdr:col>1</xdr:col>
      <xdr:colOff>711994</xdr:colOff>
      <xdr:row>277</xdr:row>
      <xdr:rowOff>114299</xdr:rowOff>
    </xdr:to>
    <xdr:pic>
      <xdr:nvPicPr>
        <xdr:cNvPr id="1036" name="Picture 12" descr="https://secure.gravatar.com/avatar/65831462a6b35ba5ac41f92165ccf478?s=75&amp;d=mm&amp;r=g">
          <a:extLst>
            <a:ext uri="{FF2B5EF4-FFF2-40B4-BE49-F238E27FC236}">
              <a16:creationId xmlns:a16="http://schemas.microsoft.com/office/drawing/2014/main" id="{00000000-0008-0000-0400-00000C040000}"/>
            </a:ext>
          </a:extLst>
        </xdr:cNvPr>
        <xdr:cNvPicPr>
          <a:picLocks noChangeAspect="1" noChangeArrowheads="1"/>
        </xdr:cNvPicPr>
      </xdr:nvPicPr>
      <xdr:blipFill>
        <a:blip xmlns:r="http://schemas.openxmlformats.org/officeDocument/2006/relationships" r:embed="rId15"/>
        <a:srcRect/>
        <a:stretch>
          <a:fillRect/>
        </a:stretch>
      </xdr:blipFill>
      <xdr:spPr bwMode="auto">
        <a:xfrm>
          <a:off x="609600" y="252460125"/>
          <a:ext cx="714375" cy="714375"/>
        </a:xfrm>
        <a:prstGeom prst="rect">
          <a:avLst/>
        </a:prstGeom>
        <a:noFill/>
      </xdr:spPr>
    </xdr:pic>
    <xdr:clientData/>
  </xdr:twoCellAnchor>
  <xdr:twoCellAnchor editAs="oneCell">
    <xdr:from>
      <xdr:col>1</xdr:col>
      <xdr:colOff>0</xdr:colOff>
      <xdr:row>282</xdr:row>
      <xdr:rowOff>0</xdr:rowOff>
    </xdr:from>
    <xdr:to>
      <xdr:col>1</xdr:col>
      <xdr:colOff>711994</xdr:colOff>
      <xdr:row>284</xdr:row>
      <xdr:rowOff>142875</xdr:rowOff>
    </xdr:to>
    <xdr:pic>
      <xdr:nvPicPr>
        <xdr:cNvPr id="1037" name="Picture 13" descr="https://secure.gravatar.com/avatar/3bee1352e8fd6d905b2d64314e36443a?s=75&amp;d=mm&amp;r=g">
          <a:extLst>
            <a:ext uri="{FF2B5EF4-FFF2-40B4-BE49-F238E27FC236}">
              <a16:creationId xmlns:a16="http://schemas.microsoft.com/office/drawing/2014/main" id="{00000000-0008-0000-0400-00000D040000}"/>
            </a:ext>
          </a:extLst>
        </xdr:cNvPr>
        <xdr:cNvPicPr>
          <a:picLocks noChangeAspect="1" noChangeArrowheads="1"/>
        </xdr:cNvPicPr>
      </xdr:nvPicPr>
      <xdr:blipFill>
        <a:blip xmlns:r="http://schemas.openxmlformats.org/officeDocument/2006/relationships" r:embed="rId15"/>
        <a:srcRect/>
        <a:stretch>
          <a:fillRect/>
        </a:stretch>
      </xdr:blipFill>
      <xdr:spPr bwMode="auto">
        <a:xfrm>
          <a:off x="609600" y="258394200"/>
          <a:ext cx="714375" cy="714375"/>
        </a:xfrm>
        <a:prstGeom prst="rect">
          <a:avLst/>
        </a:prstGeom>
        <a:noFill/>
      </xdr:spPr>
    </xdr:pic>
    <xdr:clientData/>
  </xdr:twoCellAnchor>
  <xdr:twoCellAnchor editAs="oneCell">
    <xdr:from>
      <xdr:col>1</xdr:col>
      <xdr:colOff>0</xdr:colOff>
      <xdr:row>289</xdr:row>
      <xdr:rowOff>0</xdr:rowOff>
    </xdr:from>
    <xdr:to>
      <xdr:col>1</xdr:col>
      <xdr:colOff>711994</xdr:colOff>
      <xdr:row>290</xdr:row>
      <xdr:rowOff>114299</xdr:rowOff>
    </xdr:to>
    <xdr:pic>
      <xdr:nvPicPr>
        <xdr:cNvPr id="1038" name="Picture 14" descr="https://secure.gravatar.com/avatar/65831462a6b35ba5ac41f92165ccf478?s=75&amp;d=mm&amp;r=g">
          <a:extLst>
            <a:ext uri="{FF2B5EF4-FFF2-40B4-BE49-F238E27FC236}">
              <a16:creationId xmlns:a16="http://schemas.microsoft.com/office/drawing/2014/main" id="{00000000-0008-0000-0400-00000E040000}"/>
            </a:ext>
          </a:extLst>
        </xdr:cNvPr>
        <xdr:cNvPicPr>
          <a:picLocks noChangeAspect="1" noChangeArrowheads="1"/>
        </xdr:cNvPicPr>
      </xdr:nvPicPr>
      <xdr:blipFill>
        <a:blip xmlns:r="http://schemas.openxmlformats.org/officeDocument/2006/relationships" r:embed="rId15"/>
        <a:srcRect/>
        <a:stretch>
          <a:fillRect/>
        </a:stretch>
      </xdr:blipFill>
      <xdr:spPr bwMode="auto">
        <a:xfrm>
          <a:off x="609600" y="265842750"/>
          <a:ext cx="714375" cy="714375"/>
        </a:xfrm>
        <a:prstGeom prst="rect">
          <a:avLst/>
        </a:prstGeom>
        <a:noFill/>
      </xdr:spPr>
    </xdr:pic>
    <xdr:clientData/>
  </xdr:twoCellAnchor>
  <xdr:twoCellAnchor editAs="oneCell">
    <xdr:from>
      <xdr:col>1</xdr:col>
      <xdr:colOff>0</xdr:colOff>
      <xdr:row>295</xdr:row>
      <xdr:rowOff>0</xdr:rowOff>
    </xdr:from>
    <xdr:to>
      <xdr:col>1</xdr:col>
      <xdr:colOff>711994</xdr:colOff>
      <xdr:row>297</xdr:row>
      <xdr:rowOff>123825</xdr:rowOff>
    </xdr:to>
    <xdr:pic>
      <xdr:nvPicPr>
        <xdr:cNvPr id="1039" name="Picture 15" descr="https://secure.gravatar.com/avatar/78e10ad84449366d9118ec09b51529fb?s=75&amp;d=mm&amp;r=g">
          <a:extLst>
            <a:ext uri="{FF2B5EF4-FFF2-40B4-BE49-F238E27FC236}">
              <a16:creationId xmlns:a16="http://schemas.microsoft.com/office/drawing/2014/main" id="{00000000-0008-0000-0400-00000F040000}"/>
            </a:ext>
          </a:extLst>
        </xdr:cNvPr>
        <xdr:cNvPicPr>
          <a:picLocks noChangeAspect="1" noChangeArrowheads="1"/>
        </xdr:cNvPicPr>
      </xdr:nvPicPr>
      <xdr:blipFill>
        <a:blip xmlns:r="http://schemas.openxmlformats.org/officeDocument/2006/relationships" r:embed="rId15"/>
        <a:srcRect/>
        <a:stretch>
          <a:fillRect/>
        </a:stretch>
      </xdr:blipFill>
      <xdr:spPr bwMode="auto">
        <a:xfrm>
          <a:off x="609600" y="274643850"/>
          <a:ext cx="714375" cy="714375"/>
        </a:xfrm>
        <a:prstGeom prst="rect">
          <a:avLst/>
        </a:prstGeom>
        <a:noFill/>
      </xdr:spPr>
    </xdr:pic>
    <xdr:clientData/>
  </xdr:twoCellAnchor>
  <xdr:twoCellAnchor editAs="oneCell">
    <xdr:from>
      <xdr:col>1</xdr:col>
      <xdr:colOff>0</xdr:colOff>
      <xdr:row>331</xdr:row>
      <xdr:rowOff>0</xdr:rowOff>
    </xdr:from>
    <xdr:to>
      <xdr:col>2</xdr:col>
      <xdr:colOff>352425</xdr:colOff>
      <xdr:row>336</xdr:row>
      <xdr:rowOff>0</xdr:rowOff>
    </xdr:to>
    <xdr:pic>
      <xdr:nvPicPr>
        <xdr:cNvPr id="1046" name="Picture 22" descr="https://i1.wp.com/tugasakhir.id/wp-content/uploads/2016/12/penjadwalan.png?resize=145%2C100&amp;ssl=1">
          <a:hlinkClick xmlns:r="http://schemas.openxmlformats.org/officeDocument/2006/relationships" r:id="rId10" tooltip="Contoh Perhitungan Algoritma Genetika Penjadwalan"/>
          <a:extLst>
            <a:ext uri="{FF2B5EF4-FFF2-40B4-BE49-F238E27FC236}">
              <a16:creationId xmlns:a16="http://schemas.microsoft.com/office/drawing/2014/main" id="{00000000-0008-0000-0400-00001604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609600" y="296989500"/>
          <a:ext cx="1381125" cy="952500"/>
        </a:xfrm>
        <a:prstGeom prst="rect">
          <a:avLst/>
        </a:prstGeom>
        <a:noFill/>
      </xdr:spPr>
    </xdr:pic>
    <xdr:clientData/>
  </xdr:twoCellAnchor>
  <xdr:twoCellAnchor editAs="oneCell">
    <xdr:from>
      <xdr:col>1</xdr:col>
      <xdr:colOff>0</xdr:colOff>
      <xdr:row>337</xdr:row>
      <xdr:rowOff>0</xdr:rowOff>
    </xdr:from>
    <xdr:to>
      <xdr:col>2</xdr:col>
      <xdr:colOff>352425</xdr:colOff>
      <xdr:row>342</xdr:row>
      <xdr:rowOff>0</xdr:rowOff>
    </xdr:to>
    <xdr:pic>
      <xdr:nvPicPr>
        <xdr:cNvPr id="1047" name="Picture 23" descr="Contoh Perhitungan SPK Metode TOPSIS">
          <a:hlinkClick xmlns:r="http://schemas.openxmlformats.org/officeDocument/2006/relationships" r:id="rId6" tooltip="Contoh Perhitungan SPK Metode TOPSIS"/>
          <a:extLst>
            <a:ext uri="{FF2B5EF4-FFF2-40B4-BE49-F238E27FC236}">
              <a16:creationId xmlns:a16="http://schemas.microsoft.com/office/drawing/2014/main" id="{00000000-0008-0000-0400-000017040000}"/>
            </a:ext>
          </a:extLst>
        </xdr:cNvPr>
        <xdr:cNvPicPr>
          <a:picLocks noChangeAspect="1" noChangeArrowheads="1"/>
        </xdr:cNvPicPr>
      </xdr:nvPicPr>
      <xdr:blipFill>
        <a:blip xmlns:r="http://schemas.openxmlformats.org/officeDocument/2006/relationships" r:embed="rId16"/>
        <a:srcRect/>
        <a:stretch>
          <a:fillRect/>
        </a:stretch>
      </xdr:blipFill>
      <xdr:spPr bwMode="auto">
        <a:xfrm>
          <a:off x="609600" y="300037500"/>
          <a:ext cx="1381125" cy="952500"/>
        </a:xfrm>
        <a:prstGeom prst="rect">
          <a:avLst/>
        </a:prstGeom>
        <a:noFill/>
      </xdr:spPr>
    </xdr:pic>
    <xdr:clientData/>
  </xdr:twoCellAnchor>
  <xdr:twoCellAnchor editAs="oneCell">
    <xdr:from>
      <xdr:col>1</xdr:col>
      <xdr:colOff>0</xdr:colOff>
      <xdr:row>343</xdr:row>
      <xdr:rowOff>0</xdr:rowOff>
    </xdr:from>
    <xdr:to>
      <xdr:col>2</xdr:col>
      <xdr:colOff>352425</xdr:colOff>
      <xdr:row>348</xdr:row>
      <xdr:rowOff>0</xdr:rowOff>
    </xdr:to>
    <xdr:pic>
      <xdr:nvPicPr>
        <xdr:cNvPr id="1048" name="Picture 24" descr="Contoh Perhitungan SPK Metode AHP">
          <a:hlinkClick xmlns:r="http://schemas.openxmlformats.org/officeDocument/2006/relationships" r:id="rId17" tooltip="Contoh Perhitungan SPK Metode AHP"/>
          <a:extLst>
            <a:ext uri="{FF2B5EF4-FFF2-40B4-BE49-F238E27FC236}">
              <a16:creationId xmlns:a16="http://schemas.microsoft.com/office/drawing/2014/main" id="{00000000-0008-0000-0400-000018040000}"/>
            </a:ext>
          </a:extLst>
        </xdr:cNvPr>
        <xdr:cNvPicPr>
          <a:picLocks noChangeAspect="1" noChangeArrowheads="1"/>
        </xdr:cNvPicPr>
      </xdr:nvPicPr>
      <xdr:blipFill>
        <a:blip xmlns:r="http://schemas.openxmlformats.org/officeDocument/2006/relationships" r:embed="rId18"/>
        <a:srcRect/>
        <a:stretch>
          <a:fillRect/>
        </a:stretch>
      </xdr:blipFill>
      <xdr:spPr bwMode="auto">
        <a:xfrm>
          <a:off x="609600" y="302704500"/>
          <a:ext cx="1381125" cy="952500"/>
        </a:xfrm>
        <a:prstGeom prst="rect">
          <a:avLst/>
        </a:prstGeom>
        <a:noFill/>
      </xdr:spPr>
    </xdr:pic>
    <xdr:clientData/>
  </xdr:twoCellAnchor>
  <xdr:twoCellAnchor editAs="oneCell">
    <xdr:from>
      <xdr:col>1</xdr:col>
      <xdr:colOff>0</xdr:colOff>
      <xdr:row>349</xdr:row>
      <xdr:rowOff>0</xdr:rowOff>
    </xdr:from>
    <xdr:to>
      <xdr:col>2</xdr:col>
      <xdr:colOff>352425</xdr:colOff>
      <xdr:row>354</xdr:row>
      <xdr:rowOff>0</xdr:rowOff>
    </xdr:to>
    <xdr:pic>
      <xdr:nvPicPr>
        <xdr:cNvPr id="1049" name="Picture 25" descr="Perhitungan SAW">
          <a:hlinkClick xmlns:r="http://schemas.openxmlformats.org/officeDocument/2006/relationships" r:id="rId12" tooltip="Contoh Perhitungan SPK Metode SAW"/>
          <a:extLst>
            <a:ext uri="{FF2B5EF4-FFF2-40B4-BE49-F238E27FC236}">
              <a16:creationId xmlns:a16="http://schemas.microsoft.com/office/drawing/2014/main" id="{00000000-0008-0000-0400-000019040000}"/>
            </a:ext>
          </a:extLst>
        </xdr:cNvPr>
        <xdr:cNvPicPr>
          <a:picLocks noChangeAspect="1" noChangeArrowheads="1"/>
        </xdr:cNvPicPr>
      </xdr:nvPicPr>
      <xdr:blipFill>
        <a:blip xmlns:r="http://schemas.openxmlformats.org/officeDocument/2006/relationships" r:embed="rId13"/>
        <a:srcRect/>
        <a:stretch>
          <a:fillRect/>
        </a:stretch>
      </xdr:blipFill>
      <xdr:spPr bwMode="auto">
        <a:xfrm>
          <a:off x="609600" y="305181000"/>
          <a:ext cx="1381125" cy="952500"/>
        </a:xfrm>
        <a:prstGeom prst="rect">
          <a:avLst/>
        </a:prstGeom>
        <a:noFill/>
      </xdr:spPr>
    </xdr:pic>
    <xdr:clientData/>
  </xdr:twoCellAnchor>
  <xdr:twoCellAnchor editAs="oneCell">
    <xdr:from>
      <xdr:col>1</xdr:col>
      <xdr:colOff>0</xdr:colOff>
      <xdr:row>356</xdr:row>
      <xdr:rowOff>0</xdr:rowOff>
    </xdr:from>
    <xdr:to>
      <xdr:col>2</xdr:col>
      <xdr:colOff>352425</xdr:colOff>
      <xdr:row>361</xdr:row>
      <xdr:rowOff>0</xdr:rowOff>
    </xdr:to>
    <xdr:pic>
      <xdr:nvPicPr>
        <xdr:cNvPr id="1050" name="Picture 26" descr="Source Code Sistem Pakar Certainty Factor Forward Chaining PHP">
          <a:hlinkClick xmlns:r="http://schemas.openxmlformats.org/officeDocument/2006/relationships" r:id="rId19" tooltip="Source Code Sistem Pakar Metode Certainty Factor dan Forward Chaining PHP"/>
          <a:extLst>
            <a:ext uri="{FF2B5EF4-FFF2-40B4-BE49-F238E27FC236}">
              <a16:creationId xmlns:a16="http://schemas.microsoft.com/office/drawing/2014/main" id="{00000000-0008-0000-0400-00001A040000}"/>
            </a:ext>
          </a:extLst>
        </xdr:cNvPr>
        <xdr:cNvPicPr>
          <a:picLocks noChangeAspect="1" noChangeArrowheads="1"/>
        </xdr:cNvPicPr>
      </xdr:nvPicPr>
      <xdr:blipFill>
        <a:blip xmlns:r="http://schemas.openxmlformats.org/officeDocument/2006/relationships" r:embed="rId20"/>
        <a:srcRect/>
        <a:stretch>
          <a:fillRect/>
        </a:stretch>
      </xdr:blipFill>
      <xdr:spPr bwMode="auto">
        <a:xfrm>
          <a:off x="609600" y="308352825"/>
          <a:ext cx="1381125" cy="952500"/>
        </a:xfrm>
        <a:prstGeom prst="rect">
          <a:avLst/>
        </a:prstGeom>
        <a:noFill/>
      </xdr:spPr>
    </xdr:pic>
    <xdr:clientData/>
  </xdr:twoCellAnchor>
  <xdr:twoCellAnchor editAs="oneCell">
    <xdr:from>
      <xdr:col>1</xdr:col>
      <xdr:colOff>0</xdr:colOff>
      <xdr:row>362</xdr:row>
      <xdr:rowOff>0</xdr:rowOff>
    </xdr:from>
    <xdr:to>
      <xdr:col>2</xdr:col>
      <xdr:colOff>352425</xdr:colOff>
      <xdr:row>367</xdr:row>
      <xdr:rowOff>0</xdr:rowOff>
    </xdr:to>
    <xdr:pic>
      <xdr:nvPicPr>
        <xdr:cNvPr id="1051" name="Picture 27" descr="Sistem_Pakar_Metode_Certainty_Factor_C_Sharp_Perhitungan">
          <a:hlinkClick xmlns:r="http://schemas.openxmlformats.org/officeDocument/2006/relationships" r:id="rId21" tooltip="Source Code Sistem Pakar Metode Certainty Factor C-Sharp (C#)"/>
          <a:extLst>
            <a:ext uri="{FF2B5EF4-FFF2-40B4-BE49-F238E27FC236}">
              <a16:creationId xmlns:a16="http://schemas.microsoft.com/office/drawing/2014/main" id="{00000000-0008-0000-0400-00001B040000}"/>
            </a:ext>
          </a:extLst>
        </xdr:cNvPr>
        <xdr:cNvPicPr>
          <a:picLocks noChangeAspect="1" noChangeArrowheads="1"/>
        </xdr:cNvPicPr>
      </xdr:nvPicPr>
      <xdr:blipFill>
        <a:blip xmlns:r="http://schemas.openxmlformats.org/officeDocument/2006/relationships" r:embed="rId22"/>
        <a:srcRect/>
        <a:stretch>
          <a:fillRect/>
        </a:stretch>
      </xdr:blipFill>
      <xdr:spPr bwMode="auto">
        <a:xfrm>
          <a:off x="609600" y="311591325"/>
          <a:ext cx="1381125" cy="952500"/>
        </a:xfrm>
        <a:prstGeom prst="rect">
          <a:avLst/>
        </a:prstGeom>
        <a:noFill/>
      </xdr:spPr>
    </xdr:pic>
    <xdr:clientData/>
  </xdr:twoCellAnchor>
  <xdr:twoCellAnchor editAs="oneCell">
    <xdr:from>
      <xdr:col>1</xdr:col>
      <xdr:colOff>0</xdr:colOff>
      <xdr:row>368</xdr:row>
      <xdr:rowOff>0</xdr:rowOff>
    </xdr:from>
    <xdr:to>
      <xdr:col>2</xdr:col>
      <xdr:colOff>352425</xdr:colOff>
      <xdr:row>373</xdr:row>
      <xdr:rowOff>0</xdr:rowOff>
    </xdr:to>
    <xdr:pic>
      <xdr:nvPicPr>
        <xdr:cNvPr id="1052" name="Picture 28" descr="Source Code Sistem Pakar Dempster Shafer CodeIgniter">
          <a:hlinkClick xmlns:r="http://schemas.openxmlformats.org/officeDocument/2006/relationships" r:id="rId23" tooltip="Source Code Sistem Pakar Dempster Shafer CodeIgniter"/>
          <a:extLst>
            <a:ext uri="{FF2B5EF4-FFF2-40B4-BE49-F238E27FC236}">
              <a16:creationId xmlns:a16="http://schemas.microsoft.com/office/drawing/2014/main" id="{00000000-0008-0000-0400-00001C040000}"/>
            </a:ext>
          </a:extLst>
        </xdr:cNvPr>
        <xdr:cNvPicPr>
          <a:picLocks noChangeAspect="1" noChangeArrowheads="1"/>
        </xdr:cNvPicPr>
      </xdr:nvPicPr>
      <xdr:blipFill>
        <a:blip xmlns:r="http://schemas.openxmlformats.org/officeDocument/2006/relationships" r:embed="rId24"/>
        <a:srcRect/>
        <a:stretch>
          <a:fillRect/>
        </a:stretch>
      </xdr:blipFill>
      <xdr:spPr bwMode="auto">
        <a:xfrm>
          <a:off x="609600" y="314829825"/>
          <a:ext cx="1381125" cy="952500"/>
        </a:xfrm>
        <a:prstGeom prst="rect">
          <a:avLst/>
        </a:prstGeom>
        <a:noFill/>
      </xdr:spPr>
    </xdr:pic>
    <xdr:clientData/>
  </xdr:twoCellAnchor>
  <xdr:twoCellAnchor editAs="oneCell">
    <xdr:from>
      <xdr:col>1</xdr:col>
      <xdr:colOff>0</xdr:colOff>
      <xdr:row>374</xdr:row>
      <xdr:rowOff>0</xdr:rowOff>
    </xdr:from>
    <xdr:to>
      <xdr:col>2</xdr:col>
      <xdr:colOff>352425</xdr:colOff>
      <xdr:row>379</xdr:row>
      <xdr:rowOff>0</xdr:rowOff>
    </xdr:to>
    <xdr:pic>
      <xdr:nvPicPr>
        <xdr:cNvPr id="1053" name="Picture 29" descr="Source Code SPK Metode TOPSIS C Sharp FrmRelHitung">
          <a:hlinkClick xmlns:r="http://schemas.openxmlformats.org/officeDocument/2006/relationships" r:id="rId25" tooltip="Source Code SPK Metode TOPSIS C Sharp (C#)"/>
          <a:extLst>
            <a:ext uri="{FF2B5EF4-FFF2-40B4-BE49-F238E27FC236}">
              <a16:creationId xmlns:a16="http://schemas.microsoft.com/office/drawing/2014/main" id="{00000000-0008-0000-0400-00001D040000}"/>
            </a:ext>
          </a:extLst>
        </xdr:cNvPr>
        <xdr:cNvPicPr>
          <a:picLocks noChangeAspect="1" noChangeArrowheads="1"/>
        </xdr:cNvPicPr>
      </xdr:nvPicPr>
      <xdr:blipFill>
        <a:blip xmlns:r="http://schemas.openxmlformats.org/officeDocument/2006/relationships" r:embed="rId26"/>
        <a:srcRect/>
        <a:stretch>
          <a:fillRect/>
        </a:stretch>
      </xdr:blipFill>
      <xdr:spPr bwMode="auto">
        <a:xfrm>
          <a:off x="609600" y="318068325"/>
          <a:ext cx="1381125" cy="952500"/>
        </a:xfrm>
        <a:prstGeom prst="rect">
          <a:avLst/>
        </a:prstGeom>
        <a:noFill/>
      </xdr:spPr>
    </xdr:pic>
    <xdr:clientData/>
  </xdr:twoCellAnchor>
  <xdr:twoCellAnchor editAs="oneCell">
    <xdr:from>
      <xdr:col>1</xdr:col>
      <xdr:colOff>0</xdr:colOff>
      <xdr:row>380</xdr:row>
      <xdr:rowOff>0</xdr:rowOff>
    </xdr:from>
    <xdr:to>
      <xdr:col>2</xdr:col>
      <xdr:colOff>352425</xdr:colOff>
      <xdr:row>385</xdr:row>
      <xdr:rowOff>0</xdr:rowOff>
    </xdr:to>
    <xdr:pic>
      <xdr:nvPicPr>
        <xdr:cNvPr id="1054" name="Picture 30" descr="Sistem Pakar CBR PHP">
          <a:hlinkClick xmlns:r="http://schemas.openxmlformats.org/officeDocument/2006/relationships" r:id="rId27" tooltip="Source Code Sistem Pakar CBR PHP"/>
          <a:extLst>
            <a:ext uri="{FF2B5EF4-FFF2-40B4-BE49-F238E27FC236}">
              <a16:creationId xmlns:a16="http://schemas.microsoft.com/office/drawing/2014/main" id="{00000000-0008-0000-0400-00001E040000}"/>
            </a:ext>
          </a:extLst>
        </xdr:cNvPr>
        <xdr:cNvPicPr>
          <a:picLocks noChangeAspect="1" noChangeArrowheads="1"/>
        </xdr:cNvPicPr>
      </xdr:nvPicPr>
      <xdr:blipFill>
        <a:blip xmlns:r="http://schemas.openxmlformats.org/officeDocument/2006/relationships" r:embed="rId28"/>
        <a:srcRect/>
        <a:stretch>
          <a:fillRect/>
        </a:stretch>
      </xdr:blipFill>
      <xdr:spPr bwMode="auto">
        <a:xfrm>
          <a:off x="609600" y="320925825"/>
          <a:ext cx="1381125" cy="952500"/>
        </a:xfrm>
        <a:prstGeom prst="rect">
          <a:avLst/>
        </a:prstGeom>
        <a:noFill/>
      </xdr:spPr>
    </xdr:pic>
    <xdr:clientData/>
  </xdr:twoCellAnchor>
  <xdr:twoCellAnchor editAs="oneCell">
    <xdr:from>
      <xdr:col>1</xdr:col>
      <xdr:colOff>0</xdr:colOff>
      <xdr:row>387</xdr:row>
      <xdr:rowOff>0</xdr:rowOff>
    </xdr:from>
    <xdr:to>
      <xdr:col>2</xdr:col>
      <xdr:colOff>352425</xdr:colOff>
      <xdr:row>392</xdr:row>
      <xdr:rowOff>0</xdr:rowOff>
    </xdr:to>
    <xdr:pic>
      <xdr:nvPicPr>
        <xdr:cNvPr id="1055" name="Picture 31" descr="Source Code SPK Metode MOORA PHP">
          <a:hlinkClick xmlns:r="http://schemas.openxmlformats.org/officeDocument/2006/relationships" r:id="rId29" tooltip="Source Code SPK Metode MOORA PHP"/>
          <a:extLst>
            <a:ext uri="{FF2B5EF4-FFF2-40B4-BE49-F238E27FC236}">
              <a16:creationId xmlns:a16="http://schemas.microsoft.com/office/drawing/2014/main" id="{00000000-0008-0000-0400-00001F040000}"/>
            </a:ext>
          </a:extLst>
        </xdr:cNvPr>
        <xdr:cNvPicPr>
          <a:picLocks noChangeAspect="1" noChangeArrowheads="1"/>
        </xdr:cNvPicPr>
      </xdr:nvPicPr>
      <xdr:blipFill>
        <a:blip xmlns:r="http://schemas.openxmlformats.org/officeDocument/2006/relationships" r:embed="rId30"/>
        <a:srcRect/>
        <a:stretch>
          <a:fillRect/>
        </a:stretch>
      </xdr:blipFill>
      <xdr:spPr bwMode="auto">
        <a:xfrm>
          <a:off x="609600" y="324783450"/>
          <a:ext cx="1381125" cy="952500"/>
        </a:xfrm>
        <a:prstGeom prst="rect">
          <a:avLst/>
        </a:prstGeom>
        <a:noFill/>
      </xdr:spPr>
    </xdr:pic>
    <xdr:clientData/>
  </xdr:twoCellAnchor>
  <xdr:twoCellAnchor editAs="oneCell">
    <xdr:from>
      <xdr:col>1</xdr:col>
      <xdr:colOff>0</xdr:colOff>
      <xdr:row>393</xdr:row>
      <xdr:rowOff>0</xdr:rowOff>
    </xdr:from>
    <xdr:to>
      <xdr:col>2</xdr:col>
      <xdr:colOff>352425</xdr:colOff>
      <xdr:row>398</xdr:row>
      <xdr:rowOff>0</xdr:rowOff>
    </xdr:to>
    <xdr:pic>
      <xdr:nvPicPr>
        <xdr:cNvPr id="1056" name="Picture 32" descr="Source Code SPK Metode MFEP Codeigniter">
          <a:hlinkClick xmlns:r="http://schemas.openxmlformats.org/officeDocument/2006/relationships" r:id="rId31" tooltip="Source Code SPK Metode MFEP CodeIgniter"/>
          <a:extLst>
            <a:ext uri="{FF2B5EF4-FFF2-40B4-BE49-F238E27FC236}">
              <a16:creationId xmlns:a16="http://schemas.microsoft.com/office/drawing/2014/main" id="{00000000-0008-0000-0400-000020040000}"/>
            </a:ext>
          </a:extLst>
        </xdr:cNvPr>
        <xdr:cNvPicPr>
          <a:picLocks noChangeAspect="1" noChangeArrowheads="1"/>
        </xdr:cNvPicPr>
      </xdr:nvPicPr>
      <xdr:blipFill>
        <a:blip xmlns:r="http://schemas.openxmlformats.org/officeDocument/2006/relationships" r:embed="rId32"/>
        <a:srcRect/>
        <a:stretch>
          <a:fillRect/>
        </a:stretch>
      </xdr:blipFill>
      <xdr:spPr bwMode="auto">
        <a:xfrm>
          <a:off x="609600" y="327450450"/>
          <a:ext cx="1381125" cy="952500"/>
        </a:xfrm>
        <a:prstGeom prst="rect">
          <a:avLst/>
        </a:prstGeom>
        <a:noFill/>
      </xdr:spPr>
    </xdr:pic>
    <xdr:clientData/>
  </xdr:twoCellAnchor>
  <xdr:twoCellAnchor editAs="oneCell">
    <xdr:from>
      <xdr:col>1</xdr:col>
      <xdr:colOff>0</xdr:colOff>
      <xdr:row>399</xdr:row>
      <xdr:rowOff>0</xdr:rowOff>
    </xdr:from>
    <xdr:to>
      <xdr:col>2</xdr:col>
      <xdr:colOff>352425</xdr:colOff>
      <xdr:row>404</xdr:row>
      <xdr:rowOff>0</xdr:rowOff>
    </xdr:to>
    <xdr:pic>
      <xdr:nvPicPr>
        <xdr:cNvPr id="1057" name="Picture 33" descr="SPK Metode AHP dan WP PHP">
          <a:hlinkClick xmlns:r="http://schemas.openxmlformats.org/officeDocument/2006/relationships" r:id="rId33" tooltip="Source Code SPK Metode AHP dan Weighted Product (AHP-WP) dengan PHP"/>
          <a:extLst>
            <a:ext uri="{FF2B5EF4-FFF2-40B4-BE49-F238E27FC236}">
              <a16:creationId xmlns:a16="http://schemas.microsoft.com/office/drawing/2014/main" id="{00000000-0008-0000-0400-000021040000}"/>
            </a:ext>
          </a:extLst>
        </xdr:cNvPr>
        <xdr:cNvPicPr>
          <a:picLocks noChangeAspect="1" noChangeArrowheads="1"/>
        </xdr:cNvPicPr>
      </xdr:nvPicPr>
      <xdr:blipFill>
        <a:blip xmlns:r="http://schemas.openxmlformats.org/officeDocument/2006/relationships" r:embed="rId34"/>
        <a:srcRect/>
        <a:stretch>
          <a:fillRect/>
        </a:stretch>
      </xdr:blipFill>
      <xdr:spPr bwMode="auto">
        <a:xfrm>
          <a:off x="609600" y="330117450"/>
          <a:ext cx="1381125" cy="952500"/>
        </a:xfrm>
        <a:prstGeom prst="rect">
          <a:avLst/>
        </a:prstGeom>
        <a:noFill/>
      </xdr:spPr>
    </xdr:pic>
    <xdr:clientData/>
  </xdr:twoCellAnchor>
  <xdr:twoCellAnchor editAs="oneCell">
    <xdr:from>
      <xdr:col>1</xdr:col>
      <xdr:colOff>0</xdr:colOff>
      <xdr:row>405</xdr:row>
      <xdr:rowOff>0</xdr:rowOff>
    </xdr:from>
    <xdr:to>
      <xdr:col>2</xdr:col>
      <xdr:colOff>352425</xdr:colOff>
      <xdr:row>410</xdr:row>
      <xdr:rowOff>0</xdr:rowOff>
    </xdr:to>
    <xdr:pic>
      <xdr:nvPicPr>
        <xdr:cNvPr id="1058" name="Picture 34" descr="Fuzzy AHP TOPSIS PHP">
          <a:hlinkClick xmlns:r="http://schemas.openxmlformats.org/officeDocument/2006/relationships" r:id="rId35" tooltip="Source Code SPK Metode Fuzzy AHP TOPSIS PHP"/>
          <a:extLst>
            <a:ext uri="{FF2B5EF4-FFF2-40B4-BE49-F238E27FC236}">
              <a16:creationId xmlns:a16="http://schemas.microsoft.com/office/drawing/2014/main" id="{00000000-0008-0000-0400-000022040000}"/>
            </a:ext>
          </a:extLst>
        </xdr:cNvPr>
        <xdr:cNvPicPr>
          <a:picLocks noChangeAspect="1" noChangeArrowheads="1"/>
        </xdr:cNvPicPr>
      </xdr:nvPicPr>
      <xdr:blipFill>
        <a:blip xmlns:r="http://schemas.openxmlformats.org/officeDocument/2006/relationships" r:embed="rId36"/>
        <a:srcRect/>
        <a:stretch>
          <a:fillRect/>
        </a:stretch>
      </xdr:blipFill>
      <xdr:spPr bwMode="auto">
        <a:xfrm>
          <a:off x="609600" y="333736950"/>
          <a:ext cx="1381125" cy="952500"/>
        </a:xfrm>
        <a:prstGeom prst="rect">
          <a:avLst/>
        </a:prstGeom>
        <a:noFill/>
      </xdr:spPr>
    </xdr:pic>
    <xdr:clientData/>
  </xdr:twoCellAnchor>
  <xdr:twoCellAnchor editAs="oneCell">
    <xdr:from>
      <xdr:col>1</xdr:col>
      <xdr:colOff>0</xdr:colOff>
      <xdr:row>411</xdr:row>
      <xdr:rowOff>0</xdr:rowOff>
    </xdr:from>
    <xdr:to>
      <xdr:col>2</xdr:col>
      <xdr:colOff>352425</xdr:colOff>
      <xdr:row>416</xdr:row>
      <xdr:rowOff>0</xdr:rowOff>
    </xdr:to>
    <xdr:pic>
      <xdr:nvPicPr>
        <xdr:cNvPr id="1059" name="Picture 35" descr="Fuzzy Tsukamoto CodeIgniter">
          <a:hlinkClick xmlns:r="http://schemas.openxmlformats.org/officeDocument/2006/relationships" r:id="rId37" tooltip="Source Code SPK Fuzzy Tsukamoto CodeIgniter"/>
          <a:extLst>
            <a:ext uri="{FF2B5EF4-FFF2-40B4-BE49-F238E27FC236}">
              <a16:creationId xmlns:a16="http://schemas.microsoft.com/office/drawing/2014/main" id="{00000000-0008-0000-0400-000023040000}"/>
            </a:ext>
          </a:extLst>
        </xdr:cNvPr>
        <xdr:cNvPicPr>
          <a:picLocks noChangeAspect="1" noChangeArrowheads="1"/>
        </xdr:cNvPicPr>
      </xdr:nvPicPr>
      <xdr:blipFill>
        <a:blip xmlns:r="http://schemas.openxmlformats.org/officeDocument/2006/relationships" r:embed="rId38"/>
        <a:srcRect/>
        <a:stretch>
          <a:fillRect/>
        </a:stretch>
      </xdr:blipFill>
      <xdr:spPr bwMode="auto">
        <a:xfrm>
          <a:off x="609600" y="336594450"/>
          <a:ext cx="1381125" cy="952500"/>
        </a:xfrm>
        <a:prstGeom prst="rect">
          <a:avLst/>
        </a:prstGeom>
        <a:noFill/>
      </xdr:spPr>
    </xdr:pic>
    <xdr:clientData/>
  </xdr:twoCellAnchor>
  <xdr:twoCellAnchor editAs="oneCell">
    <xdr:from>
      <xdr:col>1</xdr:col>
      <xdr:colOff>0</xdr:colOff>
      <xdr:row>421</xdr:row>
      <xdr:rowOff>0</xdr:rowOff>
    </xdr:from>
    <xdr:to>
      <xdr:col>1</xdr:col>
      <xdr:colOff>9525</xdr:colOff>
      <xdr:row>421</xdr:row>
      <xdr:rowOff>9525</xdr:rowOff>
    </xdr:to>
    <xdr:pic>
      <xdr:nvPicPr>
        <xdr:cNvPr id="1060" name="Picture 36" descr="https://my.rtmark.net/img.gif?f=merge&amp;userId=36eea478d737453cb04b9be14795eddc">
          <a:extLst>
            <a:ext uri="{FF2B5EF4-FFF2-40B4-BE49-F238E27FC236}">
              <a16:creationId xmlns:a16="http://schemas.microsoft.com/office/drawing/2014/main" id="{00000000-0008-0000-0400-000024040000}"/>
            </a:ext>
          </a:extLst>
        </xdr:cNvPr>
        <xdr:cNvPicPr>
          <a:picLocks noChangeAspect="1" noChangeArrowheads="1"/>
        </xdr:cNvPicPr>
      </xdr:nvPicPr>
      <xdr:blipFill>
        <a:blip xmlns:r="http://schemas.openxmlformats.org/officeDocument/2006/relationships" r:embed="rId39"/>
        <a:srcRect/>
        <a:stretch>
          <a:fillRect/>
        </a:stretch>
      </xdr:blipFill>
      <xdr:spPr bwMode="auto">
        <a:xfrm>
          <a:off x="609600" y="341166450"/>
          <a:ext cx="9525" cy="952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1</xdr:col>
          <xdr:colOff>2381</xdr:colOff>
          <xdr:row>299</xdr:row>
          <xdr:rowOff>414337</xdr:rowOff>
        </xdr:from>
        <xdr:to>
          <xdr:col>3</xdr:col>
          <xdr:colOff>614362</xdr:colOff>
          <xdr:row>299</xdr:row>
          <xdr:rowOff>1500187</xdr:rowOff>
        </xdr:to>
        <xdr:sp macro="" textlink="">
          <xdr:nvSpPr>
            <xdr:cNvPr id="1040" name="Control 16" hidden="1">
              <a:extLst>
                <a:ext uri="{63B3BB69-23CF-44E3-9099-C40C66FF867C}">
                  <a14:compatExt spid="_x0000_s1040"/>
                </a:ext>
                <a:ext uri="{FF2B5EF4-FFF2-40B4-BE49-F238E27FC236}">
                  <a16:creationId xmlns:a16="http://schemas.microsoft.com/office/drawing/2014/main" id="{00000000-0008-0000-0400-00001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2381</xdr:colOff>
          <xdr:row>302</xdr:row>
          <xdr:rowOff>21431</xdr:rowOff>
        </xdr:from>
        <xdr:to>
          <xdr:col>2</xdr:col>
          <xdr:colOff>692944</xdr:colOff>
          <xdr:row>303</xdr:row>
          <xdr:rowOff>0</xdr:rowOff>
        </xdr:to>
        <xdr:sp macro="" textlink="">
          <xdr:nvSpPr>
            <xdr:cNvPr id="1041" name="Control 17" hidden="1">
              <a:extLst>
                <a:ext uri="{63B3BB69-23CF-44E3-9099-C40C66FF867C}">
                  <a14:compatExt spid="_x0000_s1041"/>
                </a:ext>
                <a:ext uri="{FF2B5EF4-FFF2-40B4-BE49-F238E27FC236}">
                  <a16:creationId xmlns:a16="http://schemas.microsoft.com/office/drawing/2014/main" id="{00000000-0008-0000-0400-00001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2381</xdr:colOff>
          <xdr:row>304</xdr:row>
          <xdr:rowOff>16669</xdr:rowOff>
        </xdr:from>
        <xdr:to>
          <xdr:col>2</xdr:col>
          <xdr:colOff>692944</xdr:colOff>
          <xdr:row>304</xdr:row>
          <xdr:rowOff>197644</xdr:rowOff>
        </xdr:to>
        <xdr:sp macro="" textlink="">
          <xdr:nvSpPr>
            <xdr:cNvPr id="1042" name="Control 18" hidden="1">
              <a:extLst>
                <a:ext uri="{63B3BB69-23CF-44E3-9099-C40C66FF867C}">
                  <a14:compatExt spid="_x0000_s1042"/>
                </a:ext>
                <a:ext uri="{FF2B5EF4-FFF2-40B4-BE49-F238E27FC236}">
                  <a16:creationId xmlns:a16="http://schemas.microsoft.com/office/drawing/2014/main" id="{00000000-0008-0000-0400-00001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2381</xdr:colOff>
          <xdr:row>306</xdr:row>
          <xdr:rowOff>11906</xdr:rowOff>
        </xdr:from>
        <xdr:to>
          <xdr:col>2</xdr:col>
          <xdr:colOff>692944</xdr:colOff>
          <xdr:row>306</xdr:row>
          <xdr:rowOff>192881</xdr:rowOff>
        </xdr:to>
        <xdr:sp macro="" textlink="">
          <xdr:nvSpPr>
            <xdr:cNvPr id="1043" name="Control 19" hidden="1">
              <a:extLst>
                <a:ext uri="{63B3BB69-23CF-44E3-9099-C40C66FF867C}">
                  <a14:compatExt spid="_x0000_s1043"/>
                </a:ext>
                <a:ext uri="{FF2B5EF4-FFF2-40B4-BE49-F238E27FC236}">
                  <a16:creationId xmlns:a16="http://schemas.microsoft.com/office/drawing/2014/main" id="{00000000-0008-0000-0400-00001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2381</xdr:colOff>
          <xdr:row>307</xdr:row>
          <xdr:rowOff>9525</xdr:rowOff>
        </xdr:from>
        <xdr:to>
          <xdr:col>1</xdr:col>
          <xdr:colOff>926306</xdr:colOff>
          <xdr:row>308</xdr:row>
          <xdr:rowOff>64294</xdr:rowOff>
        </xdr:to>
        <xdr:sp macro="" textlink="">
          <xdr:nvSpPr>
            <xdr:cNvPr id="1044" name="Control 20" hidden="1">
              <a:extLst>
                <a:ext uri="{63B3BB69-23CF-44E3-9099-C40C66FF867C}">
                  <a14:compatExt spid="_x0000_s1044"/>
                </a:ext>
                <a:ext uri="{FF2B5EF4-FFF2-40B4-BE49-F238E27FC236}">
                  <a16:creationId xmlns:a16="http://schemas.microsoft.com/office/drawing/2014/main" id="{00000000-0008-0000-0400-00001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2381</xdr:colOff>
          <xdr:row>311</xdr:row>
          <xdr:rowOff>1123950</xdr:rowOff>
        </xdr:from>
        <xdr:to>
          <xdr:col>2</xdr:col>
          <xdr:colOff>321469</xdr:colOff>
          <xdr:row>311</xdr:row>
          <xdr:rowOff>1304925</xdr:rowOff>
        </xdr:to>
        <xdr:sp macro="" textlink="">
          <xdr:nvSpPr>
            <xdr:cNvPr id="1045" name="Control 21" hidden="1">
              <a:extLst>
                <a:ext uri="{63B3BB69-23CF-44E3-9099-C40C66FF867C}">
                  <a14:compatExt spid="_x0000_s1045"/>
                </a:ext>
                <a:ext uri="{FF2B5EF4-FFF2-40B4-BE49-F238E27FC236}">
                  <a16:creationId xmlns:a16="http://schemas.microsoft.com/office/drawing/2014/main" id="{00000000-0008-0000-0400-00001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3" Type="http://schemas.openxmlformats.org/officeDocument/2006/relationships/hyperlink" Target="https://tugasakhir.id/contoh-perhitungan-spk-metode-ahp/" TargetMode="External"/><Relationship Id="rId18" Type="http://schemas.openxmlformats.org/officeDocument/2006/relationships/hyperlink" Target="http://-/" TargetMode="External"/><Relationship Id="rId26" Type="http://schemas.openxmlformats.org/officeDocument/2006/relationships/hyperlink" Target="https://akismet.com/privacy/" TargetMode="External"/><Relationship Id="rId39" Type="http://schemas.openxmlformats.org/officeDocument/2006/relationships/hyperlink" Target="https://tugasakhir.id/spk-metode-ahp-weighted-product-php/" TargetMode="External"/><Relationship Id="rId21" Type="http://schemas.openxmlformats.org/officeDocument/2006/relationships/hyperlink" Target="https://tugasakhir.id/contoh-perhitungan-spk-metode-ahp/" TargetMode="External"/><Relationship Id="rId34" Type="http://schemas.openxmlformats.org/officeDocument/2006/relationships/hyperlink" Target="https://tugasakhir.id/source-code-sistem-pakar-dempster-shafer-codeigniter/" TargetMode="External"/><Relationship Id="rId42" Type="http://schemas.openxmlformats.org/officeDocument/2006/relationships/hyperlink" Target="https://tugasakhir.id/privacy-policy/" TargetMode="External"/><Relationship Id="rId47" Type="http://schemas.openxmlformats.org/officeDocument/2006/relationships/vmlDrawing" Target="../drawings/vmlDrawing1.vml"/><Relationship Id="rId50" Type="http://schemas.openxmlformats.org/officeDocument/2006/relationships/control" Target="../activeX/activeX2.xml"/><Relationship Id="rId55" Type="http://schemas.openxmlformats.org/officeDocument/2006/relationships/image" Target="../media/image5.emf"/><Relationship Id="rId7" Type="http://schemas.openxmlformats.org/officeDocument/2006/relationships/hyperlink" Target="https://tugasakhir.id/contoh-perhitungan-spk-metode-topsis/" TargetMode="External"/><Relationship Id="rId12" Type="http://schemas.openxmlformats.org/officeDocument/2006/relationships/hyperlink" Target="https://tugasakhir.id/author/admin/" TargetMode="External"/><Relationship Id="rId17" Type="http://schemas.openxmlformats.org/officeDocument/2006/relationships/hyperlink" Target="https://tugasakhir.id/contoh-perhitungan-spk-metode-ahp/" TargetMode="External"/><Relationship Id="rId25" Type="http://schemas.openxmlformats.org/officeDocument/2006/relationships/hyperlink" Target="https://tugasakhir.id/contoh-perhitungan-spk-metode-ahp/" TargetMode="External"/><Relationship Id="rId33" Type="http://schemas.openxmlformats.org/officeDocument/2006/relationships/hyperlink" Target="https://tugasakhir.id/source-code-sistem-pakar-metode-certainty-factor-c-sharp/" TargetMode="External"/><Relationship Id="rId38" Type="http://schemas.openxmlformats.org/officeDocument/2006/relationships/hyperlink" Target="https://tugasakhir.id/source-code-spk-metode-mfep-codeigniter/" TargetMode="External"/><Relationship Id="rId46" Type="http://schemas.openxmlformats.org/officeDocument/2006/relationships/drawing" Target="../drawings/drawing2.xml"/><Relationship Id="rId2" Type="http://schemas.openxmlformats.org/officeDocument/2006/relationships/hyperlink" Target="https://tugasakhir.id/contoh-perhitungan-spk-metode-ahp/" TargetMode="External"/><Relationship Id="rId16" Type="http://schemas.openxmlformats.org/officeDocument/2006/relationships/hyperlink" Target="https://tugasakhir.id/source-code-tugas-akhir/" TargetMode="External"/><Relationship Id="rId20" Type="http://schemas.openxmlformats.org/officeDocument/2006/relationships/hyperlink" Target="https://tugasakhir.id/contoh-perhitungan-spk-metode-ahp/" TargetMode="External"/><Relationship Id="rId29" Type="http://schemas.openxmlformats.org/officeDocument/2006/relationships/hyperlink" Target="https://tugasakhir.id/contoh-perhitungan-spk-metode-topsis/" TargetMode="External"/><Relationship Id="rId41" Type="http://schemas.openxmlformats.org/officeDocument/2006/relationships/hyperlink" Target="https://tugasakhir.id/fuzzy-tsukamoto-codeigniter/" TargetMode="External"/><Relationship Id="rId54" Type="http://schemas.openxmlformats.org/officeDocument/2006/relationships/control" Target="../activeX/activeX5.xml"/><Relationship Id="rId1" Type="http://schemas.openxmlformats.org/officeDocument/2006/relationships/hyperlink" Target="https://tugasakhir.id/perhitungan/" TargetMode="External"/><Relationship Id="rId6" Type="http://schemas.openxmlformats.org/officeDocument/2006/relationships/hyperlink" Target="https://tugasakhir.id/kontak/" TargetMode="External"/><Relationship Id="rId11" Type="http://schemas.openxmlformats.org/officeDocument/2006/relationships/hyperlink" Target="https://tugasakhir.id/contoh-perhitungan-spk-metode-saw/" TargetMode="External"/><Relationship Id="rId24" Type="http://schemas.openxmlformats.org/officeDocument/2006/relationships/hyperlink" Target="mailto:zhurazura97@gmail.com" TargetMode="External"/><Relationship Id="rId32" Type="http://schemas.openxmlformats.org/officeDocument/2006/relationships/hyperlink" Target="https://tugasakhir.id/source-code-sistem-pakar-metode-certainty-factor-dan-forward-chaining-php/" TargetMode="External"/><Relationship Id="rId37" Type="http://schemas.openxmlformats.org/officeDocument/2006/relationships/hyperlink" Target="https://tugasakhir.id/source-code-spk-metode-moora-php/" TargetMode="External"/><Relationship Id="rId40" Type="http://schemas.openxmlformats.org/officeDocument/2006/relationships/hyperlink" Target="https://tugasakhir.id/fuzzy-ahp-topsis-php/" TargetMode="External"/><Relationship Id="rId45" Type="http://schemas.openxmlformats.org/officeDocument/2006/relationships/printerSettings" Target="../printerSettings/printerSettings2.bin"/><Relationship Id="rId53" Type="http://schemas.openxmlformats.org/officeDocument/2006/relationships/control" Target="../activeX/activeX4.xml"/><Relationship Id="rId5" Type="http://schemas.openxmlformats.org/officeDocument/2006/relationships/hyperlink" Target="https://tugasakhir.id/contoh-perhitungan-spk-metode-saw/" TargetMode="External"/><Relationship Id="rId15" Type="http://schemas.openxmlformats.org/officeDocument/2006/relationships/hyperlink" Target="https://tugasakhir.id/contoh-perhitungan-spk-metode-ahp/" TargetMode="External"/><Relationship Id="rId23" Type="http://schemas.openxmlformats.org/officeDocument/2006/relationships/hyperlink" Target="https://tugasakhir.id/contoh-perhitungan-spk-metode-ahp/" TargetMode="External"/><Relationship Id="rId28" Type="http://schemas.openxmlformats.org/officeDocument/2006/relationships/hyperlink" Target="https://tugasakhir.id/algoritma-genetika-penjadwalan/" TargetMode="External"/><Relationship Id="rId36" Type="http://schemas.openxmlformats.org/officeDocument/2006/relationships/hyperlink" Target="https://tugasakhir.id/sistem-pakar-cbr-php/" TargetMode="External"/><Relationship Id="rId49" Type="http://schemas.openxmlformats.org/officeDocument/2006/relationships/image" Target="../media/image3.emf"/><Relationship Id="rId57" Type="http://schemas.openxmlformats.org/officeDocument/2006/relationships/image" Target="../media/image6.emf"/><Relationship Id="rId10" Type="http://schemas.openxmlformats.org/officeDocument/2006/relationships/hyperlink" Target="https://tugasakhir.id/perhitungan/" TargetMode="External"/><Relationship Id="rId19" Type="http://schemas.openxmlformats.org/officeDocument/2006/relationships/hyperlink" Target="https://tugasakhir.id/contoh-perhitungan-spk-metode-ahp/" TargetMode="External"/><Relationship Id="rId31" Type="http://schemas.openxmlformats.org/officeDocument/2006/relationships/hyperlink" Target="https://tugasakhir.id/contoh-perhitungan-spk-metode-saw/" TargetMode="External"/><Relationship Id="rId44" Type="http://schemas.openxmlformats.org/officeDocument/2006/relationships/hyperlink" Target="https://tugasakhir.id/kontak/" TargetMode="External"/><Relationship Id="rId52" Type="http://schemas.openxmlformats.org/officeDocument/2006/relationships/control" Target="../activeX/activeX3.xml"/><Relationship Id="rId4" Type="http://schemas.openxmlformats.org/officeDocument/2006/relationships/hyperlink" Target="https://tugasakhir.id/author/admin/" TargetMode="External"/><Relationship Id="rId9" Type="http://schemas.openxmlformats.org/officeDocument/2006/relationships/hyperlink" Target="https://tugasakhir.id/algoritma-genetika-penjadwalan/" TargetMode="External"/><Relationship Id="rId14" Type="http://schemas.openxmlformats.org/officeDocument/2006/relationships/hyperlink" Target="https://tugasakhir.id/contoh-perhitungan-spk-metode-ahp/" TargetMode="External"/><Relationship Id="rId22" Type="http://schemas.openxmlformats.org/officeDocument/2006/relationships/hyperlink" Target="https://tugasakhir.id/contoh-perhitungan-spk-metode-ahp/" TargetMode="External"/><Relationship Id="rId27" Type="http://schemas.openxmlformats.org/officeDocument/2006/relationships/hyperlink" Target="mailto:herdikayan@gmail.com" TargetMode="External"/><Relationship Id="rId30" Type="http://schemas.openxmlformats.org/officeDocument/2006/relationships/hyperlink" Target="https://tugasakhir.id/contoh-perhitungan-spk-metode-ahp/" TargetMode="External"/><Relationship Id="rId35" Type="http://schemas.openxmlformats.org/officeDocument/2006/relationships/hyperlink" Target="https://tugasakhir.id/source-code-spk-metode-topsis-c-sharp-c/" TargetMode="External"/><Relationship Id="rId43" Type="http://schemas.openxmlformats.org/officeDocument/2006/relationships/hyperlink" Target="https://tugasakhir.id/about/" TargetMode="External"/><Relationship Id="rId48" Type="http://schemas.openxmlformats.org/officeDocument/2006/relationships/control" Target="../activeX/activeX1.xml"/><Relationship Id="rId56" Type="http://schemas.openxmlformats.org/officeDocument/2006/relationships/control" Target="../activeX/activeX6.xml"/><Relationship Id="rId8" Type="http://schemas.openxmlformats.org/officeDocument/2006/relationships/hyperlink" Target="https://tugasakhir.id/source-code-si-koperasi-simpan-pinjam-menggunakan-c/" TargetMode="External"/><Relationship Id="rId51" Type="http://schemas.openxmlformats.org/officeDocument/2006/relationships/image" Target="../media/image4.emf"/><Relationship Id="rId3" Type="http://schemas.openxmlformats.org/officeDocument/2006/relationships/hyperlink" Target="https://tugasakhir.id/author/admi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46"/>
  <sheetViews>
    <sheetView topLeftCell="A49" zoomScale="80" zoomScaleNormal="80" workbookViewId="0">
      <selection activeCell="H14" sqref="H14"/>
    </sheetView>
  </sheetViews>
  <sheetFormatPr defaultRowHeight="15"/>
  <cols>
    <col min="1" max="1" width="22.42578125" style="4" customWidth="1"/>
    <col min="2" max="2" width="26.42578125" style="4" customWidth="1"/>
    <col min="3" max="3" width="38.7109375" style="4" customWidth="1"/>
    <col min="4" max="5" width="23.140625" style="4" customWidth="1"/>
    <col min="6" max="6" width="24.85546875" style="4" customWidth="1"/>
    <col min="7" max="7" width="28.140625" style="4" customWidth="1"/>
    <col min="8" max="8" width="24.7109375" style="4" customWidth="1"/>
    <col min="9" max="9" width="9.140625" style="4"/>
    <col min="10" max="10" width="13.7109375" style="4" customWidth="1"/>
    <col min="11" max="16384" width="9.140625" style="4"/>
  </cols>
  <sheetData>
    <row r="1" spans="2:14" ht="23.25">
      <c r="B1" s="123" t="s">
        <v>0</v>
      </c>
      <c r="C1" s="123"/>
      <c r="D1" s="123"/>
      <c r="E1" s="123"/>
      <c r="F1" s="123"/>
      <c r="G1" s="123"/>
      <c r="H1" s="123"/>
      <c r="I1" s="123"/>
      <c r="J1" s="123"/>
      <c r="K1" s="123"/>
      <c r="L1" s="123"/>
      <c r="M1" s="123"/>
      <c r="N1" s="7"/>
    </row>
    <row r="2" spans="2:14" ht="23.25">
      <c r="B2" s="123" t="s">
        <v>1</v>
      </c>
      <c r="C2" s="123"/>
      <c r="D2" s="123"/>
      <c r="E2" s="123"/>
      <c r="F2" s="123"/>
      <c r="G2" s="123"/>
      <c r="H2" s="123"/>
      <c r="I2" s="123"/>
      <c r="J2" s="123"/>
      <c r="K2" s="123"/>
      <c r="L2" s="123"/>
      <c r="M2" s="123"/>
      <c r="N2" s="7"/>
    </row>
    <row r="3" spans="2:14">
      <c r="E3" s="8"/>
    </row>
    <row r="4" spans="2:14" s="5" customFormat="1" ht="18.75">
      <c r="B4" s="5" t="s">
        <v>2</v>
      </c>
    </row>
    <row r="5" spans="2:14" ht="15.75" thickBot="1"/>
    <row r="6" spans="2:14" ht="16.5" thickBot="1">
      <c r="B6" s="124" t="s">
        <v>3</v>
      </c>
      <c r="C6" s="124"/>
      <c r="D6" s="22" t="s">
        <v>42</v>
      </c>
    </row>
    <row r="7" spans="2:14" ht="16.5" thickBot="1">
      <c r="B7" s="20" t="s">
        <v>4</v>
      </c>
      <c r="C7" s="21" t="s">
        <v>5</v>
      </c>
      <c r="D7" s="22">
        <v>5</v>
      </c>
    </row>
    <row r="8" spans="2:14" ht="17.25" customHeight="1" thickBot="1">
      <c r="B8" s="20" t="s">
        <v>6</v>
      </c>
      <c r="C8" s="21" t="s">
        <v>7</v>
      </c>
      <c r="D8" s="22">
        <v>1</v>
      </c>
    </row>
    <row r="9" spans="2:14" ht="17.25" customHeight="1" thickBot="1">
      <c r="B9" s="20" t="s">
        <v>8</v>
      </c>
      <c r="C9" s="21" t="s">
        <v>9</v>
      </c>
      <c r="D9" s="22">
        <v>9</v>
      </c>
    </row>
    <row r="10" spans="2:14" ht="17.25" customHeight="1" thickBot="1">
      <c r="B10" s="20" t="s">
        <v>10</v>
      </c>
      <c r="C10" s="21" t="s">
        <v>11</v>
      </c>
      <c r="D10" s="22">
        <v>3</v>
      </c>
    </row>
    <row r="11" spans="2:14" ht="20.25" customHeight="1" thickBot="1">
      <c r="B11" s="20" t="s">
        <v>12</v>
      </c>
      <c r="C11" s="21" t="s">
        <v>13</v>
      </c>
      <c r="D11" s="22">
        <v>1</v>
      </c>
    </row>
    <row r="12" spans="2:14" ht="16.5" customHeight="1" thickBot="1">
      <c r="B12" s="20" t="s">
        <v>14</v>
      </c>
      <c r="C12" s="21" t="s">
        <v>15</v>
      </c>
      <c r="D12" s="22">
        <v>7</v>
      </c>
    </row>
    <row r="14" spans="2:14" ht="18" customHeight="1">
      <c r="B14" s="125" t="s">
        <v>16</v>
      </c>
      <c r="C14" s="125"/>
    </row>
    <row r="15" spans="2:14" ht="15.75" thickBot="1"/>
    <row r="16" spans="2:14" ht="16.5" thickBot="1">
      <c r="B16" s="120" t="s">
        <v>17</v>
      </c>
      <c r="C16" s="121"/>
      <c r="D16" s="22" t="s">
        <v>42</v>
      </c>
    </row>
    <row r="17" spans="2:4" ht="16.5" thickBot="1">
      <c r="B17" s="2" t="s">
        <v>18</v>
      </c>
      <c r="C17" s="3" t="s">
        <v>19</v>
      </c>
      <c r="D17" s="22">
        <v>3</v>
      </c>
    </row>
    <row r="18" spans="2:4" ht="16.5" thickBot="1">
      <c r="B18" s="2" t="s">
        <v>20</v>
      </c>
      <c r="C18" s="3" t="s">
        <v>21</v>
      </c>
      <c r="D18" s="22">
        <v>4</v>
      </c>
    </row>
    <row r="19" spans="2:4" ht="16.5" thickBot="1">
      <c r="B19" s="2" t="s">
        <v>22</v>
      </c>
      <c r="C19" s="3" t="s">
        <v>23</v>
      </c>
      <c r="D19" s="22">
        <v>3</v>
      </c>
    </row>
    <row r="20" spans="2:4" ht="16.5" thickBot="1">
      <c r="B20" s="2" t="s">
        <v>24</v>
      </c>
      <c r="C20" s="3" t="s">
        <v>25</v>
      </c>
      <c r="D20" s="22">
        <v>5</v>
      </c>
    </row>
    <row r="21" spans="2:4" ht="16.5" thickBot="1">
      <c r="B21" s="2" t="s">
        <v>26</v>
      </c>
      <c r="C21" s="3" t="s">
        <v>27</v>
      </c>
      <c r="D21" s="22">
        <v>2</v>
      </c>
    </row>
    <row r="23" spans="2:4" ht="18.75" customHeight="1">
      <c r="B23" s="122" t="s">
        <v>28</v>
      </c>
      <c r="C23" s="122"/>
    </row>
    <row r="24" spans="2:4" ht="15.75" thickBot="1"/>
    <row r="25" spans="2:4" s="9" customFormat="1" ht="16.5" thickBot="1">
      <c r="B25" s="12" t="s">
        <v>29</v>
      </c>
      <c r="C25" s="12" t="s">
        <v>30</v>
      </c>
    </row>
    <row r="26" spans="2:4" ht="15.75" thickBot="1">
      <c r="B26" s="11">
        <v>1</v>
      </c>
      <c r="C26" s="13" t="s">
        <v>31</v>
      </c>
    </row>
    <row r="27" spans="2:4" ht="15.75" thickBot="1">
      <c r="B27" s="11">
        <v>2</v>
      </c>
      <c r="C27" s="13" t="s">
        <v>32</v>
      </c>
    </row>
    <row r="28" spans="2:4" ht="15.75" thickBot="1">
      <c r="B28" s="11">
        <v>3</v>
      </c>
      <c r="C28" s="13" t="s">
        <v>33</v>
      </c>
    </row>
    <row r="29" spans="2:4" ht="15.75" thickBot="1">
      <c r="B29" s="11">
        <v>4</v>
      </c>
      <c r="C29" s="13" t="s">
        <v>34</v>
      </c>
    </row>
    <row r="30" spans="2:4" ht="15.75" thickBot="1">
      <c r="B30" s="11">
        <v>5</v>
      </c>
      <c r="C30" s="13" t="s">
        <v>35</v>
      </c>
    </row>
    <row r="31" spans="2:4" ht="15.75" thickBot="1">
      <c r="B31" s="11">
        <v>6</v>
      </c>
      <c r="C31" s="13" t="s">
        <v>36</v>
      </c>
    </row>
    <row r="32" spans="2:4" ht="15.75" thickBot="1">
      <c r="B32" s="11">
        <v>7</v>
      </c>
      <c r="C32" s="13" t="s">
        <v>37</v>
      </c>
    </row>
    <row r="33" spans="1:8" ht="15.75" thickBot="1">
      <c r="B33" s="11">
        <v>8</v>
      </c>
      <c r="C33" s="13" t="s">
        <v>38</v>
      </c>
    </row>
    <row r="34" spans="1:8" ht="15.75" thickBot="1">
      <c r="B34" s="11">
        <v>9</v>
      </c>
      <c r="C34" s="13" t="s">
        <v>39</v>
      </c>
    </row>
    <row r="36" spans="1:8">
      <c r="B36" s="4" t="s">
        <v>40</v>
      </c>
    </row>
    <row r="37" spans="1:8" ht="15.75" thickBot="1">
      <c r="C37" s="15">
        <v>5</v>
      </c>
      <c r="D37" s="15">
        <v>1</v>
      </c>
      <c r="E37" s="15">
        <v>9</v>
      </c>
      <c r="F37" s="15">
        <v>3</v>
      </c>
      <c r="G37" s="15">
        <v>1</v>
      </c>
      <c r="H37" s="15">
        <v>7</v>
      </c>
    </row>
    <row r="38" spans="1:8" s="10" customFormat="1" ht="15.75" thickBot="1">
      <c r="B38" s="11" t="s">
        <v>41</v>
      </c>
      <c r="C38" s="11" t="s">
        <v>4</v>
      </c>
      <c r="D38" s="11" t="s">
        <v>6</v>
      </c>
      <c r="E38" s="11" t="s">
        <v>8</v>
      </c>
      <c r="F38" s="11" t="s">
        <v>10</v>
      </c>
      <c r="G38" s="11" t="s">
        <v>12</v>
      </c>
      <c r="H38" s="11" t="s">
        <v>14</v>
      </c>
    </row>
    <row r="39" spans="1:8" ht="16.5" thickBot="1">
      <c r="A39" s="6" t="s">
        <v>5</v>
      </c>
      <c r="B39" s="14" t="s">
        <v>4</v>
      </c>
      <c r="C39" s="11">
        <f>5/5</f>
        <v>1</v>
      </c>
      <c r="D39" s="11">
        <f>5/1</f>
        <v>5</v>
      </c>
      <c r="E39" s="19">
        <f>5/9</f>
        <v>0.55555555555555558</v>
      </c>
      <c r="F39" s="19">
        <f>5/3</f>
        <v>1.6666666666666667</v>
      </c>
      <c r="G39" s="11">
        <f>5/1</f>
        <v>5</v>
      </c>
      <c r="H39" s="19">
        <f>5/7</f>
        <v>0.7142857142857143</v>
      </c>
    </row>
    <row r="40" spans="1:8" ht="16.5" thickBot="1">
      <c r="A40" s="6" t="s">
        <v>7</v>
      </c>
      <c r="B40" s="14" t="s">
        <v>6</v>
      </c>
      <c r="C40" s="19">
        <f>1/5</f>
        <v>0.2</v>
      </c>
      <c r="D40" s="11">
        <f>1/1</f>
        <v>1</v>
      </c>
      <c r="E40" s="19">
        <f>1/9</f>
        <v>0.1111111111111111</v>
      </c>
      <c r="F40" s="19">
        <f>1/3</f>
        <v>0.33333333333333331</v>
      </c>
      <c r="G40" s="11">
        <v>1</v>
      </c>
      <c r="H40" s="19">
        <f>1/7</f>
        <v>0.14285714285714285</v>
      </c>
    </row>
    <row r="41" spans="1:8" ht="16.5" thickBot="1">
      <c r="A41" s="6" t="s">
        <v>9</v>
      </c>
      <c r="B41" s="14" t="s">
        <v>8</v>
      </c>
      <c r="C41" s="19">
        <f>9/5</f>
        <v>1.8</v>
      </c>
      <c r="D41" s="11">
        <f>9/1</f>
        <v>9</v>
      </c>
      <c r="E41" s="17">
        <f>9/9</f>
        <v>1</v>
      </c>
      <c r="F41" s="17">
        <f>9/3</f>
        <v>3</v>
      </c>
      <c r="G41" s="11">
        <f>9/1</f>
        <v>9</v>
      </c>
      <c r="H41" s="19">
        <f>9/7</f>
        <v>1.2857142857142858</v>
      </c>
    </row>
    <row r="42" spans="1:8" ht="28.5" customHeight="1" thickBot="1">
      <c r="A42" s="6" t="s">
        <v>11</v>
      </c>
      <c r="B42" s="14" t="s">
        <v>10</v>
      </c>
      <c r="C42" s="19">
        <f>3/5</f>
        <v>0.6</v>
      </c>
      <c r="D42" s="11">
        <f>3/1</f>
        <v>3</v>
      </c>
      <c r="E42" s="19">
        <f>3/9</f>
        <v>0.33333333333333331</v>
      </c>
      <c r="F42" s="17">
        <f>3/3</f>
        <v>1</v>
      </c>
      <c r="G42" s="11">
        <f>3/1</f>
        <v>3</v>
      </c>
      <c r="H42" s="19">
        <f>3/7</f>
        <v>0.42857142857142855</v>
      </c>
    </row>
    <row r="43" spans="1:8" ht="16.5" thickBot="1">
      <c r="A43" s="6" t="s">
        <v>13</v>
      </c>
      <c r="B43" s="14" t="s">
        <v>12</v>
      </c>
      <c r="C43" s="19">
        <f>1/5</f>
        <v>0.2</v>
      </c>
      <c r="D43" s="11">
        <f>1/1</f>
        <v>1</v>
      </c>
      <c r="E43" s="19">
        <f>1/9</f>
        <v>0.1111111111111111</v>
      </c>
      <c r="F43" s="19">
        <f>1/3</f>
        <v>0.33333333333333331</v>
      </c>
      <c r="G43" s="11">
        <f>1/1</f>
        <v>1</v>
      </c>
      <c r="H43" s="19">
        <f>1/7</f>
        <v>0.14285714285714285</v>
      </c>
    </row>
    <row r="44" spans="1:8" ht="16.5" thickBot="1">
      <c r="A44" s="6" t="s">
        <v>15</v>
      </c>
      <c r="B44" s="14" t="s">
        <v>14</v>
      </c>
      <c r="C44" s="19">
        <f>7/5</f>
        <v>1.4</v>
      </c>
      <c r="D44" s="11">
        <f>7/1</f>
        <v>7</v>
      </c>
      <c r="E44" s="19">
        <f>7/9</f>
        <v>0.77777777777777779</v>
      </c>
      <c r="F44" s="19">
        <f>7/3</f>
        <v>2.3333333333333335</v>
      </c>
      <c r="G44" s="11">
        <f>7/1</f>
        <v>7</v>
      </c>
      <c r="H44" s="17">
        <f>7/7</f>
        <v>1</v>
      </c>
    </row>
    <row r="45" spans="1:8" ht="16.5" thickBot="1">
      <c r="A45" s="23"/>
      <c r="B45" s="25" t="s">
        <v>44</v>
      </c>
      <c r="C45" s="26">
        <f>SUM(C39:C44)</f>
        <v>5.2</v>
      </c>
      <c r="D45" s="26">
        <f t="shared" ref="D45:H45" si="0">SUM(D39:D44)</f>
        <v>26</v>
      </c>
      <c r="E45" s="26">
        <f t="shared" si="0"/>
        <v>2.8888888888888888</v>
      </c>
      <c r="F45" s="26">
        <f t="shared" si="0"/>
        <v>8.6666666666666661</v>
      </c>
      <c r="G45" s="26">
        <f t="shared" si="0"/>
        <v>26</v>
      </c>
      <c r="H45" s="26">
        <f t="shared" si="0"/>
        <v>3.7142857142857144</v>
      </c>
    </row>
    <row r="48" spans="1:8">
      <c r="B48" s="4" t="s">
        <v>43</v>
      </c>
    </row>
    <row r="50" spans="1:7" ht="15.75" thickBot="1">
      <c r="B50" s="4" t="s">
        <v>45</v>
      </c>
    </row>
    <row r="51" spans="1:7" ht="15.75" thickBot="1">
      <c r="B51" s="11" t="s">
        <v>41</v>
      </c>
      <c r="C51" s="11" t="s">
        <v>47</v>
      </c>
      <c r="D51" s="11" t="s">
        <v>48</v>
      </c>
      <c r="E51" s="11" t="s">
        <v>49</v>
      </c>
      <c r="F51" s="11" t="s">
        <v>50</v>
      </c>
      <c r="G51" s="11" t="s">
        <v>51</v>
      </c>
    </row>
    <row r="52" spans="1:7" ht="15" customHeight="1" thickBot="1">
      <c r="A52" s="3" t="s">
        <v>19</v>
      </c>
      <c r="B52" s="14" t="s">
        <v>47</v>
      </c>
      <c r="C52" s="16">
        <v>1</v>
      </c>
      <c r="D52" s="16">
        <f>3/4</f>
        <v>0.75</v>
      </c>
      <c r="E52" s="19">
        <v>1.5</v>
      </c>
      <c r="F52" s="19">
        <f>3/5</f>
        <v>0.6</v>
      </c>
      <c r="G52" s="19">
        <f>3/2</f>
        <v>1.5</v>
      </c>
    </row>
    <row r="53" spans="1:7" ht="16.5" thickBot="1">
      <c r="A53" s="3" t="s">
        <v>21</v>
      </c>
      <c r="B53" s="14" t="s">
        <v>48</v>
      </c>
      <c r="C53" s="19">
        <f>4/3</f>
        <v>1.3333333333333333</v>
      </c>
      <c r="D53" s="16">
        <v>1</v>
      </c>
      <c r="E53" s="16">
        <v>2</v>
      </c>
      <c r="F53" s="19">
        <f>4/5</f>
        <v>0.8</v>
      </c>
      <c r="G53" s="16">
        <f>4/2</f>
        <v>2</v>
      </c>
    </row>
    <row r="54" spans="1:7" ht="16.5" thickBot="1">
      <c r="A54" s="3" t="s">
        <v>23</v>
      </c>
      <c r="B54" s="14" t="s">
        <v>49</v>
      </c>
      <c r="C54" s="19">
        <v>0.66666666666666663</v>
      </c>
      <c r="D54" s="19">
        <f>2/4</f>
        <v>0.5</v>
      </c>
      <c r="E54" s="16">
        <v>1</v>
      </c>
      <c r="F54" s="19">
        <f>2/5</f>
        <v>0.4</v>
      </c>
      <c r="G54" s="16">
        <f>2/2</f>
        <v>1</v>
      </c>
    </row>
    <row r="55" spans="1:7" ht="16.5" thickBot="1">
      <c r="A55" s="3" t="s">
        <v>25</v>
      </c>
      <c r="B55" s="14" t="s">
        <v>50</v>
      </c>
      <c r="C55" s="19">
        <v>1.6666666666666667</v>
      </c>
      <c r="D55" s="16">
        <f>5/4</f>
        <v>1.25</v>
      </c>
      <c r="E55" s="19">
        <v>2.5</v>
      </c>
      <c r="F55" s="16">
        <v>1</v>
      </c>
      <c r="G55" s="19">
        <f>5/2</f>
        <v>2.5</v>
      </c>
    </row>
    <row r="56" spans="1:7" ht="16.5" thickBot="1">
      <c r="A56" s="3" t="s">
        <v>27</v>
      </c>
      <c r="B56" s="14" t="s">
        <v>51</v>
      </c>
      <c r="C56" s="19">
        <v>0.66666666666666663</v>
      </c>
      <c r="D56" s="19">
        <f>2/4</f>
        <v>0.5</v>
      </c>
      <c r="E56" s="16">
        <v>1</v>
      </c>
      <c r="F56" s="19">
        <f>2/5</f>
        <v>0.4</v>
      </c>
      <c r="G56" s="16">
        <v>1</v>
      </c>
    </row>
    <row r="57" spans="1:7" ht="16.5" thickBot="1">
      <c r="B57" s="25" t="s">
        <v>44</v>
      </c>
      <c r="C57" s="26">
        <f>SUM(C52:C56)</f>
        <v>5.333333333333333</v>
      </c>
      <c r="D57" s="27">
        <f t="shared" ref="D57:G57" si="1">SUM(D52:D56)</f>
        <v>4</v>
      </c>
      <c r="E57" s="27">
        <f t="shared" si="1"/>
        <v>8</v>
      </c>
      <c r="F57" s="27">
        <f t="shared" si="1"/>
        <v>3.1999999999999997</v>
      </c>
      <c r="G57" s="27">
        <f t="shared" si="1"/>
        <v>8</v>
      </c>
    </row>
    <row r="58" spans="1:7">
      <c r="C58" s="24"/>
      <c r="D58" s="24"/>
      <c r="E58" s="24"/>
      <c r="F58" s="24"/>
      <c r="G58" s="24"/>
    </row>
    <row r="60" spans="1:7" ht="15.75" thickBot="1">
      <c r="B60" s="4" t="s">
        <v>54</v>
      </c>
    </row>
    <row r="61" spans="1:7" ht="15.75" thickBot="1">
      <c r="B61" s="11" t="s">
        <v>41</v>
      </c>
      <c r="C61" s="11" t="s">
        <v>52</v>
      </c>
      <c r="D61" s="11" t="s">
        <v>48</v>
      </c>
      <c r="E61" s="11" t="s">
        <v>55</v>
      </c>
      <c r="F61" s="11" t="s">
        <v>50</v>
      </c>
      <c r="G61" s="11" t="s">
        <v>51</v>
      </c>
    </row>
    <row r="62" spans="1:7" ht="15.75" customHeight="1" thickBot="1">
      <c r="A62" s="3" t="s">
        <v>19</v>
      </c>
      <c r="B62" s="14" t="s">
        <v>52</v>
      </c>
      <c r="C62" s="29">
        <f>4/4</f>
        <v>1</v>
      </c>
      <c r="D62" s="16">
        <f>4/4</f>
        <v>1</v>
      </c>
      <c r="E62" s="19">
        <f>4/3</f>
        <v>1.3333333333333333</v>
      </c>
      <c r="F62" s="19">
        <f>4/5</f>
        <v>0.8</v>
      </c>
      <c r="G62" s="16">
        <f>4/2</f>
        <v>2</v>
      </c>
    </row>
    <row r="63" spans="1:7" ht="16.5" thickBot="1">
      <c r="A63" s="3" t="s">
        <v>21</v>
      </c>
      <c r="B63" s="14" t="s">
        <v>48</v>
      </c>
      <c r="C63" s="16">
        <f>4/4</f>
        <v>1</v>
      </c>
      <c r="D63" s="16">
        <f>4/4</f>
        <v>1</v>
      </c>
      <c r="E63" s="19">
        <f>4/3</f>
        <v>1.3333333333333333</v>
      </c>
      <c r="F63" s="19">
        <f>4/5</f>
        <v>0.8</v>
      </c>
      <c r="G63" s="16">
        <v>2</v>
      </c>
    </row>
    <row r="64" spans="1:7" ht="16.5" thickBot="1">
      <c r="A64" s="3" t="s">
        <v>23</v>
      </c>
      <c r="B64" s="14" t="s">
        <v>55</v>
      </c>
      <c r="C64" s="16">
        <f>3/4</f>
        <v>0.75</v>
      </c>
      <c r="D64" s="16">
        <f>3/4</f>
        <v>0.75</v>
      </c>
      <c r="E64" s="16">
        <f>3/3</f>
        <v>1</v>
      </c>
      <c r="F64" s="19">
        <f>3/5</f>
        <v>0.6</v>
      </c>
      <c r="G64" s="19">
        <f>3/2</f>
        <v>1.5</v>
      </c>
    </row>
    <row r="65" spans="1:7" ht="16.5" thickBot="1">
      <c r="A65" s="3" t="s">
        <v>25</v>
      </c>
      <c r="B65" s="14" t="s">
        <v>50</v>
      </c>
      <c r="C65" s="16">
        <f>5/4</f>
        <v>1.25</v>
      </c>
      <c r="D65" s="16">
        <f>5/4</f>
        <v>1.25</v>
      </c>
      <c r="E65" s="19">
        <f>5/3</f>
        <v>1.6666666666666667</v>
      </c>
      <c r="F65" s="16">
        <f>5/5</f>
        <v>1</v>
      </c>
      <c r="G65" s="19">
        <f>5/2</f>
        <v>2.5</v>
      </c>
    </row>
    <row r="66" spans="1:7" ht="16.5" thickBot="1">
      <c r="A66" s="3" t="s">
        <v>27</v>
      </c>
      <c r="B66" s="14" t="s">
        <v>51</v>
      </c>
      <c r="C66" s="16">
        <f>2/4</f>
        <v>0.5</v>
      </c>
      <c r="D66" s="16">
        <f>2/4</f>
        <v>0.5</v>
      </c>
      <c r="E66" s="19">
        <f>2/3</f>
        <v>0.66666666666666663</v>
      </c>
      <c r="F66" s="19">
        <f>2/5</f>
        <v>0.4</v>
      </c>
      <c r="G66" s="17">
        <f>2/2</f>
        <v>1</v>
      </c>
    </row>
    <row r="67" spans="1:7" ht="16.5" thickBot="1">
      <c r="B67" s="25" t="s">
        <v>44</v>
      </c>
      <c r="C67" s="27">
        <f>SUM(C62:C65)</f>
        <v>4</v>
      </c>
      <c r="D67" s="27">
        <f t="shared" ref="D67:G67" si="2">SUM(D62:D65)</f>
        <v>4</v>
      </c>
      <c r="E67" s="28">
        <f t="shared" si="2"/>
        <v>5.333333333333333</v>
      </c>
      <c r="F67" s="27">
        <f t="shared" si="2"/>
        <v>3.2</v>
      </c>
      <c r="G67" s="27">
        <f t="shared" si="2"/>
        <v>8</v>
      </c>
    </row>
    <row r="70" spans="1:7" ht="15.75" thickBot="1">
      <c r="B70" s="4" t="s">
        <v>56</v>
      </c>
    </row>
    <row r="71" spans="1:7" ht="16.5" thickBot="1">
      <c r="B71" s="11" t="s">
        <v>41</v>
      </c>
      <c r="C71" s="11" t="s">
        <v>47</v>
      </c>
      <c r="D71" s="14" t="s">
        <v>57</v>
      </c>
      <c r="E71" s="14" t="s">
        <v>49</v>
      </c>
      <c r="F71" s="14" t="s">
        <v>58</v>
      </c>
      <c r="G71" s="14" t="s">
        <v>59</v>
      </c>
    </row>
    <row r="72" spans="1:7" ht="15.75" customHeight="1" thickBot="1">
      <c r="A72" s="3" t="s">
        <v>19</v>
      </c>
      <c r="B72" s="14" t="s">
        <v>47</v>
      </c>
      <c r="C72" s="29">
        <f>3/3</f>
        <v>1</v>
      </c>
      <c r="D72" s="16">
        <f>3/5</f>
        <v>0.6</v>
      </c>
      <c r="E72" s="19">
        <f>3/2</f>
        <v>1.5</v>
      </c>
      <c r="F72" s="19">
        <f>3/4</f>
        <v>0.75</v>
      </c>
      <c r="G72" s="16">
        <f>3/3</f>
        <v>1</v>
      </c>
    </row>
    <row r="73" spans="1:7" ht="16.5" thickBot="1">
      <c r="A73" s="3" t="s">
        <v>21</v>
      </c>
      <c r="B73" s="14" t="s">
        <v>57</v>
      </c>
      <c r="C73" s="19">
        <f>5/3</f>
        <v>1.6666666666666667</v>
      </c>
      <c r="D73" s="16">
        <f>5/5</f>
        <v>1</v>
      </c>
      <c r="E73" s="19">
        <f>5/2</f>
        <v>2.5</v>
      </c>
      <c r="F73" s="19">
        <f>5/4</f>
        <v>1.25</v>
      </c>
      <c r="G73" s="19">
        <f>5/3</f>
        <v>1.6666666666666667</v>
      </c>
    </row>
    <row r="74" spans="1:7" ht="16.5" thickBot="1">
      <c r="A74" s="3" t="s">
        <v>23</v>
      </c>
      <c r="B74" s="14" t="s">
        <v>49</v>
      </c>
      <c r="C74" s="19">
        <f>2/3</f>
        <v>0.66666666666666663</v>
      </c>
      <c r="D74" s="16">
        <f>2/5</f>
        <v>0.4</v>
      </c>
      <c r="E74" s="16">
        <f>2/2</f>
        <v>1</v>
      </c>
      <c r="F74" s="19">
        <f>2/4</f>
        <v>0.5</v>
      </c>
      <c r="G74" s="19">
        <f>2/3</f>
        <v>0.66666666666666663</v>
      </c>
    </row>
    <row r="75" spans="1:7" ht="16.5" thickBot="1">
      <c r="A75" s="3" t="s">
        <v>25</v>
      </c>
      <c r="B75" s="14" t="s">
        <v>58</v>
      </c>
      <c r="C75" s="19">
        <f>4/3</f>
        <v>1.3333333333333333</v>
      </c>
      <c r="D75" s="16">
        <f>4/5</f>
        <v>0.8</v>
      </c>
      <c r="E75" s="19">
        <f>4/2</f>
        <v>2</v>
      </c>
      <c r="F75" s="16">
        <f>4/4</f>
        <v>1</v>
      </c>
      <c r="G75" s="19">
        <f>4/3</f>
        <v>1.3333333333333333</v>
      </c>
    </row>
    <row r="76" spans="1:7" ht="16.5" thickBot="1">
      <c r="A76" s="3" t="s">
        <v>27</v>
      </c>
      <c r="B76" s="14" t="s">
        <v>59</v>
      </c>
      <c r="C76" s="16">
        <f>3/3</f>
        <v>1</v>
      </c>
      <c r="D76" s="16">
        <f>3/5</f>
        <v>0.6</v>
      </c>
      <c r="E76" s="19">
        <f>3/2</f>
        <v>1.5</v>
      </c>
      <c r="F76" s="19">
        <f>3/4</f>
        <v>0.75</v>
      </c>
      <c r="G76" s="17">
        <f>3/3</f>
        <v>1</v>
      </c>
    </row>
    <row r="77" spans="1:7" ht="16.5" thickBot="1">
      <c r="B77" s="25" t="s">
        <v>44</v>
      </c>
      <c r="C77" s="26">
        <f>SUM(C71:C76)</f>
        <v>5.666666666666667</v>
      </c>
      <c r="D77" s="27">
        <f>SUM(D71:D76)</f>
        <v>3.4</v>
      </c>
      <c r="E77" s="27">
        <f>SUM(E72:E76)</f>
        <v>8.5</v>
      </c>
      <c r="F77" s="26">
        <f>SUM(F72:F76)</f>
        <v>4.25</v>
      </c>
      <c r="G77" s="26">
        <f>SUM(G72:G76)</f>
        <v>5.666666666666667</v>
      </c>
    </row>
    <row r="80" spans="1:7" ht="15.75" thickBot="1">
      <c r="B80" s="4" t="s">
        <v>63</v>
      </c>
    </row>
    <row r="81" spans="2:7" ht="16.5" thickBot="1">
      <c r="B81" s="11" t="s">
        <v>41</v>
      </c>
      <c r="C81" s="14" t="s">
        <v>60</v>
      </c>
      <c r="D81" s="14" t="s">
        <v>61</v>
      </c>
      <c r="E81" s="14" t="s">
        <v>62</v>
      </c>
      <c r="F81" s="14" t="s">
        <v>50</v>
      </c>
      <c r="G81" s="14" t="s">
        <v>59</v>
      </c>
    </row>
    <row r="82" spans="2:7" ht="16.5" thickBot="1">
      <c r="B82" s="14" t="s">
        <v>60</v>
      </c>
      <c r="C82" s="29">
        <f>2/2</f>
        <v>1</v>
      </c>
      <c r="D82" s="29">
        <f>2/2</f>
        <v>1</v>
      </c>
      <c r="E82" s="19">
        <f>2/4</f>
        <v>0.5</v>
      </c>
      <c r="F82" s="19">
        <f>2/5</f>
        <v>0.4</v>
      </c>
      <c r="G82" s="19">
        <f>2/3</f>
        <v>0.66666666666666663</v>
      </c>
    </row>
    <row r="83" spans="2:7" ht="16.5" thickBot="1">
      <c r="B83" s="14" t="s">
        <v>61</v>
      </c>
      <c r="C83" s="17">
        <f>2/2</f>
        <v>1</v>
      </c>
      <c r="D83" s="17">
        <f>2/2</f>
        <v>1</v>
      </c>
      <c r="E83" s="19">
        <f>2/4</f>
        <v>0.5</v>
      </c>
      <c r="F83" s="19">
        <f>2/5</f>
        <v>0.4</v>
      </c>
      <c r="G83" s="19">
        <f>2/3</f>
        <v>0.66666666666666663</v>
      </c>
    </row>
    <row r="84" spans="2:7" ht="16.5" thickBot="1">
      <c r="B84" s="14" t="s">
        <v>62</v>
      </c>
      <c r="C84" s="17">
        <f>4/2</f>
        <v>2</v>
      </c>
      <c r="D84" s="17">
        <f>4/2</f>
        <v>2</v>
      </c>
      <c r="E84" s="16">
        <f>4/4</f>
        <v>1</v>
      </c>
      <c r="F84" s="19">
        <f>4/5</f>
        <v>0.8</v>
      </c>
      <c r="G84" s="19">
        <f>4/3</f>
        <v>1.3333333333333333</v>
      </c>
    </row>
    <row r="85" spans="2:7" ht="16.5" thickBot="1">
      <c r="B85" s="14" t="s">
        <v>50</v>
      </c>
      <c r="C85" s="19">
        <f>5/2</f>
        <v>2.5</v>
      </c>
      <c r="D85" s="19">
        <f>5/2</f>
        <v>2.5</v>
      </c>
      <c r="E85" s="19">
        <f>5/4</f>
        <v>1.25</v>
      </c>
      <c r="F85" s="16">
        <f>5/5</f>
        <v>1</v>
      </c>
      <c r="G85" s="19">
        <f>5/3</f>
        <v>1.6666666666666667</v>
      </c>
    </row>
    <row r="86" spans="2:7" ht="16.5" thickBot="1">
      <c r="B86" s="14" t="s">
        <v>59</v>
      </c>
      <c r="C86" s="16">
        <f>3/2</f>
        <v>1.5</v>
      </c>
      <c r="D86" s="16">
        <f>3/2</f>
        <v>1.5</v>
      </c>
      <c r="E86" s="19">
        <f>3/4</f>
        <v>0.75</v>
      </c>
      <c r="F86" s="19">
        <f>3/5</f>
        <v>0.6</v>
      </c>
      <c r="G86" s="17">
        <f>3/3</f>
        <v>1</v>
      </c>
    </row>
    <row r="87" spans="2:7" ht="16.5" thickBot="1">
      <c r="B87" s="25" t="s">
        <v>44</v>
      </c>
      <c r="C87" s="26">
        <f>SUM(C81:C86)</f>
        <v>8</v>
      </c>
      <c r="D87" s="26">
        <f t="shared" ref="D87:G87" si="3">SUM(D81:D86)</f>
        <v>8</v>
      </c>
      <c r="E87" s="26">
        <f t="shared" si="3"/>
        <v>4</v>
      </c>
      <c r="F87" s="26">
        <f t="shared" si="3"/>
        <v>3.2</v>
      </c>
      <c r="G87" s="26">
        <f t="shared" si="3"/>
        <v>5.333333333333333</v>
      </c>
    </row>
    <row r="90" spans="2:7" ht="15.75" thickBot="1">
      <c r="B90" s="4" t="s">
        <v>64</v>
      </c>
    </row>
    <row r="91" spans="2:7" ht="16.5" thickBot="1">
      <c r="B91" s="11" t="s">
        <v>41</v>
      </c>
      <c r="C91" s="14" t="s">
        <v>52</v>
      </c>
      <c r="D91" s="14" t="s">
        <v>57</v>
      </c>
      <c r="E91" s="14" t="s">
        <v>62</v>
      </c>
      <c r="F91" s="14" t="s">
        <v>53</v>
      </c>
      <c r="G91" s="14" t="s">
        <v>51</v>
      </c>
    </row>
    <row r="92" spans="2:7" ht="16.5" thickBot="1">
      <c r="B92" s="14" t="s">
        <v>52</v>
      </c>
      <c r="C92" s="29">
        <f>4/4</f>
        <v>1</v>
      </c>
      <c r="D92" s="29">
        <f>4/5</f>
        <v>0.8</v>
      </c>
      <c r="E92" s="19">
        <f>4/4</f>
        <v>1</v>
      </c>
      <c r="F92" s="19">
        <f>4/3</f>
        <v>1.3333333333333333</v>
      </c>
      <c r="G92" s="19">
        <f>4/2</f>
        <v>2</v>
      </c>
    </row>
    <row r="93" spans="2:7" ht="16.5" thickBot="1">
      <c r="B93" s="14" t="s">
        <v>57</v>
      </c>
      <c r="C93" s="19">
        <f>5/4</f>
        <v>1.25</v>
      </c>
      <c r="D93" s="17">
        <f>5/5</f>
        <v>1</v>
      </c>
      <c r="E93" s="19">
        <f>5/4</f>
        <v>1.25</v>
      </c>
      <c r="F93" s="19">
        <f>5/3</f>
        <v>1.6666666666666667</v>
      </c>
      <c r="G93" s="19">
        <f>5/2</f>
        <v>2.5</v>
      </c>
    </row>
    <row r="94" spans="2:7" ht="16.5" thickBot="1">
      <c r="B94" s="14" t="s">
        <v>62</v>
      </c>
      <c r="C94" s="17">
        <f>4/4</f>
        <v>1</v>
      </c>
      <c r="D94" s="19">
        <f>4/5</f>
        <v>0.8</v>
      </c>
      <c r="E94" s="16">
        <f>4/4</f>
        <v>1</v>
      </c>
      <c r="F94" s="19">
        <f>4/3</f>
        <v>1.3333333333333333</v>
      </c>
      <c r="G94" s="19">
        <f>4/2</f>
        <v>2</v>
      </c>
    </row>
    <row r="95" spans="2:7" ht="16.5" thickBot="1">
      <c r="B95" s="14" t="s">
        <v>53</v>
      </c>
      <c r="C95" s="19">
        <f>3/4</f>
        <v>0.75</v>
      </c>
      <c r="D95" s="19">
        <f>3/5</f>
        <v>0.6</v>
      </c>
      <c r="E95" s="19">
        <f>3/4</f>
        <v>0.75</v>
      </c>
      <c r="F95" s="16">
        <f>3/3</f>
        <v>1</v>
      </c>
      <c r="G95" s="19">
        <f>3/2</f>
        <v>1.5</v>
      </c>
    </row>
    <row r="96" spans="2:7" ht="16.5" thickBot="1">
      <c r="B96" s="14" t="s">
        <v>51</v>
      </c>
      <c r="C96" s="16">
        <f>2/4</f>
        <v>0.5</v>
      </c>
      <c r="D96" s="16">
        <f>2/5</f>
        <v>0.4</v>
      </c>
      <c r="E96" s="19">
        <f>2/4</f>
        <v>0.5</v>
      </c>
      <c r="F96" s="19">
        <f>2/3</f>
        <v>0.66666666666666663</v>
      </c>
      <c r="G96" s="17">
        <f>2/2</f>
        <v>1</v>
      </c>
    </row>
    <row r="97" spans="2:7" ht="16.5" thickBot="1">
      <c r="B97" s="25" t="s">
        <v>44</v>
      </c>
      <c r="C97" s="26">
        <f>SUM(C91:C96)</f>
        <v>4.5</v>
      </c>
      <c r="D97" s="26">
        <f t="shared" ref="D97" si="4">SUM(D91:D96)</f>
        <v>3.6</v>
      </c>
      <c r="E97" s="26">
        <f t="shared" ref="E97" si="5">SUM(E91:E96)</f>
        <v>4.5</v>
      </c>
      <c r="F97" s="26">
        <f t="shared" ref="F97" si="6">SUM(F91:F96)</f>
        <v>6</v>
      </c>
      <c r="G97" s="26">
        <f t="shared" ref="G97" si="7">SUM(G91:G96)</f>
        <v>9</v>
      </c>
    </row>
    <row r="100" spans="2:7" ht="15.75" thickBot="1">
      <c r="B100" s="4" t="s">
        <v>65</v>
      </c>
    </row>
    <row r="101" spans="2:7" ht="16.5" thickBot="1">
      <c r="B101" s="11" t="s">
        <v>41</v>
      </c>
      <c r="C101" s="14" t="s">
        <v>52</v>
      </c>
      <c r="D101" s="14" t="s">
        <v>57</v>
      </c>
      <c r="E101" s="14" t="s">
        <v>62</v>
      </c>
      <c r="F101" s="14" t="s">
        <v>66</v>
      </c>
      <c r="G101" s="14" t="s">
        <v>59</v>
      </c>
    </row>
    <row r="102" spans="2:7" ht="16.5" thickBot="1">
      <c r="B102" s="14" t="s">
        <v>52</v>
      </c>
      <c r="C102" s="16">
        <f>4/4</f>
        <v>1</v>
      </c>
      <c r="D102" s="16">
        <f>4/5</f>
        <v>0.8</v>
      </c>
      <c r="E102" s="16">
        <f t="shared" ref="E102" si="8">4/4</f>
        <v>1</v>
      </c>
      <c r="F102" s="16">
        <f>4/2</f>
        <v>2</v>
      </c>
      <c r="G102" s="19">
        <f>4/3</f>
        <v>1.3333333333333333</v>
      </c>
    </row>
    <row r="103" spans="2:7" ht="16.5" thickBot="1">
      <c r="B103" s="14" t="s">
        <v>57</v>
      </c>
      <c r="C103" s="19">
        <f>5/4</f>
        <v>1.25</v>
      </c>
      <c r="D103" s="17">
        <f>5/5</f>
        <v>1</v>
      </c>
      <c r="E103" s="19">
        <f>5/4</f>
        <v>1.25</v>
      </c>
      <c r="F103" s="19">
        <f>5/2</f>
        <v>2.5</v>
      </c>
      <c r="G103" s="19">
        <f>5/3</f>
        <v>1.6666666666666667</v>
      </c>
    </row>
    <row r="104" spans="2:7" ht="16.5" thickBot="1">
      <c r="B104" s="14" t="s">
        <v>62</v>
      </c>
      <c r="C104" s="17">
        <f>4/4</f>
        <v>1</v>
      </c>
      <c r="D104" s="19">
        <f>4/5</f>
        <v>0.8</v>
      </c>
      <c r="E104" s="16">
        <f>4/4</f>
        <v>1</v>
      </c>
      <c r="F104" s="19">
        <f>4/2</f>
        <v>2</v>
      </c>
      <c r="G104" s="19">
        <f>4/3</f>
        <v>1.3333333333333333</v>
      </c>
    </row>
    <row r="105" spans="2:7" ht="16.5" thickBot="1">
      <c r="B105" s="14" t="s">
        <v>66</v>
      </c>
      <c r="C105" s="19">
        <f>2/4</f>
        <v>0.5</v>
      </c>
      <c r="D105" s="19">
        <f>2/5</f>
        <v>0.4</v>
      </c>
      <c r="E105" s="19">
        <f>2/4</f>
        <v>0.5</v>
      </c>
      <c r="F105" s="16">
        <f>2/2</f>
        <v>1</v>
      </c>
      <c r="G105" s="19">
        <f>2/3</f>
        <v>0.66666666666666663</v>
      </c>
    </row>
    <row r="106" spans="2:7" ht="16.5" thickBot="1">
      <c r="B106" s="14" t="s">
        <v>59</v>
      </c>
      <c r="C106" s="16">
        <f>3/4</f>
        <v>0.75</v>
      </c>
      <c r="D106" s="16">
        <f>3/5</f>
        <v>0.6</v>
      </c>
      <c r="E106" s="19">
        <f>3/4</f>
        <v>0.75</v>
      </c>
      <c r="F106" s="19">
        <f>3/2</f>
        <v>1.5</v>
      </c>
      <c r="G106" s="17">
        <f>3/3</f>
        <v>1</v>
      </c>
    </row>
    <row r="107" spans="2:7" ht="16.5" thickBot="1">
      <c r="B107" s="25" t="s">
        <v>44</v>
      </c>
      <c r="C107" s="26">
        <f>SUM(C101:C106)</f>
        <v>4.5</v>
      </c>
      <c r="D107" s="26">
        <f t="shared" ref="D107" si="9">SUM(D101:D106)</f>
        <v>3.6</v>
      </c>
      <c r="E107" s="26">
        <f t="shared" ref="E107" si="10">SUM(E101:E106)</f>
        <v>4.5</v>
      </c>
      <c r="F107" s="26">
        <f t="shared" ref="F107" si="11">SUM(F101:F106)</f>
        <v>9</v>
      </c>
      <c r="G107" s="26">
        <f t="shared" ref="G107" si="12">SUM(G101:G106)</f>
        <v>6</v>
      </c>
    </row>
    <row r="112" spans="2:7">
      <c r="B112" s="4" t="s">
        <v>40</v>
      </c>
    </row>
    <row r="113" spans="1:14" ht="15.75" thickBot="1">
      <c r="A113" s="4" t="s">
        <v>78</v>
      </c>
      <c r="C113" s="15">
        <v>5</v>
      </c>
      <c r="D113" s="15">
        <v>1</v>
      </c>
      <c r="E113" s="15">
        <v>9</v>
      </c>
      <c r="F113" s="15">
        <v>3</v>
      </c>
      <c r="G113" s="15">
        <v>1</v>
      </c>
      <c r="H113" s="15">
        <v>7</v>
      </c>
    </row>
    <row r="114" spans="1:14" ht="15.75" thickBot="1">
      <c r="A114" s="10"/>
      <c r="B114" s="11" t="s">
        <v>41</v>
      </c>
      <c r="C114" s="11" t="s">
        <v>4</v>
      </c>
      <c r="D114" s="11" t="s">
        <v>6</v>
      </c>
      <c r="E114" s="11" t="s">
        <v>8</v>
      </c>
      <c r="F114" s="11" t="s">
        <v>10</v>
      </c>
      <c r="G114" s="11" t="s">
        <v>12</v>
      </c>
      <c r="H114" s="11" t="s">
        <v>14</v>
      </c>
    </row>
    <row r="115" spans="1:14" ht="16.5" thickBot="1">
      <c r="A115" s="6" t="s">
        <v>5</v>
      </c>
      <c r="B115" s="14" t="s">
        <v>4</v>
      </c>
      <c r="C115" s="11">
        <f>5/5</f>
        <v>1</v>
      </c>
      <c r="D115" s="11">
        <f>5/1</f>
        <v>5</v>
      </c>
      <c r="E115" s="19">
        <f>5/9</f>
        <v>0.55555555555555558</v>
      </c>
      <c r="F115" s="19">
        <f>5/3</f>
        <v>1.6666666666666667</v>
      </c>
      <c r="G115" s="11">
        <f>5/1</f>
        <v>5</v>
      </c>
      <c r="H115" s="19">
        <f>5/7</f>
        <v>0.7142857142857143</v>
      </c>
      <c r="I115" s="11">
        <f>5/5</f>
        <v>1</v>
      </c>
      <c r="J115" s="11">
        <f>5/1</f>
        <v>5</v>
      </c>
      <c r="K115" s="19">
        <f>5/9</f>
        <v>0.55555555555555558</v>
      </c>
      <c r="L115" s="19">
        <f>5/3</f>
        <v>1.6666666666666667</v>
      </c>
      <c r="M115" s="11">
        <f>5/1</f>
        <v>5</v>
      </c>
      <c r="N115" s="19">
        <f>5/7</f>
        <v>0.7142857142857143</v>
      </c>
    </row>
    <row r="116" spans="1:14" ht="16.5" thickBot="1">
      <c r="A116" s="6" t="s">
        <v>7</v>
      </c>
      <c r="B116" s="14" t="s">
        <v>6</v>
      </c>
      <c r="C116" s="19">
        <f>1/5</f>
        <v>0.2</v>
      </c>
      <c r="D116" s="11">
        <f>1/1</f>
        <v>1</v>
      </c>
      <c r="E116" s="19">
        <f>1/9</f>
        <v>0.1111111111111111</v>
      </c>
      <c r="F116" s="19">
        <f>1/3</f>
        <v>0.33333333333333331</v>
      </c>
      <c r="G116" s="11">
        <v>1</v>
      </c>
      <c r="H116" s="19">
        <f>1/7</f>
        <v>0.14285714285714285</v>
      </c>
      <c r="I116" s="19">
        <f>1/5</f>
        <v>0.2</v>
      </c>
      <c r="J116" s="11">
        <f>1/1</f>
        <v>1</v>
      </c>
      <c r="K116" s="19">
        <f>1/9</f>
        <v>0.1111111111111111</v>
      </c>
      <c r="L116" s="19">
        <f>1/3</f>
        <v>0.33333333333333331</v>
      </c>
      <c r="M116" s="11">
        <v>1</v>
      </c>
      <c r="N116" s="19">
        <f>1/7</f>
        <v>0.14285714285714285</v>
      </c>
    </row>
    <row r="117" spans="1:14" ht="16.5" thickBot="1">
      <c r="A117" s="6" t="s">
        <v>9</v>
      </c>
      <c r="B117" s="14" t="s">
        <v>8</v>
      </c>
      <c r="C117" s="19">
        <f>9/5</f>
        <v>1.8</v>
      </c>
      <c r="D117" s="11">
        <f>9/1</f>
        <v>9</v>
      </c>
      <c r="E117" s="17">
        <f>9/9</f>
        <v>1</v>
      </c>
      <c r="F117" s="17">
        <f>9/3</f>
        <v>3</v>
      </c>
      <c r="G117" s="11">
        <f>9/1</f>
        <v>9</v>
      </c>
      <c r="H117" s="19">
        <f>9/7</f>
        <v>1.2857142857142858</v>
      </c>
      <c r="I117" s="19">
        <f>9/5</f>
        <v>1.8</v>
      </c>
      <c r="J117" s="11">
        <f>9/1</f>
        <v>9</v>
      </c>
      <c r="K117" s="17">
        <f>9/9</f>
        <v>1</v>
      </c>
      <c r="L117" s="17">
        <f>9/3</f>
        <v>3</v>
      </c>
      <c r="M117" s="11">
        <f>9/1</f>
        <v>9</v>
      </c>
      <c r="N117" s="19">
        <f>9/7</f>
        <v>1.2857142857142858</v>
      </c>
    </row>
    <row r="118" spans="1:14" ht="16.5" thickBot="1">
      <c r="A118" s="6" t="s">
        <v>11</v>
      </c>
      <c r="B118" s="14" t="s">
        <v>10</v>
      </c>
      <c r="C118" s="19">
        <f>3/5</f>
        <v>0.6</v>
      </c>
      <c r="D118" s="11">
        <f>3/1</f>
        <v>3</v>
      </c>
      <c r="E118" s="19">
        <f>3/9</f>
        <v>0.33333333333333331</v>
      </c>
      <c r="F118" s="17">
        <f>3/3</f>
        <v>1</v>
      </c>
      <c r="G118" s="11">
        <f>3/1</f>
        <v>3</v>
      </c>
      <c r="H118" s="19">
        <f>3/7</f>
        <v>0.42857142857142855</v>
      </c>
      <c r="I118" s="19">
        <f>3/5</f>
        <v>0.6</v>
      </c>
      <c r="J118" s="11">
        <f>3/1</f>
        <v>3</v>
      </c>
      <c r="K118" s="19">
        <f>3/9</f>
        <v>0.33333333333333331</v>
      </c>
      <c r="L118" s="17">
        <f>3/3</f>
        <v>1</v>
      </c>
      <c r="M118" s="11">
        <f>3/1</f>
        <v>3</v>
      </c>
      <c r="N118" s="19">
        <f>3/7</f>
        <v>0.42857142857142855</v>
      </c>
    </row>
    <row r="119" spans="1:14" ht="16.5" thickBot="1">
      <c r="A119" s="6" t="s">
        <v>13</v>
      </c>
      <c r="B119" s="14" t="s">
        <v>12</v>
      </c>
      <c r="C119" s="19">
        <f>1/5</f>
        <v>0.2</v>
      </c>
      <c r="D119" s="11">
        <f>1/1</f>
        <v>1</v>
      </c>
      <c r="E119" s="19">
        <f>1/9</f>
        <v>0.1111111111111111</v>
      </c>
      <c r="F119" s="19">
        <f>1/3</f>
        <v>0.33333333333333331</v>
      </c>
      <c r="G119" s="11">
        <f>1/1</f>
        <v>1</v>
      </c>
      <c r="H119" s="19">
        <f>1/7</f>
        <v>0.14285714285714285</v>
      </c>
      <c r="I119" s="19">
        <f>1/5</f>
        <v>0.2</v>
      </c>
      <c r="J119" s="11">
        <f>1/1</f>
        <v>1</v>
      </c>
      <c r="K119" s="19">
        <f>1/9</f>
        <v>0.1111111111111111</v>
      </c>
      <c r="L119" s="19">
        <f>1/3</f>
        <v>0.33333333333333331</v>
      </c>
      <c r="M119" s="11">
        <f>1/1</f>
        <v>1</v>
      </c>
      <c r="N119" s="19">
        <f>1/7</f>
        <v>0.14285714285714285</v>
      </c>
    </row>
    <row r="120" spans="1:14" ht="16.5" thickBot="1">
      <c r="A120" s="6" t="s">
        <v>15</v>
      </c>
      <c r="B120" s="14" t="s">
        <v>14</v>
      </c>
      <c r="C120" s="19">
        <f>7/5</f>
        <v>1.4</v>
      </c>
      <c r="D120" s="11">
        <f>7/1</f>
        <v>7</v>
      </c>
      <c r="E120" s="19">
        <f>7/9</f>
        <v>0.77777777777777779</v>
      </c>
      <c r="F120" s="19">
        <f>7/3</f>
        <v>2.3333333333333335</v>
      </c>
      <c r="G120" s="11">
        <f>7/1</f>
        <v>7</v>
      </c>
      <c r="H120" s="17">
        <f>7/7</f>
        <v>1</v>
      </c>
      <c r="I120" s="19">
        <f>7/5</f>
        <v>1.4</v>
      </c>
      <c r="J120" s="11">
        <f>7/1</f>
        <v>7</v>
      </c>
      <c r="K120" s="19">
        <f>7/9</f>
        <v>0.77777777777777779</v>
      </c>
      <c r="L120" s="19">
        <f>7/3</f>
        <v>2.3333333333333335</v>
      </c>
      <c r="M120" s="11">
        <f>7/1</f>
        <v>7</v>
      </c>
      <c r="N120" s="17">
        <f>7/7</f>
        <v>1</v>
      </c>
    </row>
    <row r="121" spans="1:14" ht="16.5" thickBot="1">
      <c r="A121" s="23"/>
      <c r="B121" s="25" t="s">
        <v>44</v>
      </c>
      <c r="C121" s="26">
        <f>SUM(C115:C120)</f>
        <v>5.2</v>
      </c>
      <c r="D121" s="26">
        <f t="shared" ref="D121" si="13">SUM(D115:D120)</f>
        <v>26</v>
      </c>
      <c r="E121" s="26">
        <f t="shared" ref="E121" si="14">SUM(E115:E120)</f>
        <v>2.8888888888888888</v>
      </c>
      <c r="F121" s="26">
        <f t="shared" ref="F121" si="15">SUM(F115:F120)</f>
        <v>8.6666666666666661</v>
      </c>
      <c r="G121" s="26">
        <f t="shared" ref="G121" si="16">SUM(G115:G120)</f>
        <v>26</v>
      </c>
      <c r="H121" s="26">
        <f t="shared" ref="H121" si="17">SUM(H115:H120)</f>
        <v>3.7142857142857144</v>
      </c>
    </row>
    <row r="123" spans="1:14">
      <c r="A123" s="4" t="s">
        <v>79</v>
      </c>
    </row>
    <row r="124" spans="1:14" ht="15.75" thickBot="1"/>
    <row r="125" spans="1:14" ht="15.75" thickBot="1">
      <c r="A125" s="11"/>
      <c r="B125" s="30" t="s">
        <v>41</v>
      </c>
      <c r="C125" s="11" t="s">
        <v>4</v>
      </c>
      <c r="D125" s="11" t="s">
        <v>6</v>
      </c>
      <c r="E125" s="11" t="s">
        <v>8</v>
      </c>
      <c r="F125" s="11" t="s">
        <v>10</v>
      </c>
      <c r="G125" s="11" t="s">
        <v>12</v>
      </c>
      <c r="H125" s="11" t="s">
        <v>14</v>
      </c>
      <c r="I125" s="4" t="s">
        <v>67</v>
      </c>
      <c r="J125" s="4" t="s">
        <v>68</v>
      </c>
    </row>
    <row r="126" spans="1:14" ht="16.5" thickBot="1">
      <c r="A126" s="6" t="s">
        <v>5</v>
      </c>
      <c r="B126" s="14" t="s">
        <v>4</v>
      </c>
      <c r="C126" s="18">
        <f>C115/C121</f>
        <v>0.19230769230769229</v>
      </c>
      <c r="D126" s="18">
        <f>D115/D121</f>
        <v>0.19230769230769232</v>
      </c>
      <c r="E126" s="18">
        <f t="shared" ref="E126:H126" si="18">E115/E121</f>
        <v>0.19230769230769232</v>
      </c>
      <c r="F126" s="18">
        <f t="shared" si="18"/>
        <v>0.19230769230769232</v>
      </c>
      <c r="G126" s="18">
        <f t="shared" si="18"/>
        <v>0.19230769230769232</v>
      </c>
      <c r="H126" s="18">
        <f t="shared" si="18"/>
        <v>0.19230769230769232</v>
      </c>
      <c r="I126" s="8">
        <f>0.192*6</f>
        <v>1.1520000000000001</v>
      </c>
      <c r="J126" s="8">
        <f>I126/6</f>
        <v>0.19200000000000003</v>
      </c>
    </row>
    <row r="127" spans="1:14" ht="16.5" thickBot="1">
      <c r="A127" s="6" t="s">
        <v>7</v>
      </c>
      <c r="B127" s="14" t="s">
        <v>6</v>
      </c>
      <c r="C127" s="18">
        <f>C116/C121</f>
        <v>3.8461538461538464E-2</v>
      </c>
      <c r="D127" s="18">
        <f>D116/D121</f>
        <v>3.8461538461538464E-2</v>
      </c>
      <c r="E127" s="18">
        <f t="shared" ref="E127:H127" si="19">E116/E121</f>
        <v>3.8461538461538457E-2</v>
      </c>
      <c r="F127" s="18">
        <f t="shared" si="19"/>
        <v>3.8461538461538464E-2</v>
      </c>
      <c r="G127" s="18">
        <f t="shared" si="19"/>
        <v>3.8461538461538464E-2</v>
      </c>
      <c r="H127" s="18">
        <f t="shared" si="19"/>
        <v>3.8461538461538457E-2</v>
      </c>
      <c r="I127" s="8">
        <f>0.038*6</f>
        <v>0.22799999999999998</v>
      </c>
      <c r="J127" s="8">
        <f t="shared" ref="J127:J131" si="20">I127/6</f>
        <v>3.7999999999999999E-2</v>
      </c>
    </row>
    <row r="128" spans="1:14" ht="16.5" thickBot="1">
      <c r="A128" s="6" t="s">
        <v>9</v>
      </c>
      <c r="B128" s="14" t="s">
        <v>8</v>
      </c>
      <c r="C128" s="18">
        <f>C117/C121</f>
        <v>0.34615384615384615</v>
      </c>
      <c r="D128" s="18">
        <f t="shared" ref="D128:H128" si="21">D117/D121</f>
        <v>0.34615384615384615</v>
      </c>
      <c r="E128" s="18">
        <f t="shared" si="21"/>
        <v>0.34615384615384615</v>
      </c>
      <c r="F128" s="18">
        <f t="shared" si="21"/>
        <v>0.3461538461538462</v>
      </c>
      <c r="G128" s="18">
        <f t="shared" si="21"/>
        <v>0.34615384615384615</v>
      </c>
      <c r="H128" s="18">
        <f t="shared" si="21"/>
        <v>0.34615384615384615</v>
      </c>
      <c r="I128" s="8">
        <f>0.346*6</f>
        <v>2.0759999999999996</v>
      </c>
      <c r="J128" s="8">
        <f t="shared" si="20"/>
        <v>0.34599999999999992</v>
      </c>
    </row>
    <row r="129" spans="1:10" ht="16.5" thickBot="1">
      <c r="A129" s="6" t="s">
        <v>11</v>
      </c>
      <c r="B129" s="14" t="s">
        <v>10</v>
      </c>
      <c r="C129" s="18">
        <f>C118/C121</f>
        <v>0.11538461538461538</v>
      </c>
      <c r="D129" s="18">
        <f t="shared" ref="D129:H129" si="22">D118/D121</f>
        <v>0.11538461538461539</v>
      </c>
      <c r="E129" s="18">
        <f t="shared" si="22"/>
        <v>0.11538461538461538</v>
      </c>
      <c r="F129" s="18">
        <f t="shared" si="22"/>
        <v>0.11538461538461539</v>
      </c>
      <c r="G129" s="18">
        <f t="shared" si="22"/>
        <v>0.11538461538461539</v>
      </c>
      <c r="H129" s="18">
        <f t="shared" si="22"/>
        <v>0.11538461538461538</v>
      </c>
      <c r="I129" s="8">
        <f>0.115*6</f>
        <v>0.69000000000000006</v>
      </c>
      <c r="J129" s="8">
        <f t="shared" si="20"/>
        <v>0.115</v>
      </c>
    </row>
    <row r="130" spans="1:10" ht="16.5" thickBot="1">
      <c r="A130" s="6" t="s">
        <v>13</v>
      </c>
      <c r="B130" s="14" t="s">
        <v>12</v>
      </c>
      <c r="C130" s="18">
        <f>C119/C121</f>
        <v>3.8461538461538464E-2</v>
      </c>
      <c r="D130" s="18">
        <f t="shared" ref="D130:G130" si="23">D119/D121</f>
        <v>3.8461538461538464E-2</v>
      </c>
      <c r="E130" s="18">
        <f t="shared" si="23"/>
        <v>3.8461538461538457E-2</v>
      </c>
      <c r="F130" s="18">
        <f t="shared" si="23"/>
        <v>3.8461538461538464E-2</v>
      </c>
      <c r="G130" s="18">
        <f t="shared" si="23"/>
        <v>3.8461538461538464E-2</v>
      </c>
      <c r="H130" s="18">
        <f>H119/H121</f>
        <v>3.8461538461538457E-2</v>
      </c>
      <c r="I130" s="8">
        <f>0.038*6</f>
        <v>0.22799999999999998</v>
      </c>
      <c r="J130" s="8">
        <f t="shared" si="20"/>
        <v>3.7999999999999999E-2</v>
      </c>
    </row>
    <row r="131" spans="1:10" ht="16.5" thickBot="1">
      <c r="A131" s="6" t="s">
        <v>15</v>
      </c>
      <c r="B131" s="14" t="s">
        <v>14</v>
      </c>
      <c r="C131" s="18">
        <f>C120/C121</f>
        <v>0.26923076923076922</v>
      </c>
      <c r="D131" s="18">
        <f t="shared" ref="D131:H131" si="24">D120/D121</f>
        <v>0.26923076923076922</v>
      </c>
      <c r="E131" s="18">
        <f t="shared" si="24"/>
        <v>0.26923076923076922</v>
      </c>
      <c r="F131" s="18">
        <f t="shared" si="24"/>
        <v>0.26923076923076927</v>
      </c>
      <c r="G131" s="18">
        <f t="shared" si="24"/>
        <v>0.26923076923076922</v>
      </c>
      <c r="H131" s="18">
        <f t="shared" si="24"/>
        <v>0.26923076923076922</v>
      </c>
      <c r="I131" s="8">
        <f>0.269*6</f>
        <v>1.6140000000000001</v>
      </c>
      <c r="J131" s="8">
        <f t="shared" si="20"/>
        <v>0.26900000000000002</v>
      </c>
    </row>
    <row r="132" spans="1:10" ht="16.5" thickBot="1">
      <c r="A132" s="23"/>
      <c r="B132" s="25" t="s">
        <v>44</v>
      </c>
      <c r="C132" s="28">
        <f>SUM(C126:C131)</f>
        <v>1</v>
      </c>
      <c r="D132" s="28">
        <f t="shared" ref="D132" si="25">SUM(D126:D131)</f>
        <v>1</v>
      </c>
      <c r="E132" s="28">
        <f t="shared" ref="E132" si="26">SUM(E126:E131)</f>
        <v>1</v>
      </c>
      <c r="F132" s="28">
        <f t="shared" ref="F132" si="27">SUM(F126:F131)</f>
        <v>1</v>
      </c>
      <c r="G132" s="28">
        <f>SUM(G126:G131)</f>
        <v>1</v>
      </c>
      <c r="H132" s="28">
        <f>SUM(H126:H131)</f>
        <v>1</v>
      </c>
    </row>
    <row r="133" spans="1:10" ht="15.75" thickBot="1">
      <c r="A133" s="4" t="s">
        <v>80</v>
      </c>
    </row>
    <row r="134" spans="1:10" ht="15.75" thickBot="1">
      <c r="B134" s="30" t="s">
        <v>41</v>
      </c>
      <c r="C134" s="11" t="s">
        <v>75</v>
      </c>
      <c r="D134" s="11" t="s">
        <v>76</v>
      </c>
      <c r="E134" s="11" t="s">
        <v>77</v>
      </c>
      <c r="F134" s="11" t="s">
        <v>82</v>
      </c>
      <c r="G134" s="11" t="s">
        <v>12</v>
      </c>
      <c r="H134" s="11" t="s">
        <v>14</v>
      </c>
    </row>
    <row r="135" spans="1:10" ht="16.5" thickBot="1">
      <c r="B135" s="14" t="s">
        <v>69</v>
      </c>
      <c r="C135" s="18">
        <f>(C115*C126)+(D115*C127)+(E115*C128)+(F115*C129)+(G115*C130)+(H115*C131)</f>
        <v>1.1538461538461537</v>
      </c>
      <c r="D135" s="18">
        <f>C135/J126</f>
        <v>6.0096153846153832</v>
      </c>
      <c r="E135" s="18">
        <f>SUM(D135:D140)/6</f>
        <v>6.0305410639280614</v>
      </c>
      <c r="F135" s="19"/>
      <c r="G135" s="19"/>
      <c r="H135" s="19"/>
    </row>
    <row r="136" spans="1:10" ht="16.5" thickBot="1">
      <c r="B136" s="14" t="s">
        <v>70</v>
      </c>
      <c r="C136" s="18">
        <f>(C116*C126)+(D116*C127)+(E116*C128)+(F116*C129)+(G116*C130)+(H116*C131)</f>
        <v>0.23076923076923078</v>
      </c>
      <c r="D136" s="18">
        <f t="shared" ref="D136:D139" si="28">C136/J127</f>
        <v>6.0728744939271264</v>
      </c>
      <c r="E136" s="19" t="s">
        <v>81</v>
      </c>
      <c r="F136" s="11" t="s">
        <v>445</v>
      </c>
      <c r="G136" s="11"/>
      <c r="H136" s="18"/>
    </row>
    <row r="137" spans="1:10" ht="16.5" thickBot="1">
      <c r="B137" s="14" t="s">
        <v>71</v>
      </c>
      <c r="C137" s="18">
        <f>(C117*C126)+(D117*C127)+(E117*C128)+(F117*C129)+(G117*C130)+(H117*C131)</f>
        <v>2.0769230769230771</v>
      </c>
      <c r="D137" s="18">
        <f t="shared" si="28"/>
        <v>6.0026678523788366</v>
      </c>
      <c r="E137" s="107">
        <f>(E135 - 6)/(6-1)</f>
        <v>6.1082127856122879E-3</v>
      </c>
      <c r="F137" s="18">
        <f>E137/1.24</f>
        <v>4.9259780529131358E-3</v>
      </c>
      <c r="G137" s="11"/>
      <c r="H137" s="18"/>
    </row>
    <row r="138" spans="1:10" ht="16.5" thickBot="1">
      <c r="B138" s="14" t="s">
        <v>72</v>
      </c>
      <c r="C138" s="18">
        <f>(C118*C126)+(D118*C127)+(E118*C128)+(F118*C129)+(G118*C130)+(H118*C131)</f>
        <v>0.69230769230769229</v>
      </c>
      <c r="D138" s="18">
        <f t="shared" si="28"/>
        <v>6.0200668896321066</v>
      </c>
      <c r="E138" s="11"/>
      <c r="F138" s="17"/>
      <c r="G138" s="11"/>
      <c r="H138" s="18"/>
    </row>
    <row r="139" spans="1:10" ht="16.5" thickBot="1">
      <c r="B139" s="14" t="s">
        <v>73</v>
      </c>
      <c r="C139" s="18">
        <f>(C119*C126)+(D119*C127)+(E119*C128)+(F119*C129)+(G119*C130)+(H119*C131)</f>
        <v>0.23076923076923078</v>
      </c>
      <c r="D139" s="18">
        <f t="shared" si="28"/>
        <v>6.0728744939271264</v>
      </c>
      <c r="E139" s="18"/>
      <c r="F139" s="11"/>
      <c r="G139" s="11"/>
      <c r="H139" s="18"/>
    </row>
    <row r="140" spans="1:10" ht="16.5" thickBot="1">
      <c r="B140" s="14" t="s">
        <v>74</v>
      </c>
      <c r="C140" s="18">
        <f>(C120*C126)+(D120*C127)+(E120*C128)+(F120*C129)+(G120*C130)+(H120*C131)</f>
        <v>1.6153846153846154</v>
      </c>
      <c r="D140" s="18">
        <f>C140/J131</f>
        <v>6.0051472690877894</v>
      </c>
      <c r="E140" s="18"/>
      <c r="F140" s="11"/>
      <c r="G140" s="11"/>
      <c r="H140" s="19"/>
    </row>
    <row r="141" spans="1:10" s="15" customFormat="1">
      <c r="A141" s="15" t="s">
        <v>447</v>
      </c>
    </row>
    <row r="142" spans="1:10" ht="15.75" thickBot="1">
      <c r="A142" s="4" t="s">
        <v>446</v>
      </c>
      <c r="B142" s="4" t="s">
        <v>45</v>
      </c>
    </row>
    <row r="143" spans="1:10" ht="15.75" thickBot="1">
      <c r="B143" s="11" t="s">
        <v>41</v>
      </c>
      <c r="C143" s="11" t="s">
        <v>47</v>
      </c>
      <c r="D143" s="11" t="s">
        <v>48</v>
      </c>
      <c r="E143" s="11" t="s">
        <v>49</v>
      </c>
      <c r="F143" s="11" t="s">
        <v>50</v>
      </c>
      <c r="G143" s="11" t="s">
        <v>51</v>
      </c>
    </row>
    <row r="144" spans="1:10" ht="32.25" thickBot="1">
      <c r="A144" s="3" t="s">
        <v>19</v>
      </c>
      <c r="B144" s="14" t="s">
        <v>47</v>
      </c>
      <c r="C144" s="16">
        <v>1</v>
      </c>
      <c r="D144" s="16">
        <f>3/4</f>
        <v>0.75</v>
      </c>
      <c r="E144" s="19">
        <v>1.5</v>
      </c>
      <c r="F144" s="19">
        <f>3/5</f>
        <v>0.6</v>
      </c>
      <c r="G144" s="19">
        <f>3/2</f>
        <v>1.5</v>
      </c>
    </row>
    <row r="145" spans="1:9" ht="16.5" thickBot="1">
      <c r="A145" s="3" t="s">
        <v>21</v>
      </c>
      <c r="B145" s="14" t="s">
        <v>48</v>
      </c>
      <c r="C145" s="19">
        <f>4/3</f>
        <v>1.3333333333333333</v>
      </c>
      <c r="D145" s="16">
        <v>1</v>
      </c>
      <c r="E145" s="16">
        <v>2</v>
      </c>
      <c r="F145" s="19">
        <f>4/5</f>
        <v>0.8</v>
      </c>
      <c r="G145" s="16">
        <f>4/2</f>
        <v>2</v>
      </c>
    </row>
    <row r="146" spans="1:9" ht="16.5" thickBot="1">
      <c r="A146" s="3" t="s">
        <v>23</v>
      </c>
      <c r="B146" s="14" t="s">
        <v>49</v>
      </c>
      <c r="C146" s="19">
        <v>0.66666666666666663</v>
      </c>
      <c r="D146" s="19">
        <f>2/4</f>
        <v>0.5</v>
      </c>
      <c r="E146" s="16">
        <v>1</v>
      </c>
      <c r="F146" s="19">
        <f>2/5</f>
        <v>0.4</v>
      </c>
      <c r="G146" s="16">
        <f>2/2</f>
        <v>1</v>
      </c>
    </row>
    <row r="147" spans="1:9" ht="16.5" thickBot="1">
      <c r="A147" s="3" t="s">
        <v>25</v>
      </c>
      <c r="B147" s="14" t="s">
        <v>50</v>
      </c>
      <c r="C147" s="19">
        <v>1.6666666666666667</v>
      </c>
      <c r="D147" s="16">
        <f>5/4</f>
        <v>1.25</v>
      </c>
      <c r="E147" s="19">
        <v>2.5</v>
      </c>
      <c r="F147" s="16">
        <v>1</v>
      </c>
      <c r="G147" s="19">
        <f>5/2</f>
        <v>2.5</v>
      </c>
    </row>
    <row r="148" spans="1:9" ht="16.5" thickBot="1">
      <c r="A148" s="3" t="s">
        <v>27</v>
      </c>
      <c r="B148" s="14" t="s">
        <v>51</v>
      </c>
      <c r="C148" s="19">
        <v>0.66666666666666663</v>
      </c>
      <c r="D148" s="19">
        <f>2/4</f>
        <v>0.5</v>
      </c>
      <c r="E148" s="16">
        <v>1</v>
      </c>
      <c r="F148" s="19">
        <f>2/5</f>
        <v>0.4</v>
      </c>
      <c r="G148" s="16">
        <v>1</v>
      </c>
    </row>
    <row r="149" spans="1:9" ht="16.5" thickBot="1">
      <c r="B149" s="25" t="s">
        <v>44</v>
      </c>
      <c r="C149" s="26">
        <f>SUM(C144:C148)</f>
        <v>5.333333333333333</v>
      </c>
      <c r="D149" s="27">
        <f t="shared" ref="D149:G149" si="29">SUM(D144:D148)</f>
        <v>4</v>
      </c>
      <c r="E149" s="27">
        <f t="shared" si="29"/>
        <v>8</v>
      </c>
      <c r="F149" s="27">
        <f t="shared" si="29"/>
        <v>3.1999999999999997</v>
      </c>
      <c r="G149" s="27">
        <f t="shared" si="29"/>
        <v>8</v>
      </c>
    </row>
    <row r="150" spans="1:9" ht="15.75" thickBot="1"/>
    <row r="151" spans="1:9" ht="15.75" thickBot="1">
      <c r="B151" s="11" t="s">
        <v>41</v>
      </c>
      <c r="C151" s="11" t="s">
        <v>47</v>
      </c>
      <c r="D151" s="11" t="s">
        <v>48</v>
      </c>
      <c r="E151" s="11" t="s">
        <v>49</v>
      </c>
      <c r="F151" s="11" t="s">
        <v>50</v>
      </c>
      <c r="G151" s="11" t="s">
        <v>51</v>
      </c>
      <c r="H151" s="109" t="s">
        <v>449</v>
      </c>
      <c r="I151" s="109" t="s">
        <v>448</v>
      </c>
    </row>
    <row r="152" spans="1:9" ht="16.5" thickBot="1">
      <c r="B152" s="14" t="s">
        <v>47</v>
      </c>
      <c r="C152" s="16">
        <f>C144/C149</f>
        <v>0.1875</v>
      </c>
      <c r="D152" s="16">
        <f t="shared" ref="D152:G152" si="30">D144/D149</f>
        <v>0.1875</v>
      </c>
      <c r="E152" s="16">
        <f t="shared" si="30"/>
        <v>0.1875</v>
      </c>
      <c r="F152" s="16">
        <f t="shared" si="30"/>
        <v>0.1875</v>
      </c>
      <c r="G152" s="16">
        <f t="shared" si="30"/>
        <v>0.1875</v>
      </c>
      <c r="H152" s="109">
        <f>SUM(C152:G152)</f>
        <v>0.9375</v>
      </c>
      <c r="I152" s="114">
        <f>H152/6</f>
        <v>0.15625</v>
      </c>
    </row>
    <row r="153" spans="1:9" ht="16.5" thickBot="1">
      <c r="B153" s="14" t="s">
        <v>48</v>
      </c>
      <c r="C153" s="16">
        <f>C145/C149</f>
        <v>0.25</v>
      </c>
      <c r="D153" s="16">
        <f t="shared" ref="D153:G153" si="31">D145/D149</f>
        <v>0.25</v>
      </c>
      <c r="E153" s="16">
        <f t="shared" si="31"/>
        <v>0.25</v>
      </c>
      <c r="F153" s="16">
        <f t="shared" si="31"/>
        <v>0.25000000000000006</v>
      </c>
      <c r="G153" s="16">
        <f t="shared" si="31"/>
        <v>0.25</v>
      </c>
      <c r="H153" s="109">
        <f>0.25*6</f>
        <v>1.5</v>
      </c>
      <c r="I153" s="114">
        <f t="shared" ref="I153:I155" si="32">H153/6</f>
        <v>0.25</v>
      </c>
    </row>
    <row r="154" spans="1:9" ht="16.5" thickBot="1">
      <c r="B154" s="14" t="s">
        <v>49</v>
      </c>
      <c r="C154" s="16">
        <f>C146/C149</f>
        <v>0.125</v>
      </c>
      <c r="D154" s="16">
        <f t="shared" ref="D154:G154" si="33">D146/D149</f>
        <v>0.125</v>
      </c>
      <c r="E154" s="16">
        <f t="shared" si="33"/>
        <v>0.125</v>
      </c>
      <c r="F154" s="16">
        <f t="shared" si="33"/>
        <v>0.12500000000000003</v>
      </c>
      <c r="G154" s="16">
        <f t="shared" si="33"/>
        <v>0.125</v>
      </c>
      <c r="H154" s="109">
        <f>0.125*6</f>
        <v>0.75</v>
      </c>
      <c r="I154" s="114">
        <f t="shared" si="32"/>
        <v>0.125</v>
      </c>
    </row>
    <row r="155" spans="1:9" ht="16.5" thickBot="1">
      <c r="B155" s="14" t="s">
        <v>50</v>
      </c>
      <c r="C155" s="16">
        <f>C147/C149</f>
        <v>0.31250000000000006</v>
      </c>
      <c r="D155" s="16">
        <f t="shared" ref="D155:G155" si="34">D147/D149</f>
        <v>0.3125</v>
      </c>
      <c r="E155" s="16">
        <f t="shared" si="34"/>
        <v>0.3125</v>
      </c>
      <c r="F155" s="16">
        <f t="shared" si="34"/>
        <v>0.3125</v>
      </c>
      <c r="G155" s="16">
        <f t="shared" si="34"/>
        <v>0.3125</v>
      </c>
      <c r="H155" s="109">
        <f>0.3125*6</f>
        <v>1.875</v>
      </c>
      <c r="I155" s="114">
        <f t="shared" si="32"/>
        <v>0.3125</v>
      </c>
    </row>
    <row r="156" spans="1:9" ht="16.5" thickBot="1">
      <c r="B156" s="14" t="s">
        <v>51</v>
      </c>
      <c r="C156" s="16">
        <f>C148/C149</f>
        <v>0.125</v>
      </c>
      <c r="D156" s="16">
        <f t="shared" ref="D156:G156" si="35">D148/D149</f>
        <v>0.125</v>
      </c>
      <c r="E156" s="16">
        <f t="shared" si="35"/>
        <v>0.125</v>
      </c>
      <c r="F156" s="16">
        <f t="shared" si="35"/>
        <v>0.12500000000000003</v>
      </c>
      <c r="G156" s="16">
        <f t="shared" si="35"/>
        <v>0.125</v>
      </c>
      <c r="H156" s="109">
        <f>0.125*6</f>
        <v>0.75</v>
      </c>
      <c r="I156" s="114">
        <f>H156/6</f>
        <v>0.125</v>
      </c>
    </row>
    <row r="158" spans="1:9" ht="15.75" thickBot="1">
      <c r="B158" s="4" t="s">
        <v>54</v>
      </c>
    </row>
    <row r="159" spans="1:9" ht="15.75" thickBot="1">
      <c r="B159" s="11" t="s">
        <v>41</v>
      </c>
      <c r="C159" s="11" t="s">
        <v>52</v>
      </c>
      <c r="D159" s="11" t="s">
        <v>48</v>
      </c>
      <c r="E159" s="11" t="s">
        <v>55</v>
      </c>
      <c r="F159" s="11" t="s">
        <v>50</v>
      </c>
      <c r="G159" s="11" t="s">
        <v>51</v>
      </c>
    </row>
    <row r="160" spans="1:9" ht="32.25" thickBot="1">
      <c r="A160" s="3" t="s">
        <v>19</v>
      </c>
      <c r="B160" s="14" t="s">
        <v>52</v>
      </c>
      <c r="C160" s="29">
        <f>4/4</f>
        <v>1</v>
      </c>
      <c r="D160" s="16">
        <f>4/4</f>
        <v>1</v>
      </c>
      <c r="E160" s="19">
        <f>4/3</f>
        <v>1.3333333333333333</v>
      </c>
      <c r="F160" s="19">
        <f>4/5</f>
        <v>0.8</v>
      </c>
      <c r="G160" s="16">
        <f>4/2</f>
        <v>2</v>
      </c>
    </row>
    <row r="161" spans="1:9" ht="16.5" thickBot="1">
      <c r="A161" s="3" t="s">
        <v>21</v>
      </c>
      <c r="B161" s="14" t="s">
        <v>48</v>
      </c>
      <c r="C161" s="16">
        <f>4/4</f>
        <v>1</v>
      </c>
      <c r="D161" s="16">
        <f>4/4</f>
        <v>1</v>
      </c>
      <c r="E161" s="19">
        <f>4/3</f>
        <v>1.3333333333333333</v>
      </c>
      <c r="F161" s="19">
        <f>4/5</f>
        <v>0.8</v>
      </c>
      <c r="G161" s="16">
        <v>2</v>
      </c>
    </row>
    <row r="162" spans="1:9" ht="16.5" thickBot="1">
      <c r="A162" s="3" t="s">
        <v>23</v>
      </c>
      <c r="B162" s="14" t="s">
        <v>55</v>
      </c>
      <c r="C162" s="16">
        <f>3/4</f>
        <v>0.75</v>
      </c>
      <c r="D162" s="16">
        <f>3/4</f>
        <v>0.75</v>
      </c>
      <c r="E162" s="16">
        <f>3/3</f>
        <v>1</v>
      </c>
      <c r="F162" s="19">
        <f>3/5</f>
        <v>0.6</v>
      </c>
      <c r="G162" s="19">
        <f>3/2</f>
        <v>1.5</v>
      </c>
    </row>
    <row r="163" spans="1:9" ht="16.5" thickBot="1">
      <c r="A163" s="3" t="s">
        <v>25</v>
      </c>
      <c r="B163" s="14" t="s">
        <v>50</v>
      </c>
      <c r="C163" s="16">
        <f>5/4</f>
        <v>1.25</v>
      </c>
      <c r="D163" s="16">
        <f>5/4</f>
        <v>1.25</v>
      </c>
      <c r="E163" s="19">
        <f>5/3</f>
        <v>1.6666666666666667</v>
      </c>
      <c r="F163" s="16">
        <f>5/5</f>
        <v>1</v>
      </c>
      <c r="G163" s="19">
        <f>5/2</f>
        <v>2.5</v>
      </c>
    </row>
    <row r="164" spans="1:9" ht="16.5" thickBot="1">
      <c r="A164" s="3" t="s">
        <v>27</v>
      </c>
      <c r="B164" s="14" t="s">
        <v>51</v>
      </c>
      <c r="C164" s="16">
        <f>2/4</f>
        <v>0.5</v>
      </c>
      <c r="D164" s="16">
        <f>2/4</f>
        <v>0.5</v>
      </c>
      <c r="E164" s="19">
        <f>2/3</f>
        <v>0.66666666666666663</v>
      </c>
      <c r="F164" s="19">
        <f>2/5</f>
        <v>0.4</v>
      </c>
      <c r="G164" s="17">
        <f>2/2</f>
        <v>1</v>
      </c>
    </row>
    <row r="165" spans="1:9" ht="16.5" thickBot="1">
      <c r="B165" s="25" t="s">
        <v>44</v>
      </c>
      <c r="C165" s="27">
        <f>SUM(C160:C163)</f>
        <v>4</v>
      </c>
      <c r="D165" s="27">
        <f t="shared" ref="D165:G165" si="36">SUM(D160:D163)</f>
        <v>4</v>
      </c>
      <c r="E165" s="28">
        <f t="shared" si="36"/>
        <v>5.333333333333333</v>
      </c>
      <c r="F165" s="27">
        <f t="shared" si="36"/>
        <v>3.2</v>
      </c>
      <c r="G165" s="27">
        <f t="shared" si="36"/>
        <v>8</v>
      </c>
    </row>
    <row r="166" spans="1:9" ht="15.75" thickBot="1"/>
    <row r="167" spans="1:9" ht="15.75" thickBot="1">
      <c r="B167" s="11" t="s">
        <v>41</v>
      </c>
      <c r="C167" s="11" t="s">
        <v>52</v>
      </c>
      <c r="D167" s="11" t="s">
        <v>48</v>
      </c>
      <c r="E167" s="11" t="s">
        <v>55</v>
      </c>
      <c r="F167" s="11" t="s">
        <v>50</v>
      </c>
      <c r="G167" s="11" t="s">
        <v>51</v>
      </c>
      <c r="H167" s="109" t="s">
        <v>449</v>
      </c>
      <c r="I167" s="109" t="s">
        <v>450</v>
      </c>
    </row>
    <row r="168" spans="1:9" ht="16.5" thickBot="1">
      <c r="B168" s="14" t="s">
        <v>52</v>
      </c>
      <c r="C168" s="16">
        <f>1/C165</f>
        <v>0.25</v>
      </c>
      <c r="D168" s="16">
        <f t="shared" ref="D168:G168" si="37">D160/D165</f>
        <v>0.25</v>
      </c>
      <c r="E168" s="16">
        <f>1.33/E165</f>
        <v>0.24937500000000001</v>
      </c>
      <c r="F168" s="16">
        <f>0.8/F165</f>
        <v>0.25</v>
      </c>
      <c r="G168" s="16">
        <f t="shared" si="37"/>
        <v>0.25</v>
      </c>
      <c r="H168" s="109">
        <f>SUM(C168:G168)</f>
        <v>1.2493750000000001</v>
      </c>
      <c r="I168" s="114">
        <f>H168/6</f>
        <v>0.20822916666666669</v>
      </c>
    </row>
    <row r="169" spans="1:9" ht="16.5" thickBot="1">
      <c r="B169" s="14" t="s">
        <v>48</v>
      </c>
      <c r="C169" s="16">
        <f>1/C165</f>
        <v>0.25</v>
      </c>
      <c r="D169" s="16">
        <f t="shared" ref="D169" si="38">D161/D165</f>
        <v>0.25</v>
      </c>
      <c r="E169" s="16">
        <f>1.33/E165</f>
        <v>0.24937500000000001</v>
      </c>
      <c r="F169" s="16">
        <f>0.8/F165</f>
        <v>0.25</v>
      </c>
      <c r="G169" s="16">
        <f>2/G165</f>
        <v>0.25</v>
      </c>
      <c r="H169" s="109">
        <f>SUM(C169:G169)</f>
        <v>1.2493750000000001</v>
      </c>
      <c r="I169" s="114">
        <f t="shared" ref="I169:I172" si="39">H169/6</f>
        <v>0.20822916666666669</v>
      </c>
    </row>
    <row r="170" spans="1:9" ht="16.5" thickBot="1">
      <c r="B170" s="14" t="s">
        <v>55</v>
      </c>
      <c r="C170" s="16">
        <f>0.75/C165</f>
        <v>0.1875</v>
      </c>
      <c r="D170" s="16">
        <f t="shared" ref="D170" si="40">D162/D165</f>
        <v>0.1875</v>
      </c>
      <c r="E170" s="16">
        <f>1/E165</f>
        <v>0.1875</v>
      </c>
      <c r="F170" s="16">
        <f>0.6/F165</f>
        <v>0.18749999999999997</v>
      </c>
      <c r="G170" s="16">
        <f>1.5/G165</f>
        <v>0.1875</v>
      </c>
      <c r="H170" s="109">
        <f t="shared" ref="H170" si="41">SUM(C170:G170)</f>
        <v>0.9375</v>
      </c>
      <c r="I170" s="114">
        <f t="shared" si="39"/>
        <v>0.15625</v>
      </c>
    </row>
    <row r="171" spans="1:9" ht="16.5" thickBot="1">
      <c r="B171" s="14" t="s">
        <v>50</v>
      </c>
      <c r="C171" s="19">
        <f>1.25/C165</f>
        <v>0.3125</v>
      </c>
      <c r="D171" s="19">
        <f t="shared" ref="D171" si="42">D163/D165</f>
        <v>0.3125</v>
      </c>
      <c r="E171" s="19">
        <f>1.67/E165</f>
        <v>0.31312499999999999</v>
      </c>
      <c r="F171" s="19">
        <f>1/F165</f>
        <v>0.3125</v>
      </c>
      <c r="G171" s="19">
        <f>2.5/G165</f>
        <v>0.3125</v>
      </c>
      <c r="H171" s="109">
        <f>SUM(C171:G171)</f>
        <v>1.5631249999999999</v>
      </c>
      <c r="I171" s="114">
        <f>H171/6</f>
        <v>0.26052083333333331</v>
      </c>
    </row>
    <row r="172" spans="1:9" ht="16.5" thickBot="1">
      <c r="B172" s="14" t="s">
        <v>51</v>
      </c>
      <c r="C172" s="19">
        <f>0.5/C165</f>
        <v>0.125</v>
      </c>
      <c r="D172" s="19">
        <f t="shared" ref="D172" si="43">D164/D165</f>
        <v>0.125</v>
      </c>
      <c r="E172" s="19">
        <f>0.67/E165</f>
        <v>0.12562500000000001</v>
      </c>
      <c r="F172" s="19">
        <f>0.4/F165</f>
        <v>0.125</v>
      </c>
      <c r="G172" s="19">
        <f>1/G165</f>
        <v>0.125</v>
      </c>
      <c r="H172" s="109">
        <f>SUM(C172:G172)</f>
        <v>0.62562499999999999</v>
      </c>
      <c r="I172" s="114">
        <f t="shared" si="39"/>
        <v>0.10427083333333333</v>
      </c>
    </row>
    <row r="173" spans="1:9" ht="15.75" thickBot="1">
      <c r="B173" s="4" t="s">
        <v>56</v>
      </c>
    </row>
    <row r="174" spans="1:9" ht="16.5" thickBot="1">
      <c r="B174" s="11" t="s">
        <v>41</v>
      </c>
      <c r="C174" s="11" t="s">
        <v>47</v>
      </c>
      <c r="D174" s="14" t="s">
        <v>57</v>
      </c>
      <c r="E174" s="14" t="s">
        <v>49</v>
      </c>
      <c r="F174" s="14" t="s">
        <v>58</v>
      </c>
      <c r="G174" s="14" t="s">
        <v>59</v>
      </c>
    </row>
    <row r="175" spans="1:9" ht="32.25" thickBot="1">
      <c r="A175" s="3" t="s">
        <v>19</v>
      </c>
      <c r="B175" s="14" t="s">
        <v>47</v>
      </c>
      <c r="C175" s="29">
        <f>3/3</f>
        <v>1</v>
      </c>
      <c r="D175" s="16">
        <f>3/5</f>
        <v>0.6</v>
      </c>
      <c r="E175" s="19">
        <f>3/2</f>
        <v>1.5</v>
      </c>
      <c r="F175" s="19">
        <f>3/4</f>
        <v>0.75</v>
      </c>
      <c r="G175" s="16">
        <f>3/3</f>
        <v>1</v>
      </c>
    </row>
    <row r="176" spans="1:9" ht="16.5" thickBot="1">
      <c r="A176" s="3" t="s">
        <v>21</v>
      </c>
      <c r="B176" s="14" t="s">
        <v>57</v>
      </c>
      <c r="C176" s="19">
        <f>5/3</f>
        <v>1.6666666666666667</v>
      </c>
      <c r="D176" s="16">
        <f>5/5</f>
        <v>1</v>
      </c>
      <c r="E176" s="19">
        <f>5/2</f>
        <v>2.5</v>
      </c>
      <c r="F176" s="19">
        <f>5/4</f>
        <v>1.25</v>
      </c>
      <c r="G176" s="19">
        <f>5/3</f>
        <v>1.6666666666666667</v>
      </c>
    </row>
    <row r="177" spans="1:9" ht="16.5" thickBot="1">
      <c r="A177" s="3" t="s">
        <v>23</v>
      </c>
      <c r="B177" s="14" t="s">
        <v>49</v>
      </c>
      <c r="C177" s="19">
        <f>2/3</f>
        <v>0.66666666666666663</v>
      </c>
      <c r="D177" s="16">
        <f>2/5</f>
        <v>0.4</v>
      </c>
      <c r="E177" s="16">
        <f>2/2</f>
        <v>1</v>
      </c>
      <c r="F177" s="19">
        <f>2/4</f>
        <v>0.5</v>
      </c>
      <c r="G177" s="19">
        <f>2/3</f>
        <v>0.66666666666666663</v>
      </c>
    </row>
    <row r="178" spans="1:9" ht="16.5" thickBot="1">
      <c r="A178" s="3" t="s">
        <v>25</v>
      </c>
      <c r="B178" s="14" t="s">
        <v>58</v>
      </c>
      <c r="C178" s="19">
        <f>4/3</f>
        <v>1.3333333333333333</v>
      </c>
      <c r="D178" s="16">
        <f>4/5</f>
        <v>0.8</v>
      </c>
      <c r="E178" s="19">
        <f>4/2</f>
        <v>2</v>
      </c>
      <c r="F178" s="16">
        <f>4/4</f>
        <v>1</v>
      </c>
      <c r="G178" s="19">
        <f>4/3</f>
        <v>1.3333333333333333</v>
      </c>
    </row>
    <row r="179" spans="1:9" ht="16.5" thickBot="1">
      <c r="A179" s="3" t="s">
        <v>27</v>
      </c>
      <c r="B179" s="14" t="s">
        <v>59</v>
      </c>
      <c r="C179" s="16">
        <f>3/3</f>
        <v>1</v>
      </c>
      <c r="D179" s="16">
        <f>3/5</f>
        <v>0.6</v>
      </c>
      <c r="E179" s="19">
        <f>3/2</f>
        <v>1.5</v>
      </c>
      <c r="F179" s="19">
        <f>3/4</f>
        <v>0.75</v>
      </c>
      <c r="G179" s="17">
        <f>3/3</f>
        <v>1</v>
      </c>
    </row>
    <row r="180" spans="1:9" ht="16.5" thickBot="1">
      <c r="B180" s="25" t="s">
        <v>44</v>
      </c>
      <c r="C180" s="26">
        <f>SUM(C174:C179)</f>
        <v>5.666666666666667</v>
      </c>
      <c r="D180" s="27">
        <f>SUM(D174:D179)</f>
        <v>3.4</v>
      </c>
      <c r="E180" s="27">
        <f>SUM(E175:E179)</f>
        <v>8.5</v>
      </c>
      <c r="F180" s="26">
        <f>SUM(F175:F179)</f>
        <v>4.25</v>
      </c>
      <c r="G180" s="26">
        <f>SUM(G175:G179)</f>
        <v>5.666666666666667</v>
      </c>
    </row>
    <row r="181" spans="1:9" ht="15.75">
      <c r="B181" s="111"/>
      <c r="C181" s="112"/>
      <c r="D181" s="113"/>
      <c r="E181" s="113"/>
      <c r="F181" s="112"/>
      <c r="G181" s="112"/>
    </row>
    <row r="182" spans="1:9" ht="15.75" thickBot="1"/>
    <row r="183" spans="1:9" ht="16.5" thickBot="1">
      <c r="B183" s="11" t="s">
        <v>41</v>
      </c>
      <c r="C183" s="11" t="s">
        <v>47</v>
      </c>
      <c r="D183" s="14" t="s">
        <v>57</v>
      </c>
      <c r="E183" s="14" t="s">
        <v>49</v>
      </c>
      <c r="F183" s="14" t="s">
        <v>58</v>
      </c>
      <c r="G183" s="14" t="s">
        <v>59</v>
      </c>
      <c r="H183" s="109" t="s">
        <v>449</v>
      </c>
      <c r="I183" s="109" t="s">
        <v>448</v>
      </c>
    </row>
    <row r="184" spans="1:9" ht="16.5" thickBot="1">
      <c r="B184" s="14" t="s">
        <v>47</v>
      </c>
      <c r="C184" s="110">
        <f>C175/C180</f>
        <v>0.1764705882352941</v>
      </c>
      <c r="D184" s="110">
        <f t="shared" ref="D184:G184" si="44">D175/D180</f>
        <v>0.17647058823529413</v>
      </c>
      <c r="E184" s="110">
        <f t="shared" si="44"/>
        <v>0.17647058823529413</v>
      </c>
      <c r="F184" s="110">
        <f t="shared" si="44"/>
        <v>0.17647058823529413</v>
      </c>
      <c r="G184" s="19">
        <f t="shared" si="44"/>
        <v>0.1764705882352941</v>
      </c>
      <c r="H184" s="114">
        <f>SUM(C184:G184)</f>
        <v>0.88235294117647056</v>
      </c>
      <c r="I184" s="114">
        <f>H184/6</f>
        <v>0.14705882352941177</v>
      </c>
    </row>
    <row r="185" spans="1:9" ht="16.5" thickBot="1">
      <c r="B185" s="14" t="s">
        <v>57</v>
      </c>
      <c r="C185" s="19">
        <f>C175/C180</f>
        <v>0.1764705882352941</v>
      </c>
      <c r="D185" s="19">
        <f t="shared" ref="D185:G185" si="45">D175/D180</f>
        <v>0.17647058823529413</v>
      </c>
      <c r="E185" s="19">
        <f t="shared" si="45"/>
        <v>0.17647058823529413</v>
      </c>
      <c r="F185" s="19">
        <f t="shared" si="45"/>
        <v>0.17647058823529413</v>
      </c>
      <c r="G185" s="19">
        <f t="shared" si="45"/>
        <v>0.1764705882352941</v>
      </c>
      <c r="H185" s="114">
        <f t="shared" ref="H185:H188" si="46">SUM(C185:G185)</f>
        <v>0.88235294117647056</v>
      </c>
      <c r="I185" s="114">
        <f t="shared" ref="I185:I188" si="47">H185/6</f>
        <v>0.14705882352941177</v>
      </c>
    </row>
    <row r="186" spans="1:9" ht="16.5" thickBot="1">
      <c r="B186" s="14" t="s">
        <v>49</v>
      </c>
      <c r="C186" s="19">
        <f>C177/C180</f>
        <v>0.1176470588235294</v>
      </c>
      <c r="D186" s="19">
        <f t="shared" ref="D186:F186" si="48">D177/D180</f>
        <v>0.11764705882352942</v>
      </c>
      <c r="E186" s="19">
        <f t="shared" si="48"/>
        <v>0.11764705882352941</v>
      </c>
      <c r="F186" s="19">
        <f t="shared" si="48"/>
        <v>0.11764705882352941</v>
      </c>
      <c r="G186" s="19">
        <f>G177/G180</f>
        <v>0.1176470588235294</v>
      </c>
      <c r="H186" s="114">
        <f t="shared" si="46"/>
        <v>0.58823529411764708</v>
      </c>
      <c r="I186" s="114">
        <f t="shared" si="47"/>
        <v>9.8039215686274508E-2</v>
      </c>
    </row>
    <row r="187" spans="1:9" ht="16.5" thickBot="1">
      <c r="B187" s="14" t="s">
        <v>58</v>
      </c>
      <c r="C187" s="19">
        <f>C178/C180</f>
        <v>0.23529411764705879</v>
      </c>
      <c r="D187" s="19">
        <f t="shared" ref="D187:F187" si="49">D178/D180</f>
        <v>0.23529411764705885</v>
      </c>
      <c r="E187" s="19">
        <f t="shared" si="49"/>
        <v>0.23529411764705882</v>
      </c>
      <c r="F187" s="19">
        <f t="shared" si="49"/>
        <v>0.23529411764705882</v>
      </c>
      <c r="G187" s="19">
        <f>G178/G180</f>
        <v>0.23529411764705879</v>
      </c>
      <c r="H187" s="114">
        <f t="shared" si="46"/>
        <v>1.1764705882352942</v>
      </c>
      <c r="I187" s="114">
        <f t="shared" si="47"/>
        <v>0.19607843137254902</v>
      </c>
    </row>
    <row r="188" spans="1:9" ht="16.5" thickBot="1">
      <c r="B188" s="14" t="s">
        <v>59</v>
      </c>
      <c r="C188" s="19">
        <f>C179/C180</f>
        <v>0.1764705882352941</v>
      </c>
      <c r="D188" s="19">
        <f t="shared" ref="D188:F188" si="50">D179/D180</f>
        <v>0.17647058823529413</v>
      </c>
      <c r="E188" s="19">
        <f t="shared" si="50"/>
        <v>0.17647058823529413</v>
      </c>
      <c r="F188" s="19">
        <f t="shared" si="50"/>
        <v>0.17647058823529413</v>
      </c>
      <c r="G188" s="19">
        <f>G179/G180</f>
        <v>0.1764705882352941</v>
      </c>
      <c r="H188" s="114">
        <f t="shared" si="46"/>
        <v>0.88235294117647056</v>
      </c>
      <c r="I188" s="114">
        <f t="shared" si="47"/>
        <v>0.14705882352941177</v>
      </c>
    </row>
    <row r="191" spans="1:9" ht="15.75" thickBot="1">
      <c r="B191" s="4" t="s">
        <v>63</v>
      </c>
    </row>
    <row r="192" spans="1:9" ht="16.5" thickBot="1">
      <c r="B192" s="11" t="s">
        <v>41</v>
      </c>
      <c r="C192" s="14" t="s">
        <v>60</v>
      </c>
      <c r="D192" s="14" t="s">
        <v>61</v>
      </c>
      <c r="E192" s="14" t="s">
        <v>62</v>
      </c>
      <c r="F192" s="14" t="s">
        <v>50</v>
      </c>
      <c r="G192" s="14" t="s">
        <v>59</v>
      </c>
    </row>
    <row r="193" spans="1:9" ht="32.25" thickBot="1">
      <c r="A193" s="3" t="s">
        <v>19</v>
      </c>
      <c r="B193" s="14" t="s">
        <v>60</v>
      </c>
      <c r="C193" s="29">
        <f>2/2</f>
        <v>1</v>
      </c>
      <c r="D193" s="29">
        <f>2/2</f>
        <v>1</v>
      </c>
      <c r="E193" s="19">
        <f>2/4</f>
        <v>0.5</v>
      </c>
      <c r="F193" s="19">
        <f>2/5</f>
        <v>0.4</v>
      </c>
      <c r="G193" s="19">
        <f>2/3</f>
        <v>0.66666666666666663</v>
      </c>
    </row>
    <row r="194" spans="1:9" ht="16.5" thickBot="1">
      <c r="A194" s="3" t="s">
        <v>21</v>
      </c>
      <c r="B194" s="14" t="s">
        <v>61</v>
      </c>
      <c r="C194" s="17">
        <f>2/2</f>
        <v>1</v>
      </c>
      <c r="D194" s="17">
        <f>2/2</f>
        <v>1</v>
      </c>
      <c r="E194" s="19">
        <f>2/4</f>
        <v>0.5</v>
      </c>
      <c r="F194" s="19">
        <f>2/5</f>
        <v>0.4</v>
      </c>
      <c r="G194" s="19">
        <f>2/3</f>
        <v>0.66666666666666663</v>
      </c>
    </row>
    <row r="195" spans="1:9" ht="16.5" thickBot="1">
      <c r="A195" s="3" t="s">
        <v>23</v>
      </c>
      <c r="B195" s="14" t="s">
        <v>62</v>
      </c>
      <c r="C195" s="17">
        <f>4/2</f>
        <v>2</v>
      </c>
      <c r="D195" s="17">
        <f>4/2</f>
        <v>2</v>
      </c>
      <c r="E195" s="16">
        <f>4/4</f>
        <v>1</v>
      </c>
      <c r="F195" s="19">
        <f>4/5</f>
        <v>0.8</v>
      </c>
      <c r="G195" s="19">
        <f>4/3</f>
        <v>1.3333333333333333</v>
      </c>
    </row>
    <row r="196" spans="1:9" ht="16.5" thickBot="1">
      <c r="A196" s="3" t="s">
        <v>25</v>
      </c>
      <c r="B196" s="14" t="s">
        <v>50</v>
      </c>
      <c r="C196" s="19">
        <f>5/2</f>
        <v>2.5</v>
      </c>
      <c r="D196" s="19">
        <f>5/2</f>
        <v>2.5</v>
      </c>
      <c r="E196" s="19">
        <f>5/4</f>
        <v>1.25</v>
      </c>
      <c r="F196" s="16">
        <f>5/5</f>
        <v>1</v>
      </c>
      <c r="G196" s="19">
        <f>5/3</f>
        <v>1.6666666666666667</v>
      </c>
    </row>
    <row r="197" spans="1:9" ht="16.5" thickBot="1">
      <c r="A197" s="3" t="s">
        <v>27</v>
      </c>
      <c r="B197" s="14" t="s">
        <v>59</v>
      </c>
      <c r="C197" s="16">
        <f>3/2</f>
        <v>1.5</v>
      </c>
      <c r="D197" s="16">
        <f>3/2</f>
        <v>1.5</v>
      </c>
      <c r="E197" s="19">
        <f>3/4</f>
        <v>0.75</v>
      </c>
      <c r="F197" s="19">
        <f>3/5</f>
        <v>0.6</v>
      </c>
      <c r="G197" s="17">
        <f>3/3</f>
        <v>1</v>
      </c>
    </row>
    <row r="198" spans="1:9" ht="16.5" thickBot="1">
      <c r="B198" s="25" t="s">
        <v>44</v>
      </c>
      <c r="C198" s="26">
        <f>SUM(C192:C197)</f>
        <v>8</v>
      </c>
      <c r="D198" s="26">
        <f t="shared" ref="D198:G198" si="51">SUM(D192:D197)</f>
        <v>8</v>
      </c>
      <c r="E198" s="26">
        <f t="shared" si="51"/>
        <v>4</v>
      </c>
      <c r="F198" s="26">
        <f t="shared" si="51"/>
        <v>3.2</v>
      </c>
      <c r="G198" s="26">
        <f t="shared" si="51"/>
        <v>5.333333333333333</v>
      </c>
    </row>
    <row r="199" spans="1:9" ht="16.5" thickBot="1">
      <c r="B199" s="111"/>
      <c r="C199" s="112"/>
      <c r="D199" s="112"/>
      <c r="E199" s="112"/>
      <c r="F199" s="112"/>
      <c r="G199" s="112"/>
    </row>
    <row r="200" spans="1:9" ht="16.5" thickBot="1">
      <c r="B200" s="11" t="s">
        <v>41</v>
      </c>
      <c r="C200" s="14" t="s">
        <v>60</v>
      </c>
      <c r="D200" s="14" t="s">
        <v>61</v>
      </c>
      <c r="E200" s="14" t="s">
        <v>62</v>
      </c>
      <c r="F200" s="14" t="s">
        <v>50</v>
      </c>
      <c r="G200" s="14" t="s">
        <v>59</v>
      </c>
      <c r="H200" s="109" t="s">
        <v>449</v>
      </c>
      <c r="I200" s="109"/>
    </row>
    <row r="201" spans="1:9" ht="16.5" thickBot="1">
      <c r="B201" s="14" t="s">
        <v>60</v>
      </c>
      <c r="C201" s="16">
        <f>C193/C198</f>
        <v>0.125</v>
      </c>
      <c r="D201" s="16">
        <f t="shared" ref="D201:F201" si="52">D193/D198</f>
        <v>0.125</v>
      </c>
      <c r="E201" s="16">
        <f t="shared" si="52"/>
        <v>0.125</v>
      </c>
      <c r="F201" s="16">
        <f t="shared" si="52"/>
        <v>0.125</v>
      </c>
      <c r="G201" s="16">
        <f>G193/G198</f>
        <v>0.125</v>
      </c>
      <c r="H201" s="109">
        <f>SUM(C201:G201)</f>
        <v>0.625</v>
      </c>
      <c r="I201" s="114">
        <f>H201/6</f>
        <v>0.10416666666666667</v>
      </c>
    </row>
    <row r="202" spans="1:9" ht="16.5" thickBot="1">
      <c r="B202" s="14" t="s">
        <v>61</v>
      </c>
      <c r="C202" s="16">
        <f>C194/C198</f>
        <v>0.125</v>
      </c>
      <c r="D202" s="16">
        <f t="shared" ref="D202:G202" si="53">D194/D198</f>
        <v>0.125</v>
      </c>
      <c r="E202" s="16">
        <f t="shared" si="53"/>
        <v>0.125</v>
      </c>
      <c r="F202" s="16">
        <f t="shared" si="53"/>
        <v>0.125</v>
      </c>
      <c r="G202" s="16">
        <f t="shared" si="53"/>
        <v>0.125</v>
      </c>
      <c r="H202" s="109">
        <f t="shared" ref="H202:H205" si="54">SUM(C202:G202)</f>
        <v>0.625</v>
      </c>
      <c r="I202" s="114">
        <f t="shared" ref="I202:I205" si="55">H202/6</f>
        <v>0.10416666666666667</v>
      </c>
    </row>
    <row r="203" spans="1:9" ht="16.5" thickBot="1">
      <c r="B203" s="14" t="s">
        <v>62</v>
      </c>
      <c r="C203" s="16">
        <f>C195/C198</f>
        <v>0.25</v>
      </c>
      <c r="D203" s="16">
        <f t="shared" ref="D203:G203" si="56">D195/D198</f>
        <v>0.25</v>
      </c>
      <c r="E203" s="16">
        <f t="shared" si="56"/>
        <v>0.25</v>
      </c>
      <c r="F203" s="16">
        <f t="shared" si="56"/>
        <v>0.25</v>
      </c>
      <c r="G203" s="16">
        <f t="shared" si="56"/>
        <v>0.25</v>
      </c>
      <c r="H203" s="109">
        <f t="shared" si="54"/>
        <v>1.25</v>
      </c>
      <c r="I203" s="114">
        <f t="shared" si="55"/>
        <v>0.20833333333333334</v>
      </c>
    </row>
    <row r="204" spans="1:9" ht="16.5" thickBot="1">
      <c r="B204" s="14" t="s">
        <v>50</v>
      </c>
      <c r="C204" s="16">
        <f>C196/C198</f>
        <v>0.3125</v>
      </c>
      <c r="D204" s="16">
        <f t="shared" ref="D204:G204" si="57">D196/D198</f>
        <v>0.3125</v>
      </c>
      <c r="E204" s="16">
        <f t="shared" si="57"/>
        <v>0.3125</v>
      </c>
      <c r="F204" s="16">
        <f t="shared" si="57"/>
        <v>0.3125</v>
      </c>
      <c r="G204" s="16">
        <f t="shared" si="57"/>
        <v>0.31250000000000006</v>
      </c>
      <c r="H204" s="109">
        <f t="shared" si="54"/>
        <v>1.5625</v>
      </c>
      <c r="I204" s="114">
        <f t="shared" si="55"/>
        <v>0.26041666666666669</v>
      </c>
    </row>
    <row r="205" spans="1:9" ht="16.5" thickBot="1">
      <c r="B205" s="14" t="s">
        <v>59</v>
      </c>
      <c r="C205" s="16">
        <f>C197/C198</f>
        <v>0.1875</v>
      </c>
      <c r="D205" s="16">
        <f t="shared" ref="D205:G205" si="58">D197/D198</f>
        <v>0.1875</v>
      </c>
      <c r="E205" s="16">
        <f t="shared" si="58"/>
        <v>0.1875</v>
      </c>
      <c r="F205" s="16">
        <f t="shared" si="58"/>
        <v>0.18749999999999997</v>
      </c>
      <c r="G205" s="16">
        <f t="shared" si="58"/>
        <v>0.1875</v>
      </c>
      <c r="H205" s="109">
        <f t="shared" si="54"/>
        <v>0.9375</v>
      </c>
      <c r="I205" s="114">
        <f t="shared" si="55"/>
        <v>0.15625</v>
      </c>
    </row>
    <row r="207" spans="1:9" ht="15.75" thickBot="1">
      <c r="B207" s="4" t="s">
        <v>64</v>
      </c>
    </row>
    <row r="208" spans="1:9" ht="16.5" thickBot="1">
      <c r="B208" s="11" t="s">
        <v>41</v>
      </c>
      <c r="C208" s="14" t="s">
        <v>52</v>
      </c>
      <c r="D208" s="14" t="s">
        <v>57</v>
      </c>
      <c r="E208" s="14" t="s">
        <v>62</v>
      </c>
      <c r="F208" s="14" t="s">
        <v>53</v>
      </c>
      <c r="G208" s="14" t="s">
        <v>51</v>
      </c>
    </row>
    <row r="209" spans="1:9" ht="32.25" thickBot="1">
      <c r="A209" s="3" t="s">
        <v>19</v>
      </c>
      <c r="B209" s="14" t="s">
        <v>52</v>
      </c>
      <c r="C209" s="29">
        <f>4/4</f>
        <v>1</v>
      </c>
      <c r="D209" s="29">
        <f>4/5</f>
        <v>0.8</v>
      </c>
      <c r="E209" s="19">
        <f>4/4</f>
        <v>1</v>
      </c>
      <c r="F209" s="19">
        <f>4/3</f>
        <v>1.3333333333333333</v>
      </c>
      <c r="G209" s="19">
        <f>4/2</f>
        <v>2</v>
      </c>
    </row>
    <row r="210" spans="1:9" ht="16.5" thickBot="1">
      <c r="A210" s="3" t="s">
        <v>21</v>
      </c>
      <c r="B210" s="14" t="s">
        <v>57</v>
      </c>
      <c r="C210" s="19">
        <f>5/4</f>
        <v>1.25</v>
      </c>
      <c r="D210" s="17">
        <f>5/5</f>
        <v>1</v>
      </c>
      <c r="E210" s="19">
        <f>5/4</f>
        <v>1.25</v>
      </c>
      <c r="F210" s="19">
        <f>5/3</f>
        <v>1.6666666666666667</v>
      </c>
      <c r="G210" s="19">
        <f>5/2</f>
        <v>2.5</v>
      </c>
    </row>
    <row r="211" spans="1:9" ht="16.5" thickBot="1">
      <c r="A211" s="3" t="s">
        <v>23</v>
      </c>
      <c r="B211" s="14" t="s">
        <v>62</v>
      </c>
      <c r="C211" s="17">
        <f>4/4</f>
        <v>1</v>
      </c>
      <c r="D211" s="19">
        <f>4/5</f>
        <v>0.8</v>
      </c>
      <c r="E211" s="16">
        <f>4/4</f>
        <v>1</v>
      </c>
      <c r="F211" s="19">
        <f>4/3</f>
        <v>1.3333333333333333</v>
      </c>
      <c r="G211" s="19">
        <f>4/2</f>
        <v>2</v>
      </c>
    </row>
    <row r="212" spans="1:9" ht="16.5" thickBot="1">
      <c r="A212" s="3" t="s">
        <v>25</v>
      </c>
      <c r="B212" s="14" t="s">
        <v>53</v>
      </c>
      <c r="C212" s="19">
        <f>3/4</f>
        <v>0.75</v>
      </c>
      <c r="D212" s="19">
        <f>3/5</f>
        <v>0.6</v>
      </c>
      <c r="E212" s="19">
        <f>3/4</f>
        <v>0.75</v>
      </c>
      <c r="F212" s="16">
        <f>3/3</f>
        <v>1</v>
      </c>
      <c r="G212" s="19">
        <f>3/2</f>
        <v>1.5</v>
      </c>
    </row>
    <row r="213" spans="1:9" ht="16.5" thickBot="1">
      <c r="A213" s="3" t="s">
        <v>27</v>
      </c>
      <c r="B213" s="14" t="s">
        <v>51</v>
      </c>
      <c r="C213" s="16">
        <f>2/4</f>
        <v>0.5</v>
      </c>
      <c r="D213" s="16">
        <f>2/5</f>
        <v>0.4</v>
      </c>
      <c r="E213" s="19">
        <f>2/4</f>
        <v>0.5</v>
      </c>
      <c r="F213" s="19">
        <f>2/3</f>
        <v>0.66666666666666663</v>
      </c>
      <c r="G213" s="17">
        <f>2/2</f>
        <v>1</v>
      </c>
    </row>
    <row r="214" spans="1:9" ht="16.5" thickBot="1">
      <c r="B214" s="25" t="s">
        <v>44</v>
      </c>
      <c r="C214" s="26">
        <f>SUM(C208:C213)</f>
        <v>4.5</v>
      </c>
      <c r="D214" s="26">
        <f t="shared" ref="D214:G214" si="59">SUM(D208:D213)</f>
        <v>3.6</v>
      </c>
      <c r="E214" s="26">
        <f t="shared" si="59"/>
        <v>4.5</v>
      </c>
      <c r="F214" s="26">
        <f t="shared" si="59"/>
        <v>6</v>
      </c>
      <c r="G214" s="26">
        <f t="shared" si="59"/>
        <v>9</v>
      </c>
    </row>
    <row r="215" spans="1:9" ht="16.5" thickBot="1">
      <c r="B215" s="111"/>
      <c r="C215" s="112"/>
      <c r="D215" s="112"/>
      <c r="E215" s="112"/>
      <c r="F215" s="112"/>
      <c r="G215" s="112"/>
    </row>
    <row r="216" spans="1:9" ht="16.5" thickBot="1">
      <c r="B216" s="11" t="s">
        <v>41</v>
      </c>
      <c r="C216" s="14" t="s">
        <v>52</v>
      </c>
      <c r="D216" s="14" t="s">
        <v>57</v>
      </c>
      <c r="E216" s="14" t="s">
        <v>62</v>
      </c>
      <c r="F216" s="14" t="s">
        <v>53</v>
      </c>
      <c r="G216" s="14" t="s">
        <v>51</v>
      </c>
      <c r="H216" s="109"/>
      <c r="I216" s="109"/>
    </row>
    <row r="217" spans="1:9" ht="16.5" thickBot="1">
      <c r="B217" s="14" t="s">
        <v>52</v>
      </c>
      <c r="C217" s="19">
        <f>C209/C214</f>
        <v>0.22222222222222221</v>
      </c>
      <c r="D217" s="19">
        <f t="shared" ref="D217:G217" si="60">D209/D214</f>
        <v>0.22222222222222224</v>
      </c>
      <c r="E217" s="19">
        <f t="shared" si="60"/>
        <v>0.22222222222222221</v>
      </c>
      <c r="F217" s="19">
        <f t="shared" si="60"/>
        <v>0.22222222222222221</v>
      </c>
      <c r="G217" s="19">
        <f t="shared" si="60"/>
        <v>0.22222222222222221</v>
      </c>
      <c r="H217" s="114">
        <f>SUM(C217:G217)</f>
        <v>1.1111111111111112</v>
      </c>
      <c r="I217" s="114">
        <f>H217/6</f>
        <v>0.1851851851851852</v>
      </c>
    </row>
    <row r="218" spans="1:9" ht="16.5" thickBot="1">
      <c r="B218" s="14" t="s">
        <v>57</v>
      </c>
      <c r="C218" s="19">
        <f>C210/C214</f>
        <v>0.27777777777777779</v>
      </c>
      <c r="D218" s="19">
        <f t="shared" ref="D218:G218" si="61">D210/D214</f>
        <v>0.27777777777777779</v>
      </c>
      <c r="E218" s="19">
        <f t="shared" si="61"/>
        <v>0.27777777777777779</v>
      </c>
      <c r="F218" s="19">
        <f t="shared" si="61"/>
        <v>0.27777777777777779</v>
      </c>
      <c r="G218" s="19">
        <f t="shared" si="61"/>
        <v>0.27777777777777779</v>
      </c>
      <c r="H218" s="114">
        <f t="shared" ref="H218:H221" si="62">SUM(C218:G218)</f>
        <v>1.3888888888888888</v>
      </c>
      <c r="I218" s="114">
        <f t="shared" ref="I218:I221" si="63">H218/6</f>
        <v>0.23148148148148148</v>
      </c>
    </row>
    <row r="219" spans="1:9" ht="16.5" thickBot="1">
      <c r="B219" s="14" t="s">
        <v>62</v>
      </c>
      <c r="C219" s="19">
        <f>C211/C214</f>
        <v>0.22222222222222221</v>
      </c>
      <c r="D219" s="19">
        <f t="shared" ref="D219:G219" si="64">D211/D214</f>
        <v>0.22222222222222224</v>
      </c>
      <c r="E219" s="19">
        <f t="shared" si="64"/>
        <v>0.22222222222222221</v>
      </c>
      <c r="F219" s="19">
        <f t="shared" si="64"/>
        <v>0.22222222222222221</v>
      </c>
      <c r="G219" s="19">
        <f t="shared" si="64"/>
        <v>0.22222222222222221</v>
      </c>
      <c r="H219" s="114">
        <f t="shared" si="62"/>
        <v>1.1111111111111112</v>
      </c>
      <c r="I219" s="114">
        <f t="shared" si="63"/>
        <v>0.1851851851851852</v>
      </c>
    </row>
    <row r="220" spans="1:9" ht="16.5" thickBot="1">
      <c r="B220" s="14" t="s">
        <v>53</v>
      </c>
      <c r="C220" s="19">
        <f>C212/C214</f>
        <v>0.16666666666666666</v>
      </c>
      <c r="D220" s="19">
        <f t="shared" ref="D220:G220" si="65">D212/D214</f>
        <v>0.16666666666666666</v>
      </c>
      <c r="E220" s="19">
        <f t="shared" si="65"/>
        <v>0.16666666666666666</v>
      </c>
      <c r="F220" s="19">
        <f t="shared" si="65"/>
        <v>0.16666666666666666</v>
      </c>
      <c r="G220" s="19">
        <f t="shared" si="65"/>
        <v>0.16666666666666666</v>
      </c>
      <c r="H220" s="114">
        <f t="shared" si="62"/>
        <v>0.83333333333333326</v>
      </c>
      <c r="I220" s="114">
        <f t="shared" si="63"/>
        <v>0.13888888888888887</v>
      </c>
    </row>
    <row r="221" spans="1:9" ht="16.5" thickBot="1">
      <c r="B221" s="14" t="s">
        <v>51</v>
      </c>
      <c r="C221" s="19">
        <f>C213/C214</f>
        <v>0.1111111111111111</v>
      </c>
      <c r="D221" s="19">
        <f t="shared" ref="D221:G221" si="66">D213/D214</f>
        <v>0.11111111111111112</v>
      </c>
      <c r="E221" s="19">
        <f t="shared" si="66"/>
        <v>0.1111111111111111</v>
      </c>
      <c r="F221" s="19">
        <f t="shared" si="66"/>
        <v>0.1111111111111111</v>
      </c>
      <c r="G221" s="19">
        <f t="shared" si="66"/>
        <v>0.1111111111111111</v>
      </c>
      <c r="H221" s="114">
        <f t="shared" si="62"/>
        <v>0.55555555555555558</v>
      </c>
      <c r="I221" s="114">
        <f t="shared" si="63"/>
        <v>9.2592592592592601E-2</v>
      </c>
    </row>
    <row r="223" spans="1:9" ht="15.75" thickBot="1">
      <c r="B223" s="4" t="s">
        <v>462</v>
      </c>
    </row>
    <row r="224" spans="1:9" ht="16.5" thickBot="1">
      <c r="B224" s="11" t="s">
        <v>41</v>
      </c>
      <c r="C224" s="14" t="s">
        <v>52</v>
      </c>
      <c r="D224" s="14" t="s">
        <v>57</v>
      </c>
      <c r="E224" s="14" t="s">
        <v>62</v>
      </c>
      <c r="F224" s="14" t="s">
        <v>66</v>
      </c>
      <c r="G224" s="14" t="s">
        <v>59</v>
      </c>
    </row>
    <row r="225" spans="1:10" ht="32.25" thickBot="1">
      <c r="A225" s="3" t="s">
        <v>19</v>
      </c>
      <c r="B225" s="14" t="s">
        <v>52</v>
      </c>
      <c r="C225" s="16">
        <f>4/4</f>
        <v>1</v>
      </c>
      <c r="D225" s="16">
        <f>4/5</f>
        <v>0.8</v>
      </c>
      <c r="E225" s="16">
        <f t="shared" ref="E225" si="67">4/4</f>
        <v>1</v>
      </c>
      <c r="F225" s="16">
        <f>4/2</f>
        <v>2</v>
      </c>
      <c r="G225" s="19">
        <f>4/3</f>
        <v>1.3333333333333333</v>
      </c>
    </row>
    <row r="226" spans="1:10" ht="16.5" thickBot="1">
      <c r="A226" s="3" t="s">
        <v>21</v>
      </c>
      <c r="B226" s="14" t="s">
        <v>57</v>
      </c>
      <c r="C226" s="19">
        <f>5/4</f>
        <v>1.25</v>
      </c>
      <c r="D226" s="17">
        <f>5/5</f>
        <v>1</v>
      </c>
      <c r="E226" s="19">
        <f>5/4</f>
        <v>1.25</v>
      </c>
      <c r="F226" s="19">
        <f>5/2</f>
        <v>2.5</v>
      </c>
      <c r="G226" s="19">
        <f>5/3</f>
        <v>1.6666666666666667</v>
      </c>
    </row>
    <row r="227" spans="1:10" ht="16.5" thickBot="1">
      <c r="A227" s="3" t="s">
        <v>23</v>
      </c>
      <c r="B227" s="14" t="s">
        <v>62</v>
      </c>
      <c r="C227" s="17">
        <f>4/4</f>
        <v>1</v>
      </c>
      <c r="D227" s="19">
        <f>4/5</f>
        <v>0.8</v>
      </c>
      <c r="E227" s="16">
        <f>4/4</f>
        <v>1</v>
      </c>
      <c r="F227" s="19">
        <f>4/2</f>
        <v>2</v>
      </c>
      <c r="G227" s="19">
        <f>4/3</f>
        <v>1.3333333333333333</v>
      </c>
    </row>
    <row r="228" spans="1:10" ht="16.5" thickBot="1">
      <c r="A228" s="3" t="s">
        <v>25</v>
      </c>
      <c r="B228" s="14" t="s">
        <v>66</v>
      </c>
      <c r="C228" s="19">
        <f>2/4</f>
        <v>0.5</v>
      </c>
      <c r="D228" s="19">
        <f>2/5</f>
        <v>0.4</v>
      </c>
      <c r="E228" s="19">
        <f>2/4</f>
        <v>0.5</v>
      </c>
      <c r="F228" s="16">
        <f>2/2</f>
        <v>1</v>
      </c>
      <c r="G228" s="19">
        <f>2/3</f>
        <v>0.66666666666666663</v>
      </c>
    </row>
    <row r="229" spans="1:10" ht="16.5" thickBot="1">
      <c r="A229" s="3" t="s">
        <v>27</v>
      </c>
      <c r="B229" s="14" t="s">
        <v>59</v>
      </c>
      <c r="C229" s="16">
        <f>3/4</f>
        <v>0.75</v>
      </c>
      <c r="D229" s="16">
        <f>3/5</f>
        <v>0.6</v>
      </c>
      <c r="E229" s="19">
        <f>3/4</f>
        <v>0.75</v>
      </c>
      <c r="F229" s="19">
        <f>3/2</f>
        <v>1.5</v>
      </c>
      <c r="G229" s="17">
        <f>3/3</f>
        <v>1</v>
      </c>
    </row>
    <row r="230" spans="1:10" ht="16.5" thickBot="1">
      <c r="B230" s="25" t="s">
        <v>44</v>
      </c>
      <c r="C230" s="26">
        <f>SUM(C224:C229)</f>
        <v>4.5</v>
      </c>
      <c r="D230" s="26">
        <f t="shared" ref="D230:G230" si="68">SUM(D224:D229)</f>
        <v>3.6</v>
      </c>
      <c r="E230" s="26">
        <f t="shared" si="68"/>
        <v>4.5</v>
      </c>
      <c r="F230" s="26">
        <f t="shared" si="68"/>
        <v>9</v>
      </c>
      <c r="G230" s="26">
        <f t="shared" si="68"/>
        <v>6</v>
      </c>
    </row>
    <row r="231" spans="1:10" ht="15.75" thickBot="1"/>
    <row r="232" spans="1:10" ht="16.5" thickBot="1">
      <c r="B232" s="11" t="s">
        <v>41</v>
      </c>
      <c r="C232" s="14" t="s">
        <v>52</v>
      </c>
      <c r="D232" s="14" t="s">
        <v>57</v>
      </c>
      <c r="E232" s="14" t="s">
        <v>62</v>
      </c>
      <c r="F232" s="14" t="s">
        <v>66</v>
      </c>
      <c r="G232" s="14" t="s">
        <v>59</v>
      </c>
      <c r="H232" s="109"/>
      <c r="I232" s="109"/>
    </row>
    <row r="233" spans="1:10" ht="16.5" thickBot="1">
      <c r="B233" s="14" t="s">
        <v>52</v>
      </c>
      <c r="C233" s="18">
        <f>C225/C230</f>
        <v>0.22222222222222221</v>
      </c>
      <c r="D233" s="18">
        <f t="shared" ref="D233:G233" si="69">D225/D230</f>
        <v>0.22222222222222224</v>
      </c>
      <c r="E233" s="18">
        <f t="shared" si="69"/>
        <v>0.22222222222222221</v>
      </c>
      <c r="F233" s="18">
        <f t="shared" si="69"/>
        <v>0.22222222222222221</v>
      </c>
      <c r="G233" s="18">
        <f t="shared" si="69"/>
        <v>0.22222222222222221</v>
      </c>
      <c r="H233" s="117">
        <f>SUM(C233:G233)</f>
        <v>1.1111111111111112</v>
      </c>
      <c r="I233" s="114">
        <f>H233/6</f>
        <v>0.1851851851851852</v>
      </c>
    </row>
    <row r="234" spans="1:10" ht="16.5" thickBot="1">
      <c r="B234" s="14" t="s">
        <v>57</v>
      </c>
      <c r="C234" s="18">
        <f>C226/C230</f>
        <v>0.27777777777777779</v>
      </c>
      <c r="D234" s="18">
        <f t="shared" ref="D234:G234" si="70">D226/D230</f>
        <v>0.27777777777777779</v>
      </c>
      <c r="E234" s="18">
        <f t="shared" si="70"/>
        <v>0.27777777777777779</v>
      </c>
      <c r="F234" s="18">
        <f t="shared" si="70"/>
        <v>0.27777777777777779</v>
      </c>
      <c r="G234" s="18">
        <f t="shared" si="70"/>
        <v>0.27777777777777779</v>
      </c>
      <c r="H234" s="117">
        <f t="shared" ref="H234:H237" si="71">SUM(C234:G234)</f>
        <v>1.3888888888888888</v>
      </c>
      <c r="I234" s="114">
        <f t="shared" ref="I234:I237" si="72">H234/6</f>
        <v>0.23148148148148148</v>
      </c>
    </row>
    <row r="235" spans="1:10" ht="16.5" thickBot="1">
      <c r="B235" s="14" t="s">
        <v>62</v>
      </c>
      <c r="C235" s="18">
        <f>C227/C230</f>
        <v>0.22222222222222221</v>
      </c>
      <c r="D235" s="18">
        <f t="shared" ref="D235:G235" si="73">D227/D230</f>
        <v>0.22222222222222224</v>
      </c>
      <c r="E235" s="18">
        <f t="shared" si="73"/>
        <v>0.22222222222222221</v>
      </c>
      <c r="F235" s="18">
        <f t="shared" si="73"/>
        <v>0.22222222222222221</v>
      </c>
      <c r="G235" s="18">
        <f t="shared" si="73"/>
        <v>0.22222222222222221</v>
      </c>
      <c r="H235" s="117">
        <f t="shared" si="71"/>
        <v>1.1111111111111112</v>
      </c>
      <c r="I235" s="114">
        <f t="shared" si="72"/>
        <v>0.1851851851851852</v>
      </c>
    </row>
    <row r="236" spans="1:10" ht="16.5" thickBot="1">
      <c r="B236" s="14" t="s">
        <v>66</v>
      </c>
      <c r="C236" s="18">
        <f>C228/C230</f>
        <v>0.1111111111111111</v>
      </c>
      <c r="D236" s="18">
        <f t="shared" ref="D236:G236" si="74">D228/D230</f>
        <v>0.11111111111111112</v>
      </c>
      <c r="E236" s="18">
        <f t="shared" si="74"/>
        <v>0.1111111111111111</v>
      </c>
      <c r="F236" s="18">
        <f t="shared" si="74"/>
        <v>0.1111111111111111</v>
      </c>
      <c r="G236" s="18">
        <f t="shared" si="74"/>
        <v>0.1111111111111111</v>
      </c>
      <c r="H236" s="117">
        <f t="shared" si="71"/>
        <v>0.55555555555555558</v>
      </c>
      <c r="I236" s="114">
        <f t="shared" si="72"/>
        <v>9.2592592592592601E-2</v>
      </c>
    </row>
    <row r="237" spans="1:10" ht="16.5" thickBot="1">
      <c r="B237" s="14" t="s">
        <v>59</v>
      </c>
      <c r="C237" s="18">
        <f>C229/C230</f>
        <v>0.16666666666666666</v>
      </c>
      <c r="D237" s="18">
        <f t="shared" ref="D237:G237" si="75">D229/D230</f>
        <v>0.16666666666666666</v>
      </c>
      <c r="E237" s="18">
        <f t="shared" si="75"/>
        <v>0.16666666666666666</v>
      </c>
      <c r="F237" s="18">
        <f t="shared" si="75"/>
        <v>0.16666666666666666</v>
      </c>
      <c r="G237" s="18">
        <f t="shared" si="75"/>
        <v>0.16666666666666666</v>
      </c>
      <c r="H237" s="117">
        <f t="shared" si="71"/>
        <v>0.83333333333333326</v>
      </c>
      <c r="I237" s="114">
        <f t="shared" si="72"/>
        <v>0.13888888888888887</v>
      </c>
    </row>
    <row r="239" spans="1:10" ht="15.75" thickBot="1"/>
    <row r="240" spans="1:10" ht="16.5" thickBot="1">
      <c r="B240" s="11" t="s">
        <v>41</v>
      </c>
      <c r="C240" s="14" t="s">
        <v>451</v>
      </c>
      <c r="D240" s="14" t="s">
        <v>452</v>
      </c>
      <c r="E240" s="14" t="s">
        <v>453</v>
      </c>
      <c r="F240" s="14" t="s">
        <v>454</v>
      </c>
      <c r="G240" s="14" t="s">
        <v>455</v>
      </c>
      <c r="H240" s="116" t="s">
        <v>14</v>
      </c>
      <c r="I240" s="4" t="s">
        <v>463</v>
      </c>
      <c r="J240" s="4" t="s">
        <v>192</v>
      </c>
    </row>
    <row r="241" spans="1:10" ht="16.5" thickBot="1">
      <c r="B241" s="11" t="s">
        <v>461</v>
      </c>
      <c r="C241" s="118">
        <v>0.19</v>
      </c>
      <c r="D241" s="118">
        <v>0.04</v>
      </c>
      <c r="E241" s="118">
        <v>0.35</v>
      </c>
      <c r="F241" s="118">
        <v>0.12</v>
      </c>
      <c r="G241" s="118">
        <v>0.04</v>
      </c>
      <c r="H241" s="119">
        <v>0.27</v>
      </c>
    </row>
    <row r="242" spans="1:10" ht="32.25" thickBot="1">
      <c r="A242" s="3" t="s">
        <v>19</v>
      </c>
      <c r="B242" s="14" t="s">
        <v>456</v>
      </c>
      <c r="C242" s="19">
        <v>0.16</v>
      </c>
      <c r="D242" s="19">
        <v>0.21</v>
      </c>
      <c r="E242" s="19">
        <v>0.15</v>
      </c>
      <c r="F242" s="19">
        <v>0.1</v>
      </c>
      <c r="G242" s="19">
        <v>0.19</v>
      </c>
      <c r="H242" s="114">
        <v>0.19</v>
      </c>
      <c r="I242" s="115">
        <f>(C241*C242)+(D241*D242)+(E241*E242)+(F241*F242)+(G241*G242)+(H241*H242)</f>
        <v>0.16219999999999998</v>
      </c>
      <c r="J242" s="4">
        <v>3</v>
      </c>
    </row>
    <row r="243" spans="1:10" ht="16.5" thickBot="1">
      <c r="A243" s="3" t="s">
        <v>21</v>
      </c>
      <c r="B243" s="14" t="s">
        <v>457</v>
      </c>
      <c r="C243" s="19">
        <v>0.25</v>
      </c>
      <c r="D243" s="19">
        <v>0.21</v>
      </c>
      <c r="E243" s="19">
        <v>0.15</v>
      </c>
      <c r="F243" s="19">
        <v>0.1</v>
      </c>
      <c r="G243" s="19">
        <v>0.23</v>
      </c>
      <c r="H243" s="114">
        <v>0.23</v>
      </c>
      <c r="I243" s="115">
        <f>(C241*C243)+(D241*D243)+(E241*E243)+(F241*F243)+(G241*G243)+(H241*H243)</f>
        <v>0.19170000000000001</v>
      </c>
      <c r="J243" s="4">
        <v>2</v>
      </c>
    </row>
    <row r="244" spans="1:10" ht="16.5" thickBot="1">
      <c r="A244" s="3" t="s">
        <v>23</v>
      </c>
      <c r="B244" s="14" t="s">
        <v>458</v>
      </c>
      <c r="C244" s="19">
        <v>0.13</v>
      </c>
      <c r="D244" s="19">
        <v>0.16</v>
      </c>
      <c r="E244" s="19">
        <v>0.1</v>
      </c>
      <c r="F244" s="19">
        <v>0.21</v>
      </c>
      <c r="G244" s="19">
        <v>0.19</v>
      </c>
      <c r="H244" s="114">
        <v>0.19</v>
      </c>
      <c r="I244" s="115">
        <f>(C241*C244)+(D241*D244)+(E241*E244)+(F241*F244)+(G241*G244)+(H241*H244)</f>
        <v>0.1502</v>
      </c>
      <c r="J244" s="4">
        <v>4</v>
      </c>
    </row>
    <row r="245" spans="1:10" ht="16.5" thickBot="1">
      <c r="A245" s="3" t="s">
        <v>25</v>
      </c>
      <c r="B245" s="14" t="s">
        <v>459</v>
      </c>
      <c r="C245" s="19">
        <v>0.31</v>
      </c>
      <c r="D245" s="19">
        <v>0.26</v>
      </c>
      <c r="E245" s="19">
        <v>0.2</v>
      </c>
      <c r="F245" s="19">
        <v>0.26</v>
      </c>
      <c r="G245" s="19">
        <v>0.14000000000000001</v>
      </c>
      <c r="H245" s="114">
        <v>0.09</v>
      </c>
      <c r="I245" s="115">
        <f>(C241*C245)+(D241*D245)+(E241*E245)+(F241*F245)+(G241*G245)+(H241*H245)</f>
        <v>0.20039999999999997</v>
      </c>
      <c r="J245" s="4">
        <v>1</v>
      </c>
    </row>
    <row r="246" spans="1:10" ht="16.5" thickBot="1">
      <c r="A246" s="3" t="s">
        <v>27</v>
      </c>
      <c r="B246" s="14" t="s">
        <v>460</v>
      </c>
      <c r="C246" s="19">
        <v>0.13</v>
      </c>
      <c r="D246" s="19">
        <v>0.1</v>
      </c>
      <c r="E246" s="19">
        <v>0.15</v>
      </c>
      <c r="F246" s="19">
        <v>0.16</v>
      </c>
      <c r="G246" s="19">
        <v>0.09</v>
      </c>
      <c r="H246" s="114">
        <v>0.14000000000000001</v>
      </c>
      <c r="I246" s="115">
        <f>(C241*C246)+(D241*D246)+(E241*E246)+(F241*F246)+(G241*G246)+(H241*H246)</f>
        <v>0.14180000000000001</v>
      </c>
      <c r="J246" s="4">
        <v>5</v>
      </c>
    </row>
  </sheetData>
  <mergeCells count="6">
    <mergeCell ref="B16:C16"/>
    <mergeCell ref="B23:C23"/>
    <mergeCell ref="B1:M1"/>
    <mergeCell ref="B2:M2"/>
    <mergeCell ref="B6:C6"/>
    <mergeCell ref="B14:C14"/>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12"/>
  <sheetViews>
    <sheetView workbookViewId="0">
      <selection activeCell="D12" sqref="D12"/>
    </sheetView>
  </sheetViews>
  <sheetFormatPr defaultRowHeight="15"/>
  <sheetData>
    <row r="1" spans="2:16" ht="15.75" thickBot="1"/>
    <row r="2" spans="2:16" ht="16.5" thickBot="1">
      <c r="B2" s="31" t="s">
        <v>41</v>
      </c>
      <c r="C2" s="32" t="s">
        <v>4</v>
      </c>
      <c r="D2" s="32" t="s">
        <v>6</v>
      </c>
      <c r="E2" s="32" t="s">
        <v>8</v>
      </c>
      <c r="F2" s="32" t="s">
        <v>10</v>
      </c>
      <c r="G2" s="32" t="s">
        <v>12</v>
      </c>
      <c r="H2" s="32" t="s">
        <v>14</v>
      </c>
      <c r="J2" s="31" t="s">
        <v>41</v>
      </c>
      <c r="K2" s="32" t="s">
        <v>91</v>
      </c>
      <c r="L2" s="32" t="s">
        <v>92</v>
      </c>
      <c r="M2" s="32" t="s">
        <v>93</v>
      </c>
      <c r="N2" s="32" t="s">
        <v>94</v>
      </c>
      <c r="O2" s="32" t="s">
        <v>95</v>
      </c>
      <c r="P2" s="32" t="s">
        <v>96</v>
      </c>
    </row>
    <row r="3" spans="2:16" ht="16.5" thickBot="1">
      <c r="B3" s="33" t="s">
        <v>4</v>
      </c>
      <c r="C3" s="34">
        <v>0.06</v>
      </c>
      <c r="D3" s="34">
        <v>0.06</v>
      </c>
      <c r="E3" s="34">
        <v>0.06</v>
      </c>
      <c r="F3" s="34">
        <v>0.06</v>
      </c>
      <c r="G3" s="34">
        <v>0.06</v>
      </c>
      <c r="H3" s="34">
        <v>0.06</v>
      </c>
      <c r="J3" s="33" t="s">
        <v>91</v>
      </c>
      <c r="K3" s="34">
        <v>1</v>
      </c>
      <c r="L3" s="34">
        <v>0.75</v>
      </c>
      <c r="M3" s="34">
        <v>3</v>
      </c>
      <c r="N3" s="34">
        <v>1.5</v>
      </c>
      <c r="O3" s="34">
        <v>1</v>
      </c>
      <c r="P3" s="34">
        <v>3</v>
      </c>
    </row>
    <row r="4" spans="2:16" ht="16.5" thickBot="1">
      <c r="B4" s="33" t="s">
        <v>6</v>
      </c>
      <c r="C4" s="34">
        <v>0.2</v>
      </c>
      <c r="D4" s="34">
        <v>0.2</v>
      </c>
      <c r="E4" s="34">
        <v>0.2</v>
      </c>
      <c r="F4" s="34">
        <v>0.2</v>
      </c>
      <c r="G4" s="34">
        <v>0.2</v>
      </c>
      <c r="H4" s="34">
        <v>0.2</v>
      </c>
      <c r="J4" s="33" t="s">
        <v>92</v>
      </c>
      <c r="K4" s="34">
        <v>1.33</v>
      </c>
      <c r="L4" s="34">
        <v>1</v>
      </c>
      <c r="M4" s="34">
        <v>4</v>
      </c>
      <c r="N4" s="34">
        <v>2</v>
      </c>
      <c r="O4" s="34">
        <v>1.33</v>
      </c>
      <c r="P4" s="34">
        <v>4</v>
      </c>
    </row>
    <row r="5" spans="2:16" ht="16.5" thickBot="1">
      <c r="B5" s="33" t="s">
        <v>8</v>
      </c>
      <c r="C5" s="34">
        <v>0.06</v>
      </c>
      <c r="D5" s="34">
        <v>0.06</v>
      </c>
      <c r="E5" s="34">
        <v>0.06</v>
      </c>
      <c r="F5" s="34">
        <v>0.06</v>
      </c>
      <c r="G5" s="34">
        <v>0.06</v>
      </c>
      <c r="H5" s="34">
        <v>0.06</v>
      </c>
      <c r="J5" s="33" t="s">
        <v>93</v>
      </c>
      <c r="K5" s="34">
        <v>0.33</v>
      </c>
      <c r="L5" s="34">
        <v>0.25</v>
      </c>
      <c r="M5" s="34">
        <v>1</v>
      </c>
      <c r="N5" s="34">
        <v>0.5</v>
      </c>
      <c r="O5" s="34">
        <v>0.33</v>
      </c>
      <c r="P5" s="34">
        <v>1</v>
      </c>
    </row>
    <row r="6" spans="2:16" ht="16.5" thickBot="1">
      <c r="B6" s="33" t="s">
        <v>10</v>
      </c>
      <c r="C6" s="34">
        <v>0.26</v>
      </c>
      <c r="D6" s="34">
        <v>0.26</v>
      </c>
      <c r="E6" s="34">
        <v>0.26</v>
      </c>
      <c r="F6" s="34">
        <v>0.26</v>
      </c>
      <c r="G6" s="34">
        <v>0.26</v>
      </c>
      <c r="H6" s="34">
        <v>0.26</v>
      </c>
      <c r="J6" s="33" t="s">
        <v>94</v>
      </c>
      <c r="K6" s="34">
        <v>0.66</v>
      </c>
      <c r="L6" s="34">
        <v>0.5</v>
      </c>
      <c r="M6" s="34">
        <v>2</v>
      </c>
      <c r="N6" s="34">
        <v>1</v>
      </c>
      <c r="O6" s="34">
        <v>0.66</v>
      </c>
      <c r="P6" s="34">
        <v>2</v>
      </c>
    </row>
    <row r="7" spans="2:16" ht="16.5" thickBot="1">
      <c r="B7" s="33" t="s">
        <v>12</v>
      </c>
      <c r="C7" s="34">
        <v>0.26</v>
      </c>
      <c r="D7" s="34">
        <v>0.26</v>
      </c>
      <c r="E7" s="34">
        <v>0.26</v>
      </c>
      <c r="F7" s="34">
        <v>0.26</v>
      </c>
      <c r="G7" s="34">
        <v>0.26</v>
      </c>
      <c r="H7" s="34">
        <v>0.26</v>
      </c>
      <c r="J7" s="33" t="s">
        <v>95</v>
      </c>
      <c r="K7" s="34">
        <v>1</v>
      </c>
      <c r="L7" s="34">
        <v>0.75</v>
      </c>
      <c r="M7" s="34">
        <v>3</v>
      </c>
      <c r="N7" s="34">
        <v>1.5</v>
      </c>
      <c r="O7" s="34">
        <v>1</v>
      </c>
      <c r="P7" s="34">
        <v>3</v>
      </c>
    </row>
    <row r="8" spans="2:16" ht="16.5" thickBot="1">
      <c r="B8" s="33" t="s">
        <v>14</v>
      </c>
      <c r="C8" s="34">
        <v>0.13</v>
      </c>
      <c r="D8" s="34">
        <v>0.13</v>
      </c>
      <c r="E8" s="34">
        <v>0.13</v>
      </c>
      <c r="F8" s="34">
        <v>0.13</v>
      </c>
      <c r="G8" s="34">
        <v>0.13</v>
      </c>
      <c r="H8" s="34">
        <v>0.13</v>
      </c>
      <c r="J8" s="33" t="s">
        <v>96</v>
      </c>
      <c r="K8" s="34">
        <v>0.33</v>
      </c>
      <c r="L8" s="34">
        <v>0.25</v>
      </c>
      <c r="M8" s="34">
        <v>1</v>
      </c>
      <c r="N8" s="34">
        <v>0.5</v>
      </c>
      <c r="O8" s="34">
        <v>0.33</v>
      </c>
      <c r="P8" s="34">
        <v>1</v>
      </c>
    </row>
    <row r="9" spans="2:16" ht="16.5" thickBot="1">
      <c r="J9" s="33" t="s">
        <v>97</v>
      </c>
      <c r="K9" s="34">
        <v>4.6500000000000004</v>
      </c>
      <c r="L9" s="34">
        <v>3.5</v>
      </c>
      <c r="M9" s="34">
        <v>14</v>
      </c>
      <c r="N9" s="34">
        <v>7</v>
      </c>
      <c r="O9" s="34">
        <v>4.6500000000000004</v>
      </c>
      <c r="P9" s="34">
        <v>14</v>
      </c>
    </row>
    <row r="12" spans="2:16">
      <c r="C12" s="1">
        <f>(C3*K3)+(D3*K4)+(E3*K5)+(F3*K6)+(G3*K7)+(H3*K8)</f>
        <v>0.27899999999999997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K224"/>
  <sheetViews>
    <sheetView topLeftCell="A127" workbookViewId="0">
      <selection activeCell="N148" sqref="N148"/>
    </sheetView>
  </sheetViews>
  <sheetFormatPr defaultRowHeight="15"/>
  <cols>
    <col min="3" max="3" width="13.140625" customWidth="1"/>
    <col min="10" max="10" width="10.28515625" customWidth="1"/>
  </cols>
  <sheetData>
    <row r="1" spans="3:4" ht="15.75">
      <c r="C1" s="36" t="s">
        <v>98</v>
      </c>
    </row>
    <row r="2" spans="3:4" ht="16.5" thickBot="1">
      <c r="C2" s="9" t="s">
        <v>99</v>
      </c>
    </row>
    <row r="3" spans="3:4" ht="16.5" thickBot="1">
      <c r="C3" s="37" t="s">
        <v>41</v>
      </c>
      <c r="D3" s="38" t="s">
        <v>100</v>
      </c>
    </row>
    <row r="4" spans="3:4" ht="32.25" thickBot="1">
      <c r="C4" s="39" t="s">
        <v>101</v>
      </c>
      <c r="D4" s="34">
        <v>1</v>
      </c>
    </row>
    <row r="5" spans="3:4" ht="32.25" thickBot="1">
      <c r="C5" s="39" t="s">
        <v>102</v>
      </c>
      <c r="D5" s="34">
        <v>3</v>
      </c>
    </row>
    <row r="6" spans="3:4" ht="48" thickBot="1">
      <c r="C6" s="39" t="s">
        <v>103</v>
      </c>
      <c r="D6" s="34">
        <v>1</v>
      </c>
    </row>
    <row r="7" spans="3:4" ht="16.5" thickBot="1">
      <c r="C7" s="39" t="s">
        <v>104</v>
      </c>
      <c r="D7" s="34">
        <v>4</v>
      </c>
    </row>
    <row r="8" spans="3:4" ht="63.75" thickBot="1">
      <c r="C8" s="39" t="s">
        <v>105</v>
      </c>
      <c r="D8" s="34">
        <v>4</v>
      </c>
    </row>
    <row r="9" spans="3:4" ht="32.25" thickBot="1">
      <c r="C9" s="39" t="s">
        <v>106</v>
      </c>
      <c r="D9" s="34">
        <v>2</v>
      </c>
    </row>
    <row r="10" spans="3:4" ht="16.5" thickBot="1">
      <c r="C10" s="9" t="s">
        <v>107</v>
      </c>
    </row>
    <row r="11" spans="3:4" ht="16.5" thickBot="1">
      <c r="C11" s="37" t="s">
        <v>108</v>
      </c>
      <c r="D11" s="38" t="s">
        <v>100</v>
      </c>
    </row>
    <row r="12" spans="3:4" ht="16.5" thickBot="1">
      <c r="C12" s="39" t="s">
        <v>109</v>
      </c>
      <c r="D12" s="34">
        <v>4</v>
      </c>
    </row>
    <row r="13" spans="3:4" ht="32.25" thickBot="1">
      <c r="C13" s="39" t="s">
        <v>110</v>
      </c>
      <c r="D13" s="34">
        <v>5</v>
      </c>
    </row>
    <row r="14" spans="3:4" ht="16.5" thickBot="1">
      <c r="C14" s="39" t="s">
        <v>111</v>
      </c>
      <c r="D14" s="34">
        <v>2</v>
      </c>
    </row>
    <row r="15" spans="3:4" ht="16.5" thickBot="1">
      <c r="C15" s="39" t="s">
        <v>112</v>
      </c>
      <c r="D15" s="34">
        <v>3</v>
      </c>
    </row>
    <row r="16" spans="3:4" ht="16.5" thickBot="1">
      <c r="C16" s="39" t="s">
        <v>113</v>
      </c>
      <c r="D16" s="34">
        <v>4</v>
      </c>
    </row>
    <row r="17" spans="3:9" ht="32.25" thickBot="1">
      <c r="C17" s="39" t="s">
        <v>114</v>
      </c>
      <c r="D17" s="34">
        <v>3</v>
      </c>
    </row>
    <row r="18" spans="3:9" ht="15.75">
      <c r="C18" s="9"/>
    </row>
    <row r="19" spans="3:9" ht="15.75">
      <c r="C19" s="40" t="s">
        <v>115</v>
      </c>
    </row>
    <row r="20" spans="3:9" ht="16.5" thickBot="1">
      <c r="C20" s="35"/>
    </row>
    <row r="21" spans="3:9" ht="16.5" thickBot="1">
      <c r="C21" s="31" t="s">
        <v>41</v>
      </c>
      <c r="D21" s="32" t="s">
        <v>83</v>
      </c>
      <c r="E21" s="32" t="s">
        <v>84</v>
      </c>
      <c r="F21" s="32" t="s">
        <v>85</v>
      </c>
      <c r="G21" s="32" t="s">
        <v>86</v>
      </c>
      <c r="H21" s="32" t="s">
        <v>87</v>
      </c>
      <c r="I21" s="32" t="s">
        <v>88</v>
      </c>
    </row>
    <row r="22" spans="3:9" ht="16.5" thickBot="1">
      <c r="C22" s="33" t="s">
        <v>83</v>
      </c>
      <c r="D22" s="34">
        <v>1</v>
      </c>
      <c r="E22" s="34">
        <v>0.33</v>
      </c>
      <c r="F22" s="34">
        <v>1</v>
      </c>
      <c r="G22" s="34">
        <v>0.25</v>
      </c>
      <c r="H22" s="34">
        <v>0.25</v>
      </c>
      <c r="I22" s="34">
        <v>0.5</v>
      </c>
    </row>
    <row r="23" spans="3:9" ht="16.5" thickBot="1">
      <c r="C23" s="33" t="s">
        <v>84</v>
      </c>
      <c r="D23" s="34">
        <v>3</v>
      </c>
      <c r="E23" s="34">
        <v>1</v>
      </c>
      <c r="F23" s="34">
        <v>3</v>
      </c>
      <c r="G23" s="34">
        <v>0.75</v>
      </c>
      <c r="H23" s="34">
        <v>0.75</v>
      </c>
      <c r="I23" s="34">
        <v>1.5</v>
      </c>
    </row>
    <row r="24" spans="3:9" ht="16.5" thickBot="1">
      <c r="C24" s="33" t="s">
        <v>85</v>
      </c>
      <c r="D24" s="34">
        <v>1</v>
      </c>
      <c r="E24" s="34">
        <v>0.33</v>
      </c>
      <c r="F24" s="34">
        <v>1</v>
      </c>
      <c r="G24" s="34">
        <v>0.25</v>
      </c>
      <c r="H24" s="34">
        <v>0.25</v>
      </c>
      <c r="I24" s="34">
        <v>0.5</v>
      </c>
    </row>
    <row r="25" spans="3:9" ht="16.5" thickBot="1">
      <c r="C25" s="33" t="s">
        <v>86</v>
      </c>
      <c r="D25" s="34">
        <v>4</v>
      </c>
      <c r="E25" s="34">
        <v>3.5</v>
      </c>
      <c r="F25" s="34">
        <v>4</v>
      </c>
      <c r="G25" s="34">
        <v>1</v>
      </c>
      <c r="H25" s="34">
        <v>1</v>
      </c>
      <c r="I25" s="34">
        <v>2</v>
      </c>
    </row>
    <row r="26" spans="3:9" ht="16.5" thickBot="1">
      <c r="C26" s="33" t="s">
        <v>89</v>
      </c>
      <c r="D26" s="34">
        <v>4</v>
      </c>
      <c r="E26" s="34">
        <v>1.33</v>
      </c>
      <c r="F26" s="34">
        <v>4</v>
      </c>
      <c r="G26" s="34">
        <v>1</v>
      </c>
      <c r="H26" s="34">
        <v>1</v>
      </c>
      <c r="I26" s="34">
        <v>2</v>
      </c>
    </row>
    <row r="27" spans="3:9" ht="16.5" thickBot="1">
      <c r="C27" s="33" t="s">
        <v>90</v>
      </c>
      <c r="D27" s="34">
        <v>2</v>
      </c>
      <c r="E27" s="34">
        <v>0.66</v>
      </c>
      <c r="F27" s="34">
        <v>2</v>
      </c>
      <c r="G27" s="34">
        <v>0.5</v>
      </c>
      <c r="H27" s="34">
        <v>0.5</v>
      </c>
      <c r="I27" s="34">
        <v>1</v>
      </c>
    </row>
    <row r="28" spans="3:9" ht="15.75">
      <c r="C28" s="40"/>
    </row>
    <row r="29" spans="3:9" ht="15.75">
      <c r="C29" s="40" t="s">
        <v>116</v>
      </c>
    </row>
    <row r="30" spans="3:9" ht="16.5" thickBot="1">
      <c r="C30" s="40" t="s">
        <v>117</v>
      </c>
    </row>
    <row r="31" spans="3:9" ht="16.5" thickBot="1">
      <c r="C31" s="31" t="s">
        <v>41</v>
      </c>
      <c r="D31" s="32" t="s">
        <v>91</v>
      </c>
      <c r="E31" s="32" t="s">
        <v>92</v>
      </c>
      <c r="F31" s="32" t="s">
        <v>93</v>
      </c>
      <c r="G31" s="32" t="s">
        <v>94</v>
      </c>
      <c r="H31" s="32" t="s">
        <v>95</v>
      </c>
      <c r="I31" s="32" t="s">
        <v>96</v>
      </c>
    </row>
    <row r="32" spans="3:9" ht="16.5" thickBot="1">
      <c r="C32" s="33" t="s">
        <v>91</v>
      </c>
      <c r="D32" s="34">
        <v>1</v>
      </c>
      <c r="E32" s="34">
        <v>0.75</v>
      </c>
      <c r="F32" s="34">
        <v>3</v>
      </c>
      <c r="G32" s="34">
        <v>1.5</v>
      </c>
      <c r="H32" s="34">
        <v>1</v>
      </c>
      <c r="I32" s="34">
        <v>3</v>
      </c>
    </row>
    <row r="33" spans="3:9" ht="16.5" thickBot="1">
      <c r="C33" s="33" t="s">
        <v>92</v>
      </c>
      <c r="D33" s="34">
        <v>1.33</v>
      </c>
      <c r="E33" s="34">
        <v>1</v>
      </c>
      <c r="F33" s="34">
        <v>4</v>
      </c>
      <c r="G33" s="34">
        <v>2</v>
      </c>
      <c r="H33" s="34">
        <v>1.33</v>
      </c>
      <c r="I33" s="34">
        <v>4</v>
      </c>
    </row>
    <row r="34" spans="3:9" ht="16.5" thickBot="1">
      <c r="C34" s="33" t="s">
        <v>93</v>
      </c>
      <c r="D34" s="34">
        <v>0.33</v>
      </c>
      <c r="E34" s="34">
        <v>0.25</v>
      </c>
      <c r="F34" s="34">
        <v>1</v>
      </c>
      <c r="G34" s="34">
        <v>0.5</v>
      </c>
      <c r="H34" s="34">
        <v>0.33</v>
      </c>
      <c r="I34" s="34">
        <v>1</v>
      </c>
    </row>
    <row r="35" spans="3:9" ht="16.5" thickBot="1">
      <c r="C35" s="33" t="s">
        <v>94</v>
      </c>
      <c r="D35" s="34">
        <v>0.66</v>
      </c>
      <c r="E35" s="34">
        <v>0.5</v>
      </c>
      <c r="F35" s="34">
        <v>2</v>
      </c>
      <c r="G35" s="34">
        <v>1</v>
      </c>
      <c r="H35" s="34">
        <v>0.66</v>
      </c>
      <c r="I35" s="34">
        <v>2</v>
      </c>
    </row>
    <row r="36" spans="3:9" ht="16.5" thickBot="1">
      <c r="C36" s="33" t="s">
        <v>95</v>
      </c>
      <c r="D36" s="34">
        <v>1</v>
      </c>
      <c r="E36" s="34">
        <v>0.75</v>
      </c>
      <c r="F36" s="34">
        <v>3</v>
      </c>
      <c r="G36" s="34">
        <v>1.5</v>
      </c>
      <c r="H36" s="34">
        <v>1</v>
      </c>
      <c r="I36" s="34">
        <v>3</v>
      </c>
    </row>
    <row r="37" spans="3:9" ht="16.5" thickBot="1">
      <c r="C37" s="33" t="s">
        <v>96</v>
      </c>
      <c r="D37" s="34">
        <v>0.33</v>
      </c>
      <c r="E37" s="34">
        <v>0.25</v>
      </c>
      <c r="F37" s="34">
        <v>1</v>
      </c>
      <c r="G37" s="34">
        <v>0.5</v>
      </c>
      <c r="H37" s="34">
        <v>0.33</v>
      </c>
      <c r="I37" s="34">
        <v>1</v>
      </c>
    </row>
    <row r="38" spans="3:9" ht="16.5" thickBot="1">
      <c r="C38" s="33" t="s">
        <v>97</v>
      </c>
      <c r="D38" s="34">
        <v>4.6500000000000004</v>
      </c>
      <c r="E38" s="34">
        <v>3.5</v>
      </c>
      <c r="F38" s="34">
        <v>14</v>
      </c>
      <c r="G38" s="34">
        <v>7</v>
      </c>
      <c r="H38" s="34">
        <v>4.6500000000000004</v>
      </c>
      <c r="I38" s="34">
        <v>14</v>
      </c>
    </row>
    <row r="39" spans="3:9" ht="15.75">
      <c r="C39" s="41"/>
    </row>
    <row r="40" spans="3:9" ht="16.5" thickBot="1">
      <c r="C40" s="40" t="s">
        <v>118</v>
      </c>
    </row>
    <row r="41" spans="3:9" ht="16.5" thickBot="1">
      <c r="C41" s="31" t="s">
        <v>41</v>
      </c>
      <c r="D41" s="32" t="s">
        <v>119</v>
      </c>
      <c r="E41" s="32" t="s">
        <v>92</v>
      </c>
      <c r="F41" s="32" t="s">
        <v>120</v>
      </c>
      <c r="G41" s="32" t="s">
        <v>121</v>
      </c>
      <c r="H41" s="32" t="s">
        <v>122</v>
      </c>
      <c r="I41" s="32" t="s">
        <v>123</v>
      </c>
    </row>
    <row r="42" spans="3:9" ht="16.5" thickBot="1">
      <c r="C42" s="33" t="s">
        <v>119</v>
      </c>
      <c r="D42" s="34">
        <v>1</v>
      </c>
      <c r="E42" s="34">
        <v>1</v>
      </c>
      <c r="F42" s="34">
        <v>1.33</v>
      </c>
      <c r="G42" s="34">
        <v>1.33</v>
      </c>
      <c r="H42" s="34">
        <v>1</v>
      </c>
      <c r="I42" s="34">
        <v>2</v>
      </c>
    </row>
    <row r="43" spans="3:9" ht="16.5" thickBot="1">
      <c r="C43" s="33" t="s">
        <v>92</v>
      </c>
      <c r="D43" s="34">
        <v>1</v>
      </c>
      <c r="E43" s="34">
        <v>1</v>
      </c>
      <c r="F43" s="34">
        <v>1.33</v>
      </c>
      <c r="G43" s="34">
        <v>1.33</v>
      </c>
      <c r="H43" s="34">
        <v>1</v>
      </c>
      <c r="I43" s="34">
        <v>2</v>
      </c>
    </row>
    <row r="44" spans="3:9" ht="16.5" thickBot="1">
      <c r="C44" s="33" t="s">
        <v>120</v>
      </c>
      <c r="D44" s="34">
        <v>0.75</v>
      </c>
      <c r="E44" s="34">
        <v>0.75</v>
      </c>
      <c r="F44" s="34">
        <v>1</v>
      </c>
      <c r="G44" s="34">
        <v>1</v>
      </c>
      <c r="H44" s="34">
        <v>0.75</v>
      </c>
      <c r="I44" s="34">
        <v>1.5</v>
      </c>
    </row>
    <row r="45" spans="3:9" ht="16.5" thickBot="1">
      <c r="C45" s="33" t="s">
        <v>121</v>
      </c>
      <c r="D45" s="34">
        <v>0.75</v>
      </c>
      <c r="E45" s="34">
        <v>0.75</v>
      </c>
      <c r="F45" s="34">
        <v>1</v>
      </c>
      <c r="G45" s="34">
        <v>1</v>
      </c>
      <c r="H45" s="34">
        <v>0.75</v>
      </c>
      <c r="I45" s="34">
        <v>1.5</v>
      </c>
    </row>
    <row r="46" spans="3:9" ht="16.5" thickBot="1">
      <c r="C46" s="33" t="s">
        <v>122</v>
      </c>
      <c r="D46" s="34">
        <v>1</v>
      </c>
      <c r="E46" s="34">
        <v>1</v>
      </c>
      <c r="F46" s="34">
        <v>1.33</v>
      </c>
      <c r="G46" s="34">
        <v>1.33</v>
      </c>
      <c r="H46" s="34">
        <v>1</v>
      </c>
      <c r="I46" s="34">
        <v>2</v>
      </c>
    </row>
    <row r="47" spans="3:9" ht="16.5" thickBot="1">
      <c r="C47" s="33" t="s">
        <v>123</v>
      </c>
      <c r="D47" s="34">
        <v>0.5</v>
      </c>
      <c r="E47" s="34">
        <v>0.5</v>
      </c>
      <c r="F47" s="34">
        <v>0.66</v>
      </c>
      <c r="G47" s="34">
        <v>0.66</v>
      </c>
      <c r="H47" s="34">
        <v>0.5</v>
      </c>
      <c r="I47" s="34">
        <v>1</v>
      </c>
    </row>
    <row r="48" spans="3:9" ht="16.5" thickBot="1">
      <c r="C48" s="33" t="s">
        <v>97</v>
      </c>
      <c r="D48" s="34">
        <v>5</v>
      </c>
      <c r="E48" s="34">
        <v>5</v>
      </c>
      <c r="F48" s="34">
        <v>6.65</v>
      </c>
      <c r="G48" s="34">
        <v>6.65</v>
      </c>
      <c r="H48" s="34">
        <v>5</v>
      </c>
      <c r="I48" s="34">
        <v>10</v>
      </c>
    </row>
    <row r="49" spans="3:9" ht="15.75">
      <c r="C49" s="41"/>
    </row>
    <row r="50" spans="3:9" ht="16.5" thickBot="1">
      <c r="C50" s="40" t="s">
        <v>124</v>
      </c>
    </row>
    <row r="51" spans="3:9" ht="16.5" thickBot="1">
      <c r="C51" s="31" t="s">
        <v>41</v>
      </c>
      <c r="D51" s="32" t="s">
        <v>91</v>
      </c>
      <c r="E51" s="32" t="s">
        <v>92</v>
      </c>
      <c r="F51" s="32" t="s">
        <v>125</v>
      </c>
      <c r="G51" s="32" t="s">
        <v>94</v>
      </c>
      <c r="H51" s="32" t="s">
        <v>95</v>
      </c>
      <c r="I51" s="32" t="s">
        <v>123</v>
      </c>
    </row>
    <row r="52" spans="3:9" ht="16.5" thickBot="1">
      <c r="C52" s="33" t="s">
        <v>91</v>
      </c>
      <c r="D52" s="34">
        <v>1</v>
      </c>
      <c r="E52" s="34">
        <v>0.75</v>
      </c>
      <c r="F52" s="34">
        <v>1.5</v>
      </c>
      <c r="G52" s="34">
        <v>1.5</v>
      </c>
      <c r="H52" s="34">
        <v>1</v>
      </c>
      <c r="I52" s="34">
        <v>1.5</v>
      </c>
    </row>
    <row r="53" spans="3:9" ht="16.5" thickBot="1">
      <c r="C53" s="33" t="s">
        <v>92</v>
      </c>
      <c r="D53" s="34">
        <v>1.33</v>
      </c>
      <c r="E53" s="34">
        <v>1</v>
      </c>
      <c r="F53" s="34">
        <v>2</v>
      </c>
      <c r="G53" s="34">
        <v>2</v>
      </c>
      <c r="H53" s="34">
        <v>1.33</v>
      </c>
      <c r="I53" s="34">
        <v>2</v>
      </c>
    </row>
    <row r="54" spans="3:9" ht="16.5" thickBot="1">
      <c r="C54" s="33" t="s">
        <v>125</v>
      </c>
      <c r="D54" s="34">
        <v>0.66</v>
      </c>
      <c r="E54" s="34">
        <v>0.5</v>
      </c>
      <c r="F54" s="34">
        <v>1</v>
      </c>
      <c r="G54" s="34">
        <v>1</v>
      </c>
      <c r="H54" s="34">
        <v>0.66</v>
      </c>
      <c r="I54" s="34">
        <v>1</v>
      </c>
    </row>
    <row r="55" spans="3:9" ht="16.5" thickBot="1">
      <c r="C55" s="33" t="s">
        <v>94</v>
      </c>
      <c r="D55" s="34">
        <v>0.66</v>
      </c>
      <c r="E55" s="34">
        <v>0.5</v>
      </c>
      <c r="F55" s="34">
        <v>1</v>
      </c>
      <c r="G55" s="34">
        <v>1</v>
      </c>
      <c r="H55" s="34">
        <v>0.66</v>
      </c>
      <c r="I55" s="34">
        <v>1</v>
      </c>
    </row>
    <row r="56" spans="3:9" ht="16.5" thickBot="1">
      <c r="C56" s="33" t="s">
        <v>95</v>
      </c>
      <c r="D56" s="34">
        <v>1</v>
      </c>
      <c r="E56" s="34">
        <v>0.75</v>
      </c>
      <c r="F56" s="34">
        <v>1.5</v>
      </c>
      <c r="G56" s="34">
        <v>1.5</v>
      </c>
      <c r="H56" s="34">
        <v>1</v>
      </c>
      <c r="I56" s="34">
        <v>1.5</v>
      </c>
    </row>
    <row r="57" spans="3:9" ht="16.5" thickBot="1">
      <c r="C57" s="33" t="s">
        <v>123</v>
      </c>
      <c r="D57" s="34">
        <v>0.66</v>
      </c>
      <c r="E57" s="34">
        <v>0.5</v>
      </c>
      <c r="F57" s="34">
        <v>1</v>
      </c>
      <c r="G57" s="34">
        <v>1</v>
      </c>
      <c r="H57" s="34">
        <v>0.66</v>
      </c>
      <c r="I57" s="34">
        <v>1</v>
      </c>
    </row>
    <row r="58" spans="3:9" ht="16.5" thickBot="1">
      <c r="C58" s="33" t="s">
        <v>97</v>
      </c>
      <c r="D58" s="34">
        <v>3.33</v>
      </c>
      <c r="E58" s="34">
        <v>4</v>
      </c>
      <c r="F58" s="34">
        <v>8</v>
      </c>
      <c r="G58" s="34">
        <v>8</v>
      </c>
      <c r="H58" s="34">
        <v>3.33</v>
      </c>
      <c r="I58" s="34">
        <v>8</v>
      </c>
    </row>
    <row r="59" spans="3:9" ht="15.75">
      <c r="C59" s="40"/>
    </row>
    <row r="60" spans="3:9" ht="16.5" thickBot="1">
      <c r="C60" s="40" t="s">
        <v>126</v>
      </c>
    </row>
    <row r="61" spans="3:9" ht="16.5" thickBot="1">
      <c r="C61" s="31" t="s">
        <v>41</v>
      </c>
      <c r="D61" s="32" t="s">
        <v>119</v>
      </c>
      <c r="E61" s="32" t="s">
        <v>127</v>
      </c>
      <c r="F61" s="32" t="s">
        <v>128</v>
      </c>
      <c r="G61" s="32" t="s">
        <v>129</v>
      </c>
      <c r="H61" s="32" t="s">
        <v>95</v>
      </c>
      <c r="I61" s="32" t="s">
        <v>130</v>
      </c>
    </row>
    <row r="62" spans="3:9" ht="16.5" thickBot="1">
      <c r="C62" s="33" t="s">
        <v>119</v>
      </c>
      <c r="D62" s="34">
        <v>1</v>
      </c>
      <c r="E62" s="34">
        <v>1.33</v>
      </c>
      <c r="F62" s="34">
        <v>1</v>
      </c>
      <c r="G62" s="34">
        <v>1</v>
      </c>
      <c r="H62" s="34">
        <v>1.33</v>
      </c>
      <c r="I62" s="34">
        <v>1</v>
      </c>
    </row>
    <row r="63" spans="3:9" ht="16.5" thickBot="1">
      <c r="C63" s="33" t="s">
        <v>127</v>
      </c>
      <c r="D63" s="34">
        <v>0.75</v>
      </c>
      <c r="E63" s="34">
        <v>1</v>
      </c>
      <c r="F63" s="34">
        <v>0.75</v>
      </c>
      <c r="G63" s="34">
        <v>0.75</v>
      </c>
      <c r="H63" s="34">
        <v>1</v>
      </c>
      <c r="I63" s="34">
        <v>0.75</v>
      </c>
    </row>
    <row r="64" spans="3:9" ht="16.5" thickBot="1">
      <c r="C64" s="33" t="s">
        <v>128</v>
      </c>
      <c r="D64" s="34">
        <v>1</v>
      </c>
      <c r="E64" s="34">
        <v>1.33</v>
      </c>
      <c r="F64" s="34">
        <v>1</v>
      </c>
      <c r="G64" s="34">
        <v>1</v>
      </c>
      <c r="H64" s="34">
        <v>1.33</v>
      </c>
      <c r="I64" s="34">
        <v>1</v>
      </c>
    </row>
    <row r="65" spans="3:9" ht="16.5" thickBot="1">
      <c r="C65" s="33" t="s">
        <v>129</v>
      </c>
      <c r="D65" s="34">
        <v>1</v>
      </c>
      <c r="E65" s="34">
        <v>1.33</v>
      </c>
      <c r="F65" s="34">
        <v>1</v>
      </c>
      <c r="G65" s="34">
        <v>1</v>
      </c>
      <c r="H65" s="34">
        <v>1.33</v>
      </c>
      <c r="I65" s="34">
        <v>1</v>
      </c>
    </row>
    <row r="66" spans="3:9" ht="16.5" thickBot="1">
      <c r="C66" s="33" t="s">
        <v>95</v>
      </c>
      <c r="D66" s="34">
        <v>0.75</v>
      </c>
      <c r="E66" s="34">
        <v>1</v>
      </c>
      <c r="F66" s="34">
        <v>0.75</v>
      </c>
      <c r="G66" s="34">
        <v>0.75</v>
      </c>
      <c r="H66" s="34">
        <v>1</v>
      </c>
      <c r="I66" s="34">
        <v>0.75</v>
      </c>
    </row>
    <row r="67" spans="3:9" ht="16.5" thickBot="1">
      <c r="C67" s="33" t="s">
        <v>130</v>
      </c>
      <c r="D67" s="34">
        <v>1</v>
      </c>
      <c r="E67" s="34">
        <v>1.33</v>
      </c>
      <c r="F67" s="34">
        <v>1</v>
      </c>
      <c r="G67" s="34">
        <v>1</v>
      </c>
      <c r="H67" s="34">
        <v>1.33</v>
      </c>
      <c r="I67" s="34">
        <v>1</v>
      </c>
    </row>
    <row r="68" spans="3:9" ht="16.5" thickBot="1">
      <c r="C68" s="33" t="s">
        <v>97</v>
      </c>
      <c r="D68" s="34">
        <v>5.5</v>
      </c>
      <c r="E68" s="34">
        <v>7.32</v>
      </c>
      <c r="F68" s="34">
        <v>5.5</v>
      </c>
      <c r="G68" s="34">
        <v>5.5</v>
      </c>
      <c r="H68" s="34">
        <v>7.32</v>
      </c>
      <c r="I68" s="34">
        <v>5.5</v>
      </c>
    </row>
    <row r="69" spans="3:9" ht="15.75">
      <c r="C69" s="41"/>
    </row>
    <row r="70" spans="3:9" ht="16.5" thickBot="1">
      <c r="C70" s="40" t="s">
        <v>131</v>
      </c>
    </row>
    <row r="71" spans="3:9" ht="16.5" thickBot="1">
      <c r="C71" s="31" t="s">
        <v>41</v>
      </c>
      <c r="D71" s="32" t="s">
        <v>91</v>
      </c>
      <c r="E71" s="32" t="s">
        <v>92</v>
      </c>
      <c r="F71" s="32" t="s">
        <v>93</v>
      </c>
      <c r="G71" s="32" t="s">
        <v>94</v>
      </c>
      <c r="H71" s="32" t="s">
        <v>95</v>
      </c>
      <c r="I71" s="32" t="s">
        <v>123</v>
      </c>
    </row>
    <row r="72" spans="3:9" ht="16.5" thickBot="1">
      <c r="C72" s="33" t="s">
        <v>91</v>
      </c>
      <c r="D72" s="34">
        <v>1</v>
      </c>
      <c r="E72" s="34">
        <v>0.75</v>
      </c>
      <c r="F72" s="34">
        <v>3</v>
      </c>
      <c r="G72" s="34">
        <v>1.5</v>
      </c>
      <c r="H72" s="34">
        <v>1</v>
      </c>
      <c r="I72" s="34">
        <v>1.5</v>
      </c>
    </row>
    <row r="73" spans="3:9" ht="16.5" thickBot="1">
      <c r="C73" s="33" t="s">
        <v>92</v>
      </c>
      <c r="D73" s="34">
        <v>1.33</v>
      </c>
      <c r="E73" s="34">
        <v>1</v>
      </c>
      <c r="F73" s="34">
        <v>4</v>
      </c>
      <c r="G73" s="34">
        <v>2</v>
      </c>
      <c r="H73" s="34">
        <v>1.33</v>
      </c>
      <c r="I73" s="34">
        <v>2</v>
      </c>
    </row>
    <row r="74" spans="3:9" ht="16.5" thickBot="1">
      <c r="C74" s="33" t="s">
        <v>93</v>
      </c>
      <c r="D74" s="34">
        <v>0.33</v>
      </c>
      <c r="E74" s="34">
        <v>0.25</v>
      </c>
      <c r="F74" s="34">
        <v>1</v>
      </c>
      <c r="G74" s="34">
        <v>0.5</v>
      </c>
      <c r="H74" s="34">
        <v>0.33</v>
      </c>
      <c r="I74" s="34">
        <v>0.5</v>
      </c>
    </row>
    <row r="75" spans="3:9" ht="16.5" thickBot="1">
      <c r="C75" s="33" t="s">
        <v>94</v>
      </c>
      <c r="D75" s="34">
        <v>0.66</v>
      </c>
      <c r="E75" s="34">
        <v>0.5</v>
      </c>
      <c r="F75" s="34">
        <v>2</v>
      </c>
      <c r="G75" s="34">
        <v>1</v>
      </c>
      <c r="H75" s="34">
        <v>0.66</v>
      </c>
      <c r="I75" s="34">
        <v>1</v>
      </c>
    </row>
    <row r="76" spans="3:9" ht="16.5" thickBot="1">
      <c r="C76" s="33" t="s">
        <v>95</v>
      </c>
      <c r="D76" s="34">
        <v>1</v>
      </c>
      <c r="E76" s="34">
        <v>0.75</v>
      </c>
      <c r="F76" s="34">
        <v>3</v>
      </c>
      <c r="G76" s="34">
        <v>1.5</v>
      </c>
      <c r="H76" s="34">
        <v>1</v>
      </c>
      <c r="I76" s="34">
        <v>1.5</v>
      </c>
    </row>
    <row r="77" spans="3:9" ht="16.5" thickBot="1">
      <c r="C77" s="33" t="s">
        <v>123</v>
      </c>
      <c r="D77" s="34">
        <v>0.66</v>
      </c>
      <c r="E77" s="34">
        <v>0.5</v>
      </c>
      <c r="F77" s="34">
        <v>2</v>
      </c>
      <c r="G77" s="34">
        <v>1</v>
      </c>
      <c r="H77" s="34">
        <v>0.66</v>
      </c>
      <c r="I77" s="34">
        <v>1</v>
      </c>
    </row>
    <row r="78" spans="3:9" ht="16.5" thickBot="1">
      <c r="C78" s="33" t="s">
        <v>97</v>
      </c>
      <c r="D78" s="34">
        <v>4.9800000000000004</v>
      </c>
      <c r="E78" s="34">
        <v>3.75</v>
      </c>
      <c r="F78" s="34">
        <v>15</v>
      </c>
      <c r="G78" s="34">
        <v>6</v>
      </c>
      <c r="H78" s="34">
        <v>4.9800000000000004</v>
      </c>
      <c r="I78" s="34">
        <v>6</v>
      </c>
    </row>
    <row r="79" spans="3:9" ht="15.75">
      <c r="C79" s="40"/>
    </row>
    <row r="80" spans="3:9" ht="16.5" thickBot="1">
      <c r="C80" s="40" t="s">
        <v>132</v>
      </c>
    </row>
    <row r="81" spans="3:9" ht="16.5" thickBot="1">
      <c r="C81" s="31" t="s">
        <v>41</v>
      </c>
      <c r="D81" s="32" t="s">
        <v>133</v>
      </c>
      <c r="E81" s="32" t="s">
        <v>92</v>
      </c>
      <c r="F81" s="32" t="s">
        <v>120</v>
      </c>
      <c r="G81" s="32" t="s">
        <v>121</v>
      </c>
      <c r="H81" s="32" t="s">
        <v>122</v>
      </c>
      <c r="I81" s="32" t="s">
        <v>123</v>
      </c>
    </row>
    <row r="82" spans="3:9" ht="16.5" thickBot="1">
      <c r="C82" s="33" t="s">
        <v>133</v>
      </c>
      <c r="D82" s="34">
        <v>1</v>
      </c>
      <c r="E82" s="34">
        <v>0.5</v>
      </c>
      <c r="F82" s="34">
        <v>0.66</v>
      </c>
      <c r="G82" s="34">
        <v>0.66</v>
      </c>
      <c r="H82" s="34">
        <v>0.5</v>
      </c>
      <c r="I82" s="34">
        <v>1</v>
      </c>
    </row>
    <row r="83" spans="3:9" ht="16.5" thickBot="1">
      <c r="C83" s="33" t="s">
        <v>92</v>
      </c>
      <c r="D83" s="34">
        <v>2</v>
      </c>
      <c r="E83" s="34">
        <v>1</v>
      </c>
      <c r="F83" s="34">
        <v>1.33</v>
      </c>
      <c r="G83" s="34">
        <v>1.33</v>
      </c>
      <c r="H83" s="34">
        <v>1</v>
      </c>
      <c r="I83" s="34">
        <v>2</v>
      </c>
    </row>
    <row r="84" spans="3:9" ht="16.5" thickBot="1">
      <c r="C84" s="33" t="s">
        <v>120</v>
      </c>
      <c r="D84" s="34">
        <v>1.5</v>
      </c>
      <c r="E84" s="34">
        <v>0.75</v>
      </c>
      <c r="F84" s="34">
        <v>1</v>
      </c>
      <c r="G84" s="34">
        <v>1</v>
      </c>
      <c r="H84" s="34">
        <v>0.75</v>
      </c>
      <c r="I84" s="34">
        <v>1.5</v>
      </c>
    </row>
    <row r="85" spans="3:9" ht="16.5" thickBot="1">
      <c r="C85" s="33" t="s">
        <v>121</v>
      </c>
      <c r="D85" s="34">
        <v>1.5</v>
      </c>
      <c r="E85" s="34">
        <v>0.75</v>
      </c>
      <c r="F85" s="34">
        <v>1</v>
      </c>
      <c r="G85" s="34">
        <v>1</v>
      </c>
      <c r="H85" s="34">
        <v>0.75</v>
      </c>
      <c r="I85" s="34">
        <v>1.5</v>
      </c>
    </row>
    <row r="86" spans="3:9" ht="16.5" thickBot="1">
      <c r="C86" s="33" t="s">
        <v>122</v>
      </c>
      <c r="D86" s="34">
        <v>2</v>
      </c>
      <c r="E86" s="34">
        <v>1</v>
      </c>
      <c r="F86" s="34">
        <v>1.33</v>
      </c>
      <c r="G86" s="34">
        <v>1.33</v>
      </c>
      <c r="H86" s="34">
        <v>1</v>
      </c>
      <c r="I86" s="34">
        <v>2</v>
      </c>
    </row>
    <row r="87" spans="3:9" ht="16.5" thickBot="1">
      <c r="C87" s="33" t="s">
        <v>123</v>
      </c>
      <c r="D87" s="34">
        <v>1</v>
      </c>
      <c r="E87" s="34">
        <v>0.5</v>
      </c>
      <c r="F87" s="34">
        <v>0.66</v>
      </c>
      <c r="G87" s="34">
        <v>0.66</v>
      </c>
      <c r="H87" s="34">
        <v>0.5</v>
      </c>
      <c r="I87" s="34">
        <v>1</v>
      </c>
    </row>
    <row r="88" spans="3:9" ht="16.5" thickBot="1">
      <c r="C88" s="33" t="s">
        <v>97</v>
      </c>
      <c r="D88" s="34">
        <v>9</v>
      </c>
      <c r="E88" s="34">
        <v>4.5</v>
      </c>
      <c r="F88" s="34">
        <v>5.98</v>
      </c>
      <c r="G88" s="34">
        <v>5.98</v>
      </c>
      <c r="H88" s="34">
        <v>4.5</v>
      </c>
      <c r="I88" s="34">
        <v>9</v>
      </c>
    </row>
    <row r="89" spans="3:9" ht="15.75">
      <c r="C89" s="41"/>
    </row>
    <row r="90" spans="3:9" ht="15.75">
      <c r="C90" s="41" t="s">
        <v>134</v>
      </c>
    </row>
    <row r="91" spans="3:9" ht="15.75">
      <c r="C91" s="40" t="s">
        <v>135</v>
      </c>
    </row>
    <row r="92" spans="3:9" ht="16.5" thickBot="1">
      <c r="C92" s="42" t="s">
        <v>136</v>
      </c>
    </row>
    <row r="93" spans="3:9" ht="16.5" thickBot="1">
      <c r="C93" s="31" t="s">
        <v>41</v>
      </c>
      <c r="D93" s="32" t="s">
        <v>83</v>
      </c>
      <c r="E93" s="32" t="s">
        <v>84</v>
      </c>
      <c r="F93" s="32" t="s">
        <v>85</v>
      </c>
      <c r="G93" s="32" t="s">
        <v>86</v>
      </c>
      <c r="H93" s="32" t="s">
        <v>89</v>
      </c>
      <c r="I93" s="32" t="s">
        <v>90</v>
      </c>
    </row>
    <row r="94" spans="3:9" ht="16.5" thickBot="1">
      <c r="C94" s="33" t="s">
        <v>83</v>
      </c>
      <c r="D94" s="34">
        <v>1</v>
      </c>
      <c r="E94" s="34">
        <v>0.33</v>
      </c>
      <c r="F94" s="34">
        <v>1</v>
      </c>
      <c r="G94" s="34">
        <v>0.25</v>
      </c>
      <c r="H94" s="34">
        <v>0.25</v>
      </c>
      <c r="I94" s="34">
        <v>0.5</v>
      </c>
    </row>
    <row r="95" spans="3:9" ht="16.5" thickBot="1">
      <c r="C95" s="33" t="s">
        <v>84</v>
      </c>
      <c r="D95" s="34">
        <v>3</v>
      </c>
      <c r="E95" s="34">
        <v>1</v>
      </c>
      <c r="F95" s="34">
        <v>3</v>
      </c>
      <c r="G95" s="34">
        <v>0.75</v>
      </c>
      <c r="H95" s="34">
        <v>0.75</v>
      </c>
      <c r="I95" s="34">
        <v>1.5</v>
      </c>
    </row>
    <row r="96" spans="3:9" ht="16.5" thickBot="1">
      <c r="C96" s="33" t="s">
        <v>85</v>
      </c>
      <c r="D96" s="34">
        <v>1</v>
      </c>
      <c r="E96" s="34">
        <v>0.33</v>
      </c>
      <c r="F96" s="34">
        <v>1</v>
      </c>
      <c r="G96" s="34">
        <v>0.25</v>
      </c>
      <c r="H96" s="34">
        <v>0.25</v>
      </c>
      <c r="I96" s="34">
        <v>0.5</v>
      </c>
    </row>
    <row r="97" spans="3:11" ht="16.5" thickBot="1">
      <c r="C97" s="33" t="s">
        <v>86</v>
      </c>
      <c r="D97" s="34">
        <v>4</v>
      </c>
      <c r="E97" s="34">
        <v>3.5</v>
      </c>
      <c r="F97" s="34">
        <v>4</v>
      </c>
      <c r="G97" s="34">
        <v>1</v>
      </c>
      <c r="H97" s="34">
        <v>1</v>
      </c>
      <c r="I97" s="34">
        <v>2</v>
      </c>
    </row>
    <row r="98" spans="3:11" ht="16.5" thickBot="1">
      <c r="C98" s="33" t="s">
        <v>89</v>
      </c>
      <c r="D98" s="34">
        <v>4</v>
      </c>
      <c r="E98" s="34">
        <v>1.33</v>
      </c>
      <c r="F98" s="34">
        <v>4</v>
      </c>
      <c r="G98" s="34">
        <v>1</v>
      </c>
      <c r="H98" s="34">
        <v>1</v>
      </c>
      <c r="I98" s="34">
        <v>2</v>
      </c>
    </row>
    <row r="99" spans="3:11" ht="16.5" thickBot="1">
      <c r="C99" s="33" t="s">
        <v>90</v>
      </c>
      <c r="D99" s="34">
        <v>2</v>
      </c>
      <c r="E99" s="34">
        <v>0.66</v>
      </c>
      <c r="F99" s="34">
        <v>2</v>
      </c>
      <c r="G99" s="34">
        <v>0.5</v>
      </c>
      <c r="H99" s="34">
        <v>0.5</v>
      </c>
      <c r="I99" s="34">
        <v>1</v>
      </c>
    </row>
    <row r="100" spans="3:11" ht="16.5" thickBot="1">
      <c r="C100" s="33" t="s">
        <v>97</v>
      </c>
      <c r="D100" s="34">
        <v>15</v>
      </c>
      <c r="E100" s="34">
        <v>4.9800000000000004</v>
      </c>
      <c r="F100" s="34">
        <v>15</v>
      </c>
      <c r="G100" s="34">
        <v>3.75</v>
      </c>
      <c r="H100" s="34">
        <v>3.75</v>
      </c>
      <c r="I100" s="34">
        <v>7.5</v>
      </c>
    </row>
    <row r="101" spans="3:11" ht="16.5" thickBot="1">
      <c r="C101" s="42" t="s">
        <v>137</v>
      </c>
    </row>
    <row r="102" spans="3:11" ht="32.25" thickBot="1">
      <c r="C102" s="31" t="s">
        <v>41</v>
      </c>
      <c r="D102" s="32" t="s">
        <v>4</v>
      </c>
      <c r="E102" s="32" t="s">
        <v>6</v>
      </c>
      <c r="F102" s="32" t="s">
        <v>8</v>
      </c>
      <c r="G102" s="32" t="s">
        <v>10</v>
      </c>
      <c r="H102" s="32" t="s">
        <v>12</v>
      </c>
      <c r="I102" s="32" t="s">
        <v>14</v>
      </c>
      <c r="J102" s="32" t="s">
        <v>138</v>
      </c>
      <c r="K102" s="32" t="s">
        <v>139</v>
      </c>
    </row>
    <row r="103" spans="3:11" ht="16.5" thickBot="1">
      <c r="C103" s="33" t="s">
        <v>4</v>
      </c>
      <c r="D103" s="34">
        <v>0.06</v>
      </c>
      <c r="E103" s="34">
        <v>0.06</v>
      </c>
      <c r="F103" s="34">
        <v>0.06</v>
      </c>
      <c r="G103" s="34">
        <v>0.06</v>
      </c>
      <c r="H103" s="34">
        <v>0.06</v>
      </c>
      <c r="I103" s="34">
        <v>0.06</v>
      </c>
      <c r="J103" s="34" t="s">
        <v>140</v>
      </c>
      <c r="K103" s="34">
        <v>0.06</v>
      </c>
    </row>
    <row r="104" spans="3:11" ht="16.5" thickBot="1">
      <c r="C104" s="33" t="s">
        <v>6</v>
      </c>
      <c r="D104" s="34">
        <v>0.2</v>
      </c>
      <c r="E104" s="34">
        <v>0.2</v>
      </c>
      <c r="F104" s="34">
        <v>0.2</v>
      </c>
      <c r="G104" s="34">
        <v>0.2</v>
      </c>
      <c r="H104" s="34">
        <v>0.2</v>
      </c>
      <c r="I104" s="34">
        <v>0.2</v>
      </c>
      <c r="J104" s="34" t="s">
        <v>141</v>
      </c>
      <c r="K104" s="34">
        <v>0.2</v>
      </c>
    </row>
    <row r="105" spans="3:11" ht="16.5" thickBot="1">
      <c r="C105" s="33" t="s">
        <v>8</v>
      </c>
      <c r="D105" s="34">
        <v>0.06</v>
      </c>
      <c r="E105" s="34">
        <v>0.06</v>
      </c>
      <c r="F105" s="34">
        <v>0.06</v>
      </c>
      <c r="G105" s="34">
        <v>0.06</v>
      </c>
      <c r="H105" s="34">
        <v>0.06</v>
      </c>
      <c r="I105" s="34">
        <v>0.06</v>
      </c>
      <c r="J105" s="34" t="s">
        <v>140</v>
      </c>
      <c r="K105" s="34">
        <v>0.06</v>
      </c>
    </row>
    <row r="106" spans="3:11" ht="16.5" thickBot="1">
      <c r="C106" s="33" t="s">
        <v>10</v>
      </c>
      <c r="D106" s="34">
        <v>0.26</v>
      </c>
      <c r="E106" s="34">
        <v>0.26</v>
      </c>
      <c r="F106" s="34">
        <v>0.26</v>
      </c>
      <c r="G106" s="34">
        <v>0.26</v>
      </c>
      <c r="H106" s="34">
        <v>0.26</v>
      </c>
      <c r="I106" s="34">
        <v>0.26</v>
      </c>
      <c r="J106" s="34" t="s">
        <v>142</v>
      </c>
      <c r="K106" s="34">
        <v>0.26</v>
      </c>
    </row>
    <row r="107" spans="3:11" ht="16.5" thickBot="1">
      <c r="C107" s="33" t="s">
        <v>12</v>
      </c>
      <c r="D107" s="34">
        <v>0.26</v>
      </c>
      <c r="E107" s="34">
        <v>0.26</v>
      </c>
      <c r="F107" s="34">
        <v>0.26</v>
      </c>
      <c r="G107" s="34">
        <v>0.26</v>
      </c>
      <c r="H107" s="34">
        <v>0.26</v>
      </c>
      <c r="I107" s="34">
        <v>0.26</v>
      </c>
      <c r="J107" s="34" t="s">
        <v>142</v>
      </c>
      <c r="K107" s="34">
        <v>0.26</v>
      </c>
    </row>
    <row r="108" spans="3:11" ht="16.5" thickBot="1">
      <c r="C108" s="33" t="s">
        <v>14</v>
      </c>
      <c r="D108" s="34">
        <v>0.13</v>
      </c>
      <c r="E108" s="34">
        <v>0.13</v>
      </c>
      <c r="F108" s="34">
        <v>0.13</v>
      </c>
      <c r="G108" s="34">
        <v>0.13</v>
      </c>
      <c r="H108" s="34">
        <v>0.13</v>
      </c>
      <c r="I108" s="34">
        <v>0.13</v>
      </c>
      <c r="J108" s="34" t="s">
        <v>143</v>
      </c>
      <c r="K108" s="34">
        <v>0.13</v>
      </c>
    </row>
    <row r="109" spans="3:11" ht="15.75">
      <c r="C109" s="42" t="s">
        <v>144</v>
      </c>
    </row>
    <row r="110" spans="3:11" ht="15.75">
      <c r="C110" s="40" t="s">
        <v>145</v>
      </c>
    </row>
    <row r="111" spans="3:11" ht="15.75">
      <c r="C111" s="40" t="s">
        <v>146</v>
      </c>
      <c r="D111" s="40" t="s">
        <v>147</v>
      </c>
    </row>
    <row r="112" spans="3:11" ht="15.75">
      <c r="D112" s="40" t="s">
        <v>148</v>
      </c>
    </row>
    <row r="113" spans="3:4" ht="15.75">
      <c r="C113" s="43"/>
    </row>
    <row r="114" spans="3:4" ht="15.75">
      <c r="C114" s="40" t="s">
        <v>149</v>
      </c>
      <c r="D114" s="40" t="s">
        <v>150</v>
      </c>
    </row>
    <row r="115" spans="3:4" ht="15.75">
      <c r="D115" s="40" t="s">
        <v>151</v>
      </c>
    </row>
    <row r="116" spans="3:4" ht="15.75">
      <c r="C116" s="43"/>
    </row>
    <row r="117" spans="3:4" ht="15.75">
      <c r="C117" s="40" t="s">
        <v>152</v>
      </c>
      <c r="D117" s="40" t="s">
        <v>153</v>
      </c>
    </row>
    <row r="118" spans="3:4" ht="15.75">
      <c r="D118" s="40" t="s">
        <v>154</v>
      </c>
    </row>
    <row r="119" spans="3:4" ht="15.75">
      <c r="C119" s="43"/>
    </row>
    <row r="120" spans="3:4" ht="15.75">
      <c r="C120" s="40" t="s">
        <v>155</v>
      </c>
      <c r="D120" s="40" t="s">
        <v>156</v>
      </c>
    </row>
    <row r="121" spans="3:4" ht="15.75">
      <c r="D121" s="40" t="s">
        <v>157</v>
      </c>
    </row>
    <row r="122" spans="3:4" ht="15.75">
      <c r="C122" s="43"/>
    </row>
    <row r="123" spans="3:4" ht="15.75">
      <c r="C123" s="40" t="s">
        <v>158</v>
      </c>
      <c r="D123" s="40" t="s">
        <v>156</v>
      </c>
    </row>
    <row r="124" spans="3:4" ht="15.75">
      <c r="D124" s="40" t="s">
        <v>159</v>
      </c>
    </row>
    <row r="125" spans="3:4" ht="15.75">
      <c r="C125" s="40"/>
    </row>
    <row r="126" spans="3:4" ht="15.75">
      <c r="C126" s="40" t="s">
        <v>160</v>
      </c>
      <c r="D126" s="40" t="s">
        <v>161</v>
      </c>
    </row>
    <row r="127" spans="3:4" ht="15.75">
      <c r="D127" s="40" t="s">
        <v>162</v>
      </c>
    </row>
    <row r="128" spans="3:4" ht="15.75">
      <c r="C128" s="40"/>
    </row>
    <row r="129" spans="3:11" ht="15.75">
      <c r="C129" s="40" t="s">
        <v>163</v>
      </c>
    </row>
    <row r="131" spans="3:11" ht="15.75">
      <c r="C131" s="40" t="s">
        <v>164</v>
      </c>
    </row>
    <row r="132" spans="3:11" ht="15.75">
      <c r="C132" s="40" t="s">
        <v>165</v>
      </c>
    </row>
    <row r="133" spans="3:11" ht="15.75">
      <c r="C133" s="40"/>
    </row>
    <row r="134" spans="3:11" ht="15.75">
      <c r="C134" s="40" t="s">
        <v>166</v>
      </c>
    </row>
    <row r="135" spans="3:11" ht="15.75">
      <c r="C135" s="40" t="s">
        <v>167</v>
      </c>
    </row>
    <row r="136" spans="3:11" ht="15.75">
      <c r="C136" s="40" t="s">
        <v>168</v>
      </c>
    </row>
    <row r="137" spans="3:11" ht="15.75">
      <c r="C137" s="40" t="s">
        <v>169</v>
      </c>
    </row>
    <row r="138" spans="3:11" ht="15.75">
      <c r="C138" s="41" t="s">
        <v>170</v>
      </c>
    </row>
    <row r="139" spans="3:11" ht="16.5" thickBot="1">
      <c r="C139" s="40" t="s">
        <v>171</v>
      </c>
    </row>
    <row r="140" spans="3:11" ht="32.25" thickBot="1">
      <c r="C140" s="31" t="s">
        <v>108</v>
      </c>
      <c r="D140" s="32" t="s">
        <v>18</v>
      </c>
      <c r="E140" s="32" t="s">
        <v>20</v>
      </c>
      <c r="F140" s="32" t="s">
        <v>22</v>
      </c>
      <c r="G140" s="32" t="s">
        <v>24</v>
      </c>
      <c r="H140" s="32" t="s">
        <v>26</v>
      </c>
      <c r="I140" s="32" t="s">
        <v>46</v>
      </c>
      <c r="J140" s="32" t="s">
        <v>138</v>
      </c>
      <c r="K140" s="32" t="s">
        <v>139</v>
      </c>
    </row>
    <row r="141" spans="3:11" ht="16.5" thickBot="1">
      <c r="C141" s="33" t="s">
        <v>18</v>
      </c>
      <c r="D141" s="34">
        <v>0.21</v>
      </c>
      <c r="E141" s="34">
        <v>0.21</v>
      </c>
      <c r="F141" s="34">
        <v>0.21</v>
      </c>
      <c r="G141" s="34">
        <v>0.21</v>
      </c>
      <c r="H141" s="34">
        <v>0.21</v>
      </c>
      <c r="I141" s="34">
        <v>0.21</v>
      </c>
      <c r="J141" s="34" t="s">
        <v>172</v>
      </c>
      <c r="K141" s="34">
        <v>0.21</v>
      </c>
    </row>
    <row r="142" spans="3:11" ht="16.5" thickBot="1">
      <c r="C142" s="33" t="s">
        <v>20</v>
      </c>
      <c r="D142" s="34">
        <v>0.28000000000000003</v>
      </c>
      <c r="E142" s="34">
        <v>0.28000000000000003</v>
      </c>
      <c r="F142" s="34">
        <v>0.28000000000000003</v>
      </c>
      <c r="G142" s="34">
        <v>0.28000000000000003</v>
      </c>
      <c r="H142" s="34">
        <v>0.28000000000000003</v>
      </c>
      <c r="I142" s="34">
        <v>0.28000000000000003</v>
      </c>
      <c r="J142" s="34" t="s">
        <v>173</v>
      </c>
      <c r="K142" s="34">
        <v>0.28000000000000003</v>
      </c>
    </row>
    <row r="143" spans="3:11" ht="16.5" thickBot="1">
      <c r="C143" s="33" t="s">
        <v>22</v>
      </c>
      <c r="D143" s="34">
        <v>7.0000000000000007E-2</v>
      </c>
      <c r="E143" s="34">
        <v>7.0000000000000007E-2</v>
      </c>
      <c r="F143" s="34">
        <v>7.0000000000000007E-2</v>
      </c>
      <c r="G143" s="34">
        <v>7.0000000000000007E-2</v>
      </c>
      <c r="H143" s="34">
        <v>7.0000000000000007E-2</v>
      </c>
      <c r="I143" s="34">
        <v>7.0000000000000007E-2</v>
      </c>
      <c r="J143" s="34" t="s">
        <v>174</v>
      </c>
      <c r="K143" s="34">
        <v>7.0000000000000007E-2</v>
      </c>
    </row>
    <row r="144" spans="3:11" ht="16.5" thickBot="1">
      <c r="C144" s="33" t="s">
        <v>24</v>
      </c>
      <c r="D144" s="34">
        <v>0.14000000000000001</v>
      </c>
      <c r="E144" s="34">
        <v>0.14000000000000001</v>
      </c>
      <c r="F144" s="34">
        <v>0.14000000000000001</v>
      </c>
      <c r="G144" s="34">
        <v>0.14000000000000001</v>
      </c>
      <c r="H144" s="34">
        <v>0.14000000000000001</v>
      </c>
      <c r="I144" s="34">
        <v>0.14000000000000001</v>
      </c>
      <c r="J144" s="34" t="s">
        <v>175</v>
      </c>
      <c r="K144" s="34">
        <v>0.14000000000000001</v>
      </c>
    </row>
    <row r="145" spans="3:11" ht="16.5" thickBot="1">
      <c r="C145" s="33" t="s">
        <v>26</v>
      </c>
      <c r="D145" s="34">
        <v>0.21</v>
      </c>
      <c r="E145" s="34">
        <v>0.21</v>
      </c>
      <c r="F145" s="34">
        <v>0.21</v>
      </c>
      <c r="G145" s="34">
        <v>0.21</v>
      </c>
      <c r="H145" s="34">
        <v>0.21</v>
      </c>
      <c r="I145" s="34">
        <v>0.21</v>
      </c>
      <c r="J145" s="34" t="s">
        <v>172</v>
      </c>
      <c r="K145" s="34">
        <v>0.21</v>
      </c>
    </row>
    <row r="146" spans="3:11" ht="16.5" thickBot="1">
      <c r="C146" s="33" t="s">
        <v>46</v>
      </c>
      <c r="D146" s="34">
        <v>7.0000000000000007E-2</v>
      </c>
      <c r="E146" s="34">
        <v>7.0000000000000007E-2</v>
      </c>
      <c r="F146" s="34">
        <v>7.0000000000000007E-2</v>
      </c>
      <c r="G146" s="34">
        <v>7.0000000000000007E-2</v>
      </c>
      <c r="H146" s="34">
        <v>7.0000000000000007E-2</v>
      </c>
      <c r="I146" s="34">
        <v>7.0000000000000007E-2</v>
      </c>
      <c r="J146" s="34" t="s">
        <v>174</v>
      </c>
      <c r="K146" s="34">
        <v>7.0000000000000007E-2</v>
      </c>
    </row>
    <row r="147" spans="3:11" ht="15.75">
      <c r="C147" s="41"/>
    </row>
    <row r="148" spans="3:11" ht="16.5" thickBot="1">
      <c r="C148" s="40" t="s">
        <v>176</v>
      </c>
    </row>
    <row r="149" spans="3:11" ht="32.25" thickBot="1">
      <c r="C149" s="31" t="s">
        <v>108</v>
      </c>
      <c r="D149" s="32" t="s">
        <v>18</v>
      </c>
      <c r="E149" s="32" t="s">
        <v>20</v>
      </c>
      <c r="F149" s="32" t="s">
        <v>22</v>
      </c>
      <c r="G149" s="32" t="s">
        <v>24</v>
      </c>
      <c r="H149" s="32" t="s">
        <v>26</v>
      </c>
      <c r="I149" s="32" t="s">
        <v>46</v>
      </c>
      <c r="J149" s="32" t="s">
        <v>138</v>
      </c>
      <c r="K149" s="32" t="s">
        <v>139</v>
      </c>
    </row>
    <row r="150" spans="3:11" ht="16.5" thickBot="1">
      <c r="C150" s="33" t="s">
        <v>18</v>
      </c>
      <c r="D150" s="34">
        <v>0.2</v>
      </c>
      <c r="E150" s="34">
        <v>0.2</v>
      </c>
      <c r="F150" s="34">
        <v>0.2</v>
      </c>
      <c r="G150" s="34">
        <v>0.2</v>
      </c>
      <c r="H150" s="34">
        <v>0.2</v>
      </c>
      <c r="I150" s="34">
        <v>0.2</v>
      </c>
      <c r="J150" s="34" t="s">
        <v>141</v>
      </c>
      <c r="K150" s="34">
        <v>0.2</v>
      </c>
    </row>
    <row r="151" spans="3:11" ht="16.5" thickBot="1">
      <c r="C151" s="33" t="s">
        <v>20</v>
      </c>
      <c r="D151" s="34">
        <v>0.2</v>
      </c>
      <c r="E151" s="34">
        <v>0.2</v>
      </c>
      <c r="F151" s="34">
        <v>0.2</v>
      </c>
      <c r="G151" s="34">
        <v>0.2</v>
      </c>
      <c r="H151" s="34">
        <v>0.2</v>
      </c>
      <c r="I151" s="34">
        <v>0.2</v>
      </c>
      <c r="J151" s="34" t="s">
        <v>141</v>
      </c>
      <c r="K151" s="34">
        <v>0.2</v>
      </c>
    </row>
    <row r="152" spans="3:11" ht="16.5" thickBot="1">
      <c r="C152" s="33" t="s">
        <v>22</v>
      </c>
      <c r="D152" s="34">
        <v>0.15</v>
      </c>
      <c r="E152" s="34">
        <v>0.15</v>
      </c>
      <c r="F152" s="34">
        <v>0.15</v>
      </c>
      <c r="G152" s="34">
        <v>0.15</v>
      </c>
      <c r="H152" s="34">
        <v>0.15</v>
      </c>
      <c r="I152" s="34">
        <v>0.15</v>
      </c>
      <c r="J152" s="34" t="s">
        <v>177</v>
      </c>
      <c r="K152" s="34">
        <v>0.15</v>
      </c>
    </row>
    <row r="153" spans="3:11" ht="16.5" thickBot="1">
      <c r="C153" s="33" t="s">
        <v>24</v>
      </c>
      <c r="D153" s="34">
        <v>0.15</v>
      </c>
      <c r="E153" s="34">
        <v>0.15</v>
      </c>
      <c r="F153" s="34">
        <v>0.15</v>
      </c>
      <c r="G153" s="34">
        <v>0.15</v>
      </c>
      <c r="H153" s="34">
        <v>0.15</v>
      </c>
      <c r="I153" s="34">
        <v>0.15</v>
      </c>
      <c r="J153" s="34" t="s">
        <v>177</v>
      </c>
      <c r="K153" s="34">
        <v>0.15</v>
      </c>
    </row>
    <row r="154" spans="3:11" ht="16.5" thickBot="1">
      <c r="C154" s="33" t="s">
        <v>26</v>
      </c>
      <c r="D154" s="34">
        <v>0.2</v>
      </c>
      <c r="E154" s="34">
        <v>0.2</v>
      </c>
      <c r="F154" s="34">
        <v>0.2</v>
      </c>
      <c r="G154" s="34">
        <v>0.2</v>
      </c>
      <c r="H154" s="34">
        <v>0.2</v>
      </c>
      <c r="I154" s="34">
        <v>0.2</v>
      </c>
      <c r="J154" s="34" t="s">
        <v>141</v>
      </c>
      <c r="K154" s="34">
        <v>0.2</v>
      </c>
    </row>
    <row r="155" spans="3:11" ht="16.5" thickBot="1">
      <c r="C155" s="33" t="s">
        <v>46</v>
      </c>
      <c r="D155" s="34">
        <v>0.1</v>
      </c>
      <c r="E155" s="34">
        <v>0.1</v>
      </c>
      <c r="F155" s="34">
        <v>0.09</v>
      </c>
      <c r="G155" s="34">
        <v>0.09</v>
      </c>
      <c r="H155" s="34">
        <v>0.1</v>
      </c>
      <c r="I155" s="34">
        <v>0.1</v>
      </c>
      <c r="J155" s="34" t="s">
        <v>178</v>
      </c>
      <c r="K155" s="34">
        <v>0.09</v>
      </c>
    </row>
    <row r="156" spans="3:11" ht="15.75">
      <c r="C156" s="41"/>
    </row>
    <row r="157" spans="3:11" ht="16.5" thickBot="1">
      <c r="C157" s="40" t="s">
        <v>179</v>
      </c>
    </row>
    <row r="158" spans="3:11" ht="32.25" thickBot="1">
      <c r="C158" s="31" t="s">
        <v>108</v>
      </c>
      <c r="D158" s="32" t="s">
        <v>18</v>
      </c>
      <c r="E158" s="32" t="s">
        <v>20</v>
      </c>
      <c r="F158" s="32" t="s">
        <v>22</v>
      </c>
      <c r="G158" s="32" t="s">
        <v>24</v>
      </c>
      <c r="H158" s="32" t="s">
        <v>26</v>
      </c>
      <c r="I158" s="32" t="s">
        <v>46</v>
      </c>
      <c r="J158" s="32" t="s">
        <v>138</v>
      </c>
      <c r="K158" s="32" t="s">
        <v>139</v>
      </c>
    </row>
    <row r="159" spans="3:11" ht="16.5" thickBot="1">
      <c r="C159" s="33" t="s">
        <v>18</v>
      </c>
      <c r="D159" s="34">
        <v>0.3</v>
      </c>
      <c r="E159" s="34">
        <v>0.18</v>
      </c>
      <c r="F159" s="34">
        <v>0.18</v>
      </c>
      <c r="G159" s="34">
        <v>0.18</v>
      </c>
      <c r="H159" s="34">
        <v>0.3</v>
      </c>
      <c r="I159" s="34">
        <v>0.18</v>
      </c>
      <c r="J159" s="34" t="s">
        <v>180</v>
      </c>
      <c r="K159" s="34">
        <v>0.22</v>
      </c>
    </row>
    <row r="160" spans="3:11" ht="16.5" thickBot="1">
      <c r="C160" s="33" t="s">
        <v>20</v>
      </c>
      <c r="D160" s="34">
        <v>0.39</v>
      </c>
      <c r="E160" s="34">
        <v>0.25</v>
      </c>
      <c r="F160" s="34">
        <v>0.25</v>
      </c>
      <c r="G160" s="34">
        <v>0.25</v>
      </c>
      <c r="H160" s="34">
        <v>0.39</v>
      </c>
      <c r="I160" s="34">
        <v>0.25</v>
      </c>
      <c r="J160" s="34" t="s">
        <v>181</v>
      </c>
      <c r="K160" s="34">
        <v>0.28999999999999998</v>
      </c>
    </row>
    <row r="161" spans="3:11" ht="16.5" thickBot="1">
      <c r="C161" s="33" t="s">
        <v>22</v>
      </c>
      <c r="D161" s="34">
        <v>0.19</v>
      </c>
      <c r="E161" s="34">
        <v>0.12</v>
      </c>
      <c r="F161" s="34">
        <v>0.12</v>
      </c>
      <c r="G161" s="34">
        <v>0.12</v>
      </c>
      <c r="H161" s="34">
        <v>0.19</v>
      </c>
      <c r="I161" s="34">
        <v>0.12</v>
      </c>
      <c r="J161" s="34" t="s">
        <v>182</v>
      </c>
      <c r="K161" s="34">
        <v>0.14000000000000001</v>
      </c>
    </row>
    <row r="162" spans="3:11" ht="16.5" thickBot="1">
      <c r="C162" s="33" t="s">
        <v>24</v>
      </c>
      <c r="D162" s="34">
        <v>0.19</v>
      </c>
      <c r="E162" s="34">
        <v>0.12</v>
      </c>
      <c r="F162" s="34">
        <v>0.12</v>
      </c>
      <c r="G162" s="34">
        <v>0.12</v>
      </c>
      <c r="H162" s="34">
        <v>0.19</v>
      </c>
      <c r="I162" s="34">
        <v>0.12</v>
      </c>
      <c r="J162" s="34" t="s">
        <v>182</v>
      </c>
      <c r="K162" s="34">
        <v>0.14000000000000001</v>
      </c>
    </row>
    <row r="163" spans="3:11" ht="16.5" thickBot="1">
      <c r="C163" s="33" t="s">
        <v>26</v>
      </c>
      <c r="D163" s="34">
        <v>0.3</v>
      </c>
      <c r="E163" s="34">
        <v>0.18</v>
      </c>
      <c r="F163" s="34">
        <v>0.18</v>
      </c>
      <c r="G163" s="34">
        <v>0.18</v>
      </c>
      <c r="H163" s="34">
        <v>0.3</v>
      </c>
      <c r="I163" s="34">
        <v>0.18</v>
      </c>
      <c r="J163" s="34" t="s">
        <v>180</v>
      </c>
      <c r="K163" s="34">
        <v>0.22</v>
      </c>
    </row>
    <row r="164" spans="3:11" ht="16.5" thickBot="1">
      <c r="C164" s="33" t="s">
        <v>46</v>
      </c>
      <c r="D164" s="34">
        <v>0.19</v>
      </c>
      <c r="E164" s="34">
        <v>0.12</v>
      </c>
      <c r="F164" s="34">
        <v>0.12</v>
      </c>
      <c r="G164" s="34">
        <v>0.12</v>
      </c>
      <c r="H164" s="34">
        <v>0.19</v>
      </c>
      <c r="I164" s="34">
        <v>0.12</v>
      </c>
      <c r="J164" s="34" t="s">
        <v>182</v>
      </c>
      <c r="K164" s="34">
        <v>0.14000000000000001</v>
      </c>
    </row>
    <row r="165" spans="3:11" ht="15.75">
      <c r="C165" s="41"/>
    </row>
    <row r="166" spans="3:11" ht="16.5" thickBot="1">
      <c r="C166" s="40" t="s">
        <v>183</v>
      </c>
    </row>
    <row r="167" spans="3:11" ht="32.25" thickBot="1">
      <c r="C167" s="31" t="s">
        <v>108</v>
      </c>
      <c r="D167" s="32" t="s">
        <v>18</v>
      </c>
      <c r="E167" s="32" t="s">
        <v>20</v>
      </c>
      <c r="F167" s="32" t="s">
        <v>22</v>
      </c>
      <c r="G167" s="32" t="s">
        <v>24</v>
      </c>
      <c r="H167" s="32" t="s">
        <v>26</v>
      </c>
      <c r="I167" s="32" t="s">
        <v>46</v>
      </c>
      <c r="J167" s="32" t="s">
        <v>138</v>
      </c>
      <c r="K167" s="32" t="s">
        <v>139</v>
      </c>
    </row>
    <row r="168" spans="3:11" ht="16.5" thickBot="1">
      <c r="C168" s="33" t="s">
        <v>18</v>
      </c>
      <c r="D168" s="34">
        <v>0.18</v>
      </c>
      <c r="E168" s="34">
        <v>0.18</v>
      </c>
      <c r="F168" s="34">
        <v>0.18</v>
      </c>
      <c r="G168" s="34">
        <v>0.18</v>
      </c>
      <c r="H168" s="34">
        <v>0.18</v>
      </c>
      <c r="I168" s="34">
        <v>0.18</v>
      </c>
      <c r="J168" s="34" t="s">
        <v>184</v>
      </c>
      <c r="K168" s="34">
        <v>0.18</v>
      </c>
    </row>
    <row r="169" spans="3:11" ht="16.5" thickBot="1">
      <c r="C169" s="33" t="s">
        <v>20</v>
      </c>
      <c r="D169" s="34">
        <v>0.13</v>
      </c>
      <c r="E169" s="34">
        <v>0.13</v>
      </c>
      <c r="F169" s="34">
        <v>0.13</v>
      </c>
      <c r="G169" s="34">
        <v>0.13</v>
      </c>
      <c r="H169" s="34">
        <v>0.13</v>
      </c>
      <c r="I169" s="34">
        <v>0.13</v>
      </c>
      <c r="J169" s="34" t="s">
        <v>143</v>
      </c>
      <c r="K169" s="34">
        <v>0.13</v>
      </c>
    </row>
    <row r="170" spans="3:11" ht="16.5" thickBot="1">
      <c r="C170" s="33" t="s">
        <v>22</v>
      </c>
      <c r="D170" s="34">
        <v>0.18</v>
      </c>
      <c r="E170" s="34">
        <v>0.18</v>
      </c>
      <c r="F170" s="34">
        <v>0.18</v>
      </c>
      <c r="G170" s="34">
        <v>0.18</v>
      </c>
      <c r="H170" s="34">
        <v>0.18</v>
      </c>
      <c r="I170" s="34">
        <v>0.18</v>
      </c>
      <c r="J170" s="34" t="s">
        <v>184</v>
      </c>
      <c r="K170" s="34">
        <v>0.18</v>
      </c>
    </row>
    <row r="171" spans="3:11" ht="16.5" thickBot="1">
      <c r="C171" s="33" t="s">
        <v>24</v>
      </c>
      <c r="D171" s="34">
        <v>0.18</v>
      </c>
      <c r="E171" s="34">
        <v>0.18</v>
      </c>
      <c r="F171" s="34">
        <v>0.18</v>
      </c>
      <c r="G171" s="34">
        <v>0.18</v>
      </c>
      <c r="H171" s="34">
        <v>0.18</v>
      </c>
      <c r="I171" s="34">
        <v>0.18</v>
      </c>
      <c r="J171" s="34" t="s">
        <v>184</v>
      </c>
      <c r="K171" s="34">
        <v>0.18</v>
      </c>
    </row>
    <row r="172" spans="3:11" ht="16.5" thickBot="1">
      <c r="C172" s="33" t="s">
        <v>26</v>
      </c>
      <c r="D172" s="34">
        <v>0.13</v>
      </c>
      <c r="E172" s="34">
        <v>0.13</v>
      </c>
      <c r="F172" s="34">
        <v>0.13</v>
      </c>
      <c r="G172" s="34">
        <v>0.13</v>
      </c>
      <c r="H172" s="34">
        <v>0.13</v>
      </c>
      <c r="I172" s="34">
        <v>0.13</v>
      </c>
      <c r="J172" s="34" t="s">
        <v>143</v>
      </c>
      <c r="K172" s="34">
        <v>0.13</v>
      </c>
    </row>
    <row r="173" spans="3:11" ht="16.5" thickBot="1">
      <c r="C173" s="33" t="s">
        <v>46</v>
      </c>
      <c r="D173" s="34">
        <v>0.18</v>
      </c>
      <c r="E173" s="34">
        <v>0.18</v>
      </c>
      <c r="F173" s="34">
        <v>0.18</v>
      </c>
      <c r="G173" s="34">
        <v>0.18</v>
      </c>
      <c r="H173" s="34">
        <v>0.18</v>
      </c>
      <c r="I173" s="34">
        <v>0.18</v>
      </c>
      <c r="J173" s="34" t="s">
        <v>184</v>
      </c>
      <c r="K173" s="34">
        <v>0.18</v>
      </c>
    </row>
    <row r="174" spans="3:11" ht="15.75">
      <c r="C174" s="41"/>
    </row>
    <row r="175" spans="3:11" ht="16.5" thickBot="1">
      <c r="C175" s="40" t="s">
        <v>185</v>
      </c>
    </row>
    <row r="176" spans="3:11" ht="32.25" thickBot="1">
      <c r="C176" s="31" t="s">
        <v>108</v>
      </c>
      <c r="D176" s="32" t="s">
        <v>18</v>
      </c>
      <c r="E176" s="32" t="s">
        <v>20</v>
      </c>
      <c r="F176" s="32" t="s">
        <v>22</v>
      </c>
      <c r="G176" s="32" t="s">
        <v>24</v>
      </c>
      <c r="H176" s="32" t="s">
        <v>26</v>
      </c>
      <c r="I176" s="32" t="s">
        <v>46</v>
      </c>
      <c r="J176" s="32" t="s">
        <v>138</v>
      </c>
      <c r="K176" s="32" t="s">
        <v>139</v>
      </c>
    </row>
    <row r="177" spans="3:11" ht="16.5" thickBot="1">
      <c r="C177" s="33" t="s">
        <v>18</v>
      </c>
      <c r="D177" s="34">
        <v>0.2</v>
      </c>
      <c r="E177" s="34">
        <v>0.2</v>
      </c>
      <c r="F177" s="34">
        <v>0.2</v>
      </c>
      <c r="G177" s="34">
        <v>0.25</v>
      </c>
      <c r="H177" s="34">
        <v>0.2</v>
      </c>
      <c r="I177" s="34">
        <v>0.25</v>
      </c>
      <c r="J177" s="34" t="s">
        <v>186</v>
      </c>
      <c r="K177" s="34">
        <v>0.21</v>
      </c>
    </row>
    <row r="178" spans="3:11" ht="16.5" thickBot="1">
      <c r="C178" s="33" t="s">
        <v>20</v>
      </c>
      <c r="D178" s="34">
        <v>0.26</v>
      </c>
      <c r="E178" s="34">
        <v>0.26</v>
      </c>
      <c r="F178" s="34">
        <v>0.26</v>
      </c>
      <c r="G178" s="34">
        <v>0.33</v>
      </c>
      <c r="H178" s="34">
        <v>0.26</v>
      </c>
      <c r="I178" s="34">
        <v>0.33</v>
      </c>
      <c r="J178" s="34" t="s">
        <v>187</v>
      </c>
      <c r="K178" s="34">
        <v>0.28000000000000003</v>
      </c>
    </row>
    <row r="179" spans="3:11" ht="16.5" thickBot="1">
      <c r="C179" s="33" t="s">
        <v>22</v>
      </c>
      <c r="D179" s="34">
        <v>0.06</v>
      </c>
      <c r="E179" s="34">
        <v>0.06</v>
      </c>
      <c r="F179" s="34">
        <v>0.06</v>
      </c>
      <c r="G179" s="34">
        <v>0.08</v>
      </c>
      <c r="H179" s="34">
        <v>0.06</v>
      </c>
      <c r="I179" s="34">
        <v>0.08</v>
      </c>
      <c r="J179" s="34" t="s">
        <v>177</v>
      </c>
      <c r="K179" s="34">
        <v>0.15</v>
      </c>
    </row>
    <row r="180" spans="3:11" ht="16.5" thickBot="1">
      <c r="C180" s="33" t="s">
        <v>24</v>
      </c>
      <c r="D180" s="34">
        <v>0.13</v>
      </c>
      <c r="E180" s="34">
        <v>0.13</v>
      </c>
      <c r="F180" s="34">
        <v>0.13</v>
      </c>
      <c r="G180" s="34">
        <v>0.16</v>
      </c>
      <c r="H180" s="34">
        <v>0.13</v>
      </c>
      <c r="I180" s="34">
        <v>0.16</v>
      </c>
      <c r="J180" s="34" t="s">
        <v>175</v>
      </c>
      <c r="K180" s="34">
        <v>0.14000000000000001</v>
      </c>
    </row>
    <row r="181" spans="3:11" ht="16.5" thickBot="1">
      <c r="C181" s="33" t="s">
        <v>26</v>
      </c>
      <c r="D181" s="34">
        <v>0.2</v>
      </c>
      <c r="E181" s="34">
        <v>0.2</v>
      </c>
      <c r="F181" s="34">
        <v>0.2</v>
      </c>
      <c r="G181" s="34">
        <v>0.25</v>
      </c>
      <c r="H181" s="34">
        <v>0.2</v>
      </c>
      <c r="I181" s="34">
        <v>0.25</v>
      </c>
      <c r="J181" s="34" t="s">
        <v>186</v>
      </c>
      <c r="K181" s="34">
        <v>0.21</v>
      </c>
    </row>
    <row r="182" spans="3:11" ht="16.5" thickBot="1">
      <c r="C182" s="33" t="s">
        <v>46</v>
      </c>
      <c r="D182" s="34">
        <v>0.13</v>
      </c>
      <c r="E182" s="34">
        <v>0.13</v>
      </c>
      <c r="F182" s="34">
        <v>0.13</v>
      </c>
      <c r="G182" s="34">
        <v>0.16</v>
      </c>
      <c r="H182" s="34">
        <v>0.13</v>
      </c>
      <c r="I182" s="34">
        <v>0.16</v>
      </c>
      <c r="J182" s="34" t="s">
        <v>175</v>
      </c>
      <c r="K182" s="34">
        <v>0.14000000000000001</v>
      </c>
    </row>
    <row r="183" spans="3:11" ht="15.75">
      <c r="C183" s="41"/>
    </row>
    <row r="184" spans="3:11" ht="16.5" thickBot="1">
      <c r="C184" s="40" t="s">
        <v>188</v>
      </c>
    </row>
    <row r="185" spans="3:11" ht="32.25" thickBot="1">
      <c r="C185" s="31" t="s">
        <v>108</v>
      </c>
      <c r="D185" s="32" t="s">
        <v>18</v>
      </c>
      <c r="E185" s="32" t="s">
        <v>20</v>
      </c>
      <c r="F185" s="32" t="s">
        <v>22</v>
      </c>
      <c r="G185" s="32" t="s">
        <v>24</v>
      </c>
      <c r="H185" s="32" t="s">
        <v>26</v>
      </c>
      <c r="I185" s="32" t="s">
        <v>46</v>
      </c>
      <c r="J185" s="32" t="s">
        <v>138</v>
      </c>
      <c r="K185" s="32" t="s">
        <v>139</v>
      </c>
    </row>
    <row r="186" spans="3:11" ht="16.5" thickBot="1">
      <c r="C186" s="33" t="s">
        <v>18</v>
      </c>
      <c r="D186" s="34">
        <v>0.11</v>
      </c>
      <c r="E186" s="34">
        <v>0.11</v>
      </c>
      <c r="F186" s="34">
        <v>0.11</v>
      </c>
      <c r="G186" s="34">
        <v>0.11</v>
      </c>
      <c r="H186" s="34">
        <v>0.11</v>
      </c>
      <c r="I186" s="34">
        <v>0.11</v>
      </c>
      <c r="J186" s="34" t="s">
        <v>189</v>
      </c>
      <c r="K186" s="34">
        <v>0.11</v>
      </c>
    </row>
    <row r="187" spans="3:11" ht="16.5" thickBot="1">
      <c r="C187" s="33" t="s">
        <v>20</v>
      </c>
      <c r="D187" s="34">
        <v>0.22</v>
      </c>
      <c r="E187" s="34">
        <v>0.22</v>
      </c>
      <c r="F187" s="34">
        <v>0.22</v>
      </c>
      <c r="G187" s="34">
        <v>0.22</v>
      </c>
      <c r="H187" s="34">
        <v>0.22</v>
      </c>
      <c r="I187" s="34">
        <v>0.22</v>
      </c>
      <c r="J187" s="34" t="s">
        <v>180</v>
      </c>
      <c r="K187" s="34">
        <v>0.22</v>
      </c>
    </row>
    <row r="188" spans="3:11" ht="16.5" thickBot="1">
      <c r="C188" s="33" t="s">
        <v>22</v>
      </c>
      <c r="D188" s="34">
        <v>0.16</v>
      </c>
      <c r="E188" s="34">
        <v>0.16</v>
      </c>
      <c r="F188" s="34">
        <v>0.16</v>
      </c>
      <c r="G188" s="34">
        <v>0.16</v>
      </c>
      <c r="H188" s="34">
        <v>0.16</v>
      </c>
      <c r="I188" s="34">
        <v>0.16</v>
      </c>
      <c r="J188" s="34" t="s">
        <v>190</v>
      </c>
      <c r="K188" s="34">
        <v>0.16</v>
      </c>
    </row>
    <row r="189" spans="3:11" ht="16.5" thickBot="1">
      <c r="C189" s="33" t="s">
        <v>24</v>
      </c>
      <c r="D189" s="34">
        <v>0.16</v>
      </c>
      <c r="E189" s="34">
        <v>0.16</v>
      </c>
      <c r="F189" s="34">
        <v>0.16</v>
      </c>
      <c r="G189" s="34">
        <v>0.16</v>
      </c>
      <c r="H189" s="34">
        <v>0.16</v>
      </c>
      <c r="I189" s="34">
        <v>0.16</v>
      </c>
      <c r="J189" s="34" t="s">
        <v>190</v>
      </c>
      <c r="K189" s="34">
        <v>0.16</v>
      </c>
    </row>
    <row r="190" spans="3:11" ht="16.5" thickBot="1">
      <c r="C190" s="33" t="s">
        <v>26</v>
      </c>
      <c r="D190" s="34">
        <v>0.22</v>
      </c>
      <c r="E190" s="34">
        <v>0.22</v>
      </c>
      <c r="F190" s="34">
        <v>0.22</v>
      </c>
      <c r="G190" s="34">
        <v>0.22</v>
      </c>
      <c r="H190" s="34">
        <v>0.22</v>
      </c>
      <c r="I190" s="34">
        <v>0.22</v>
      </c>
      <c r="J190" s="34" t="s">
        <v>180</v>
      </c>
      <c r="K190" s="34">
        <v>0.22</v>
      </c>
    </row>
    <row r="191" spans="3:11" ht="16.5" thickBot="1">
      <c r="C191" s="33" t="s">
        <v>46</v>
      </c>
      <c r="D191" s="34">
        <v>0.11</v>
      </c>
      <c r="E191" s="34">
        <v>0.11</v>
      </c>
      <c r="F191" s="34">
        <v>0.11</v>
      </c>
      <c r="G191" s="34">
        <v>0.11</v>
      </c>
      <c r="H191" s="34">
        <v>0.11</v>
      </c>
      <c r="I191" s="34">
        <v>0.11</v>
      </c>
      <c r="J191" s="34" t="s">
        <v>189</v>
      </c>
      <c r="K191" s="34">
        <v>0.11</v>
      </c>
    </row>
    <row r="192" spans="3:11" ht="15.75">
      <c r="C192" s="9"/>
    </row>
    <row r="193" spans="3:11" ht="16.5" thickBot="1">
      <c r="C193" s="40" t="s">
        <v>191</v>
      </c>
    </row>
    <row r="194" spans="3:11" ht="16.5" thickBot="1">
      <c r="C194" s="31" t="s">
        <v>108</v>
      </c>
      <c r="D194" s="32" t="s">
        <v>4</v>
      </c>
      <c r="E194" s="32" t="s">
        <v>6</v>
      </c>
      <c r="F194" s="32" t="s">
        <v>8</v>
      </c>
      <c r="G194" s="32" t="s">
        <v>10</v>
      </c>
      <c r="H194" s="32" t="s">
        <v>12</v>
      </c>
      <c r="I194" s="32" t="s">
        <v>14</v>
      </c>
      <c r="J194" s="32" t="s">
        <v>100</v>
      </c>
      <c r="K194" s="32" t="s">
        <v>192</v>
      </c>
    </row>
    <row r="195" spans="3:11" ht="32.25" thickBot="1">
      <c r="C195" s="33" t="s">
        <v>139</v>
      </c>
      <c r="D195" s="34">
        <v>0.06</v>
      </c>
      <c r="E195" s="34">
        <v>0.2</v>
      </c>
      <c r="F195" s="34">
        <v>0.06</v>
      </c>
      <c r="G195" s="34">
        <v>0.26</v>
      </c>
      <c r="H195" s="34">
        <v>0.26</v>
      </c>
      <c r="I195" s="34">
        <v>0.13</v>
      </c>
      <c r="J195" s="44"/>
      <c r="K195" s="44"/>
    </row>
    <row r="196" spans="3:11" ht="16.5" thickBot="1">
      <c r="C196" s="33" t="s">
        <v>18</v>
      </c>
      <c r="D196" s="34">
        <v>0.21</v>
      </c>
      <c r="E196" s="34">
        <v>0.2</v>
      </c>
      <c r="F196" s="34">
        <v>0.22</v>
      </c>
      <c r="G196" s="34">
        <v>0.18</v>
      </c>
      <c r="H196" s="34">
        <v>0.21</v>
      </c>
      <c r="I196" s="34">
        <v>0.11</v>
      </c>
      <c r="J196" s="34">
        <v>0.17899999999999999</v>
      </c>
      <c r="K196" s="34">
        <v>3</v>
      </c>
    </row>
    <row r="197" spans="3:11" ht="16.5" thickBot="1">
      <c r="C197" s="33" t="s">
        <v>20</v>
      </c>
      <c r="D197" s="34">
        <v>0.28000000000000003</v>
      </c>
      <c r="E197" s="34">
        <v>0.2</v>
      </c>
      <c r="F197" s="34">
        <v>0.28999999999999998</v>
      </c>
      <c r="G197" s="34">
        <v>0.13</v>
      </c>
      <c r="H197" s="34">
        <v>0.28000000000000003</v>
      </c>
      <c r="I197" s="34">
        <v>0.22</v>
      </c>
      <c r="J197" s="34">
        <v>0.20599999999999999</v>
      </c>
      <c r="K197" s="34">
        <v>1</v>
      </c>
    </row>
    <row r="198" spans="3:11" ht="16.5" thickBot="1">
      <c r="C198" s="33" t="s">
        <v>22</v>
      </c>
      <c r="D198" s="34">
        <v>7.0000000000000007E-2</v>
      </c>
      <c r="E198" s="34">
        <v>0.15</v>
      </c>
      <c r="F198" s="34">
        <v>0.14000000000000001</v>
      </c>
      <c r="G198" s="34">
        <v>0.18</v>
      </c>
      <c r="H198" s="34">
        <v>0.15</v>
      </c>
      <c r="I198" s="34">
        <v>0.16</v>
      </c>
      <c r="J198" s="34">
        <v>0.18</v>
      </c>
      <c r="K198" s="34">
        <v>2</v>
      </c>
    </row>
    <row r="199" spans="3:11" ht="16.5" thickBot="1">
      <c r="C199" s="33" t="s">
        <v>24</v>
      </c>
      <c r="D199" s="34">
        <v>0.14000000000000001</v>
      </c>
      <c r="E199" s="34">
        <v>0.15</v>
      </c>
      <c r="F199" s="34">
        <v>0.14000000000000001</v>
      </c>
      <c r="G199" s="34">
        <v>0.18</v>
      </c>
      <c r="H199" s="34">
        <v>0.14000000000000001</v>
      </c>
      <c r="I199" s="34">
        <v>0.16</v>
      </c>
      <c r="J199" s="34">
        <v>0.14799999999999999</v>
      </c>
      <c r="K199" s="34">
        <v>4</v>
      </c>
    </row>
    <row r="200" spans="3:11" ht="16.5" thickBot="1">
      <c r="C200" s="33" t="s">
        <v>26</v>
      </c>
      <c r="D200" s="34">
        <v>0.21</v>
      </c>
      <c r="E200" s="34">
        <v>0.2</v>
      </c>
      <c r="F200" s="34">
        <v>0.22</v>
      </c>
      <c r="G200" s="34">
        <v>0.13</v>
      </c>
      <c r="H200" s="34">
        <v>0.21</v>
      </c>
      <c r="I200" s="34">
        <v>0.22</v>
      </c>
      <c r="J200" s="34">
        <v>0.18</v>
      </c>
      <c r="K200" s="34">
        <v>2</v>
      </c>
    </row>
    <row r="201" spans="3:11" ht="16.5" thickBot="1">
      <c r="C201" s="33" t="s">
        <v>46</v>
      </c>
      <c r="D201" s="34">
        <v>7.0000000000000007E-2</v>
      </c>
      <c r="E201" s="34">
        <v>0.09</v>
      </c>
      <c r="F201" s="34">
        <v>0.14000000000000001</v>
      </c>
      <c r="G201" s="34">
        <v>0.18</v>
      </c>
      <c r="H201" s="34">
        <v>0.14000000000000001</v>
      </c>
      <c r="I201" s="34">
        <v>0.11</v>
      </c>
      <c r="J201" s="34">
        <v>0.126</v>
      </c>
      <c r="K201" s="34">
        <v>5</v>
      </c>
    </row>
    <row r="202" spans="3:11" ht="15.75">
      <c r="C202" s="40"/>
    </row>
    <row r="203" spans="3:11" ht="15.75">
      <c r="C203" s="40" t="s">
        <v>193</v>
      </c>
    </row>
    <row r="204" spans="3:11" ht="15.75">
      <c r="C204" s="45" t="s">
        <v>194</v>
      </c>
    </row>
    <row r="205" spans="3:11" ht="15.75">
      <c r="C205" s="43"/>
    </row>
    <row r="206" spans="3:11" ht="15.75">
      <c r="C206" s="40" t="s">
        <v>195</v>
      </c>
    </row>
    <row r="207" spans="3:11" ht="15.75">
      <c r="D207" s="40" t="s">
        <v>196</v>
      </c>
    </row>
    <row r="208" spans="3:11" ht="15.75">
      <c r="C208" s="43"/>
    </row>
    <row r="209" spans="3:4" ht="15.75">
      <c r="C209" s="40" t="s">
        <v>197</v>
      </c>
    </row>
    <row r="210" spans="3:4" ht="15.75">
      <c r="D210" s="40" t="s">
        <v>198</v>
      </c>
    </row>
    <row r="211" spans="3:4" ht="15.75">
      <c r="C211" s="43"/>
    </row>
    <row r="212" spans="3:4" ht="15.75">
      <c r="C212" s="40" t="s">
        <v>199</v>
      </c>
    </row>
    <row r="213" spans="3:4" ht="15.75">
      <c r="D213" s="40" t="s">
        <v>200</v>
      </c>
    </row>
    <row r="214" spans="3:4" ht="15.75">
      <c r="C214" s="40"/>
    </row>
    <row r="215" spans="3:4" ht="15.75">
      <c r="C215" s="40" t="s">
        <v>201</v>
      </c>
    </row>
    <row r="216" spans="3:4" ht="15.75">
      <c r="C216" s="40" t="s">
        <v>202</v>
      </c>
    </row>
    <row r="217" spans="3:4" ht="15.75">
      <c r="C217" s="40"/>
    </row>
    <row r="218" spans="3:4" ht="15.75">
      <c r="C218" s="40" t="s">
        <v>203</v>
      </c>
    </row>
    <row r="219" spans="3:4" ht="15.75">
      <c r="D219" s="40" t="s">
        <v>204</v>
      </c>
    </row>
    <row r="220" spans="3:4" ht="15.75">
      <c r="C220" s="40"/>
    </row>
    <row r="221" spans="3:4" ht="15.75">
      <c r="C221" s="36" t="s">
        <v>205</v>
      </c>
    </row>
    <row r="223" spans="3:4" ht="15.75">
      <c r="C223" s="46" t="s">
        <v>206</v>
      </c>
    </row>
    <row r="224" spans="3:4" ht="409.5">
      <c r="C224" s="47" t="s">
        <v>207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7"/>
  <sheetViews>
    <sheetView workbookViewId="0"/>
  </sheetViews>
  <sheetFormatPr defaultRowHeight="15"/>
  <sheetData>
    <row r="2" spans="1:7">
      <c r="A2" s="48">
        <v>1</v>
      </c>
      <c r="B2" s="48">
        <v>3</v>
      </c>
      <c r="C2" s="48">
        <v>3</v>
      </c>
      <c r="E2" s="48">
        <v>1</v>
      </c>
      <c r="F2" s="48">
        <v>3</v>
      </c>
      <c r="G2" s="48">
        <v>3</v>
      </c>
    </row>
    <row r="3" spans="1:7">
      <c r="A3" s="48">
        <v>0.33300000000000002</v>
      </c>
      <c r="B3" s="48">
        <v>1</v>
      </c>
      <c r="C3" s="48">
        <v>2</v>
      </c>
      <c r="E3" s="48">
        <v>0.33300000000000002</v>
      </c>
      <c r="F3" s="48">
        <v>1</v>
      </c>
      <c r="G3" s="48">
        <v>2</v>
      </c>
    </row>
    <row r="4" spans="1:7">
      <c r="A4" s="48">
        <v>0.33300000000000002</v>
      </c>
      <c r="B4" s="48">
        <v>0.5</v>
      </c>
      <c r="C4" s="48">
        <v>1</v>
      </c>
      <c r="E4" s="48">
        <v>0.33300000000000002</v>
      </c>
      <c r="F4" s="48">
        <v>0.5</v>
      </c>
      <c r="G4" s="48">
        <v>1</v>
      </c>
    </row>
    <row r="7" spans="1:7">
      <c r="A7">
        <f>(A2*E2)+(B2*E3)+(C2*E4)</f>
        <v>2.9980000000000002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B1:T421"/>
  <sheetViews>
    <sheetView topLeftCell="A211" zoomScale="80" zoomScaleNormal="80" workbookViewId="0">
      <selection activeCell="M217" sqref="M217"/>
    </sheetView>
  </sheetViews>
  <sheetFormatPr defaultRowHeight="15"/>
  <cols>
    <col min="2" max="2" width="15.42578125" customWidth="1"/>
    <col min="3" max="3" width="15.140625" customWidth="1"/>
    <col min="4" max="9" width="10.7109375" customWidth="1"/>
    <col min="11" max="11" width="12.42578125" customWidth="1"/>
  </cols>
  <sheetData>
    <row r="1" spans="2:2" ht="33.75">
      <c r="B1" s="49"/>
    </row>
    <row r="2" spans="2:2" ht="37.5">
      <c r="B2" s="50"/>
    </row>
    <row r="3" spans="2:2">
      <c r="B3" s="53" t="s">
        <v>208</v>
      </c>
    </row>
    <row r="4" spans="2:2" ht="210">
      <c r="B4" s="54" t="s">
        <v>209</v>
      </c>
    </row>
    <row r="5" spans="2:2">
      <c r="B5" s="55" t="s">
        <v>210</v>
      </c>
    </row>
    <row r="6" spans="2:2">
      <c r="B6" s="56" t="s">
        <v>211</v>
      </c>
    </row>
    <row r="7" spans="2:2">
      <c r="B7" s="56" t="s">
        <v>212</v>
      </c>
    </row>
    <row r="8" spans="2:2" ht="15.75">
      <c r="B8" s="57"/>
    </row>
    <row r="9" spans="2:2">
      <c r="B9" s="51"/>
    </row>
    <row r="10" spans="2:2">
      <c r="B10" s="51"/>
    </row>
    <row r="11" spans="2:2">
      <c r="B11" s="51"/>
    </row>
    <row r="12" spans="2:2">
      <c r="B12" s="51"/>
    </row>
    <row r="13" spans="2:2">
      <c r="B13" s="51"/>
    </row>
    <row r="14" spans="2:2">
      <c r="B14" s="51"/>
    </row>
    <row r="15" spans="2:2">
      <c r="B15" s="51"/>
    </row>
    <row r="16" spans="2:2">
      <c r="B16" s="51"/>
    </row>
    <row r="17" spans="2:2">
      <c r="B17" s="51"/>
    </row>
    <row r="18" spans="2:2">
      <c r="B18" s="51"/>
    </row>
    <row r="19" spans="2:2">
      <c r="B19" s="51"/>
    </row>
    <row r="20" spans="2:2">
      <c r="B20" s="51"/>
    </row>
    <row r="21" spans="2:2">
      <c r="B21" s="51"/>
    </row>
    <row r="22" spans="2:2">
      <c r="B22" s="51"/>
    </row>
    <row r="23" spans="2:2">
      <c r="B23" s="51"/>
    </row>
    <row r="24" spans="2:2">
      <c r="B24" s="51"/>
    </row>
    <row r="25" spans="2:2">
      <c r="B25" s="51"/>
    </row>
    <row r="26" spans="2:2">
      <c r="B26" s="51"/>
    </row>
    <row r="27" spans="2:2">
      <c r="B27" s="51"/>
    </row>
    <row r="28" spans="2:2">
      <c r="B28" s="51"/>
    </row>
    <row r="29" spans="2:2">
      <c r="B29" s="51"/>
    </row>
    <row r="30" spans="2:2" ht="15.75" thickBot="1">
      <c r="B30" s="51"/>
    </row>
    <row r="31" spans="2:2" ht="16.5" thickTop="1" thickBot="1">
      <c r="B31" s="59"/>
    </row>
    <row r="32" spans="2:2" ht="16.5" thickTop="1" thickBot="1">
      <c r="B32" s="59"/>
    </row>
    <row r="33" spans="2:3" ht="16.5" thickTop="1" thickBot="1">
      <c r="B33" s="58"/>
    </row>
    <row r="34" spans="2:3" ht="16.5" thickTop="1" thickBot="1">
      <c r="B34" s="58"/>
    </row>
    <row r="35" spans="2:3" ht="16.5" thickTop="1" thickBot="1">
      <c r="B35" s="58"/>
    </row>
    <row r="36" spans="2:3" ht="15.75" thickTop="1">
      <c r="B36" s="60"/>
    </row>
    <row r="37" spans="2:3" ht="30">
      <c r="B37" s="61" t="s">
        <v>213</v>
      </c>
    </row>
    <row r="38" spans="2:3" ht="409.6">
      <c r="B38" s="57" t="s">
        <v>214</v>
      </c>
    </row>
    <row r="39" spans="2:3" ht="232.5">
      <c r="B39" s="62" t="s">
        <v>215</v>
      </c>
    </row>
    <row r="40" spans="2:3" ht="34.5">
      <c r="B40" s="63" t="s">
        <v>216</v>
      </c>
    </row>
    <row r="41" spans="2:3" ht="409.5">
      <c r="B41" s="53" t="s">
        <v>217</v>
      </c>
    </row>
    <row r="42" spans="2:3" ht="91.5" thickBot="1">
      <c r="B42" s="57" t="s">
        <v>218</v>
      </c>
    </row>
    <row r="43" spans="2:3" ht="16.5" thickBot="1">
      <c r="B43" s="66" t="s">
        <v>219</v>
      </c>
      <c r="C43" s="67" t="s">
        <v>220</v>
      </c>
    </row>
    <row r="44" spans="2:3" ht="46.5" thickBot="1">
      <c r="B44" s="68" t="s">
        <v>221</v>
      </c>
      <c r="C44" s="65" t="s">
        <v>222</v>
      </c>
    </row>
    <row r="45" spans="2:3" ht="46.5" thickBot="1">
      <c r="B45" s="68" t="s">
        <v>223</v>
      </c>
      <c r="C45" s="65" t="s">
        <v>224</v>
      </c>
    </row>
    <row r="46" spans="2:3" ht="31.5" thickBot="1">
      <c r="B46" s="68" t="s">
        <v>225</v>
      </c>
      <c r="C46" s="65" t="s">
        <v>226</v>
      </c>
    </row>
    <row r="47" spans="2:3" ht="16.5" thickBot="1">
      <c r="B47" s="68" t="s">
        <v>227</v>
      </c>
      <c r="C47" s="65" t="s">
        <v>228</v>
      </c>
    </row>
    <row r="48" spans="2:3" ht="31.5" thickBot="1">
      <c r="B48" s="68" t="s">
        <v>229</v>
      </c>
      <c r="C48" s="65" t="s">
        <v>230</v>
      </c>
    </row>
    <row r="49" spans="2:3">
      <c r="B49" s="51"/>
    </row>
    <row r="50" spans="2:3" ht="15.75">
      <c r="B50" s="57" t="s">
        <v>231</v>
      </c>
    </row>
    <row r="51" spans="2:3" ht="34.5">
      <c r="B51" s="63" t="s">
        <v>232</v>
      </c>
    </row>
    <row r="52" spans="2:3" ht="303" thickBot="1">
      <c r="B52" s="64" t="s">
        <v>233</v>
      </c>
    </row>
    <row r="53" spans="2:3" ht="16.5" thickBot="1">
      <c r="B53" s="66" t="s">
        <v>219</v>
      </c>
      <c r="C53" s="67" t="s">
        <v>220</v>
      </c>
    </row>
    <row r="54" spans="2:3" ht="16.5" thickBot="1">
      <c r="B54" s="68" t="s">
        <v>234</v>
      </c>
      <c r="C54" s="65" t="s">
        <v>235</v>
      </c>
    </row>
    <row r="55" spans="2:3" ht="16.5" thickBot="1">
      <c r="B55" s="68" t="s">
        <v>236</v>
      </c>
      <c r="C55" s="65" t="s">
        <v>237</v>
      </c>
    </row>
    <row r="56" spans="2:3" ht="16.5" thickBot="1">
      <c r="B56" s="68" t="s">
        <v>238</v>
      </c>
      <c r="C56" s="65" t="s">
        <v>239</v>
      </c>
    </row>
    <row r="57" spans="2:3">
      <c r="B57" s="51"/>
    </row>
    <row r="58" spans="2:3" ht="15.75">
      <c r="B58" s="57" t="s">
        <v>240</v>
      </c>
    </row>
    <row r="59" spans="2:3" ht="51.75">
      <c r="B59" s="63" t="s">
        <v>241</v>
      </c>
    </row>
    <row r="60" spans="2:3" ht="166.5" thickBot="1">
      <c r="B60" s="57" t="s">
        <v>242</v>
      </c>
    </row>
    <row r="61" spans="2:3" ht="46.5" thickBot="1">
      <c r="B61" s="66">
        <v>1</v>
      </c>
      <c r="C61" s="67" t="s">
        <v>243</v>
      </c>
    </row>
    <row r="62" spans="2:3" ht="46.5" thickBot="1">
      <c r="B62" s="68">
        <v>2</v>
      </c>
      <c r="C62" s="65" t="s">
        <v>32</v>
      </c>
    </row>
    <row r="63" spans="2:3" ht="31.5" thickBot="1">
      <c r="B63" s="68">
        <v>3</v>
      </c>
      <c r="C63" s="65" t="s">
        <v>33</v>
      </c>
    </row>
    <row r="64" spans="2:3" ht="46.5" thickBot="1">
      <c r="B64" s="68">
        <v>4</v>
      </c>
      <c r="C64" s="65" t="s">
        <v>34</v>
      </c>
    </row>
    <row r="65" spans="2:7" ht="31.5" thickBot="1">
      <c r="B65" s="68">
        <v>5</v>
      </c>
      <c r="C65" s="65" t="s">
        <v>35</v>
      </c>
    </row>
    <row r="66" spans="2:7" ht="46.5" thickBot="1">
      <c r="B66" s="68">
        <v>6</v>
      </c>
      <c r="C66" s="65" t="s">
        <v>36</v>
      </c>
    </row>
    <row r="67" spans="2:7" ht="31.5" thickBot="1">
      <c r="B67" s="68">
        <v>7</v>
      </c>
      <c r="C67" s="65" t="s">
        <v>37</v>
      </c>
    </row>
    <row r="68" spans="2:7" ht="31.5" thickBot="1">
      <c r="B68" s="68">
        <v>8</v>
      </c>
      <c r="C68" s="65" t="s">
        <v>38</v>
      </c>
    </row>
    <row r="69" spans="2:7" ht="46.5" thickBot="1">
      <c r="B69" s="68">
        <v>9</v>
      </c>
      <c r="C69" s="65" t="s">
        <v>244</v>
      </c>
    </row>
    <row r="70" spans="2:7">
      <c r="B70" s="51"/>
    </row>
    <row r="71" spans="2:7" ht="15.75">
      <c r="B71" s="57" t="s">
        <v>245</v>
      </c>
    </row>
    <row r="72" spans="2:7" ht="90.75">
      <c r="B72" s="57" t="s">
        <v>246</v>
      </c>
    </row>
    <row r="73" spans="2:7" ht="46.5" thickBot="1">
      <c r="B73" s="69" t="s">
        <v>40</v>
      </c>
    </row>
    <row r="74" spans="2:7" ht="15.75">
      <c r="B74" s="72" t="s">
        <v>219</v>
      </c>
      <c r="C74" s="73" t="s">
        <v>221</v>
      </c>
      <c r="D74" s="73" t="s">
        <v>223</v>
      </c>
      <c r="E74" s="73" t="s">
        <v>225</v>
      </c>
      <c r="F74" s="73" t="s">
        <v>227</v>
      </c>
      <c r="G74" s="73" t="s">
        <v>229</v>
      </c>
    </row>
    <row r="75" spans="2:7" ht="16.5" thickBot="1">
      <c r="B75" s="74" t="s">
        <v>221</v>
      </c>
      <c r="C75" s="70">
        <v>1</v>
      </c>
      <c r="D75" s="71">
        <v>1</v>
      </c>
      <c r="E75" s="71">
        <v>3</v>
      </c>
      <c r="F75" s="71">
        <v>1</v>
      </c>
      <c r="G75" s="71">
        <v>3</v>
      </c>
    </row>
    <row r="76" spans="2:7" ht="16.5" thickBot="1">
      <c r="B76" s="74" t="s">
        <v>223</v>
      </c>
      <c r="C76" s="65">
        <v>1</v>
      </c>
      <c r="D76" s="70">
        <v>1</v>
      </c>
      <c r="E76" s="71">
        <v>2</v>
      </c>
      <c r="F76" s="71">
        <v>1</v>
      </c>
      <c r="G76" s="71">
        <v>1</v>
      </c>
    </row>
    <row r="77" spans="2:7" ht="16.5" thickBot="1">
      <c r="B77" s="74" t="s">
        <v>225</v>
      </c>
      <c r="C77" s="65" t="s">
        <v>247</v>
      </c>
      <c r="D77" s="65" t="s">
        <v>248</v>
      </c>
      <c r="E77" s="70">
        <v>1</v>
      </c>
      <c r="F77" s="71">
        <v>1</v>
      </c>
      <c r="G77" s="71">
        <v>2</v>
      </c>
    </row>
    <row r="78" spans="2:7" ht="16.5" thickBot="1">
      <c r="B78" s="74" t="s">
        <v>227</v>
      </c>
      <c r="C78" s="65">
        <v>1</v>
      </c>
      <c r="D78" s="65">
        <v>1</v>
      </c>
      <c r="E78" s="65">
        <v>1</v>
      </c>
      <c r="F78" s="70">
        <v>1</v>
      </c>
      <c r="G78" s="71">
        <v>3</v>
      </c>
    </row>
    <row r="79" spans="2:7" ht="16.5" thickBot="1">
      <c r="B79" s="74" t="s">
        <v>229</v>
      </c>
      <c r="C79" s="65" t="s">
        <v>247</v>
      </c>
      <c r="D79" s="65">
        <v>1</v>
      </c>
      <c r="E79" s="65" t="s">
        <v>248</v>
      </c>
      <c r="F79" s="65" t="s">
        <v>247</v>
      </c>
      <c r="G79" s="70">
        <v>1</v>
      </c>
    </row>
    <row r="80" spans="2:7">
      <c r="B80" s="51"/>
    </row>
    <row r="81" spans="2:11" ht="15.75">
      <c r="B81" s="57" t="s">
        <v>249</v>
      </c>
    </row>
    <row r="82" spans="2:11" ht="129.75" customHeight="1">
      <c r="B82" s="133" t="s">
        <v>250</v>
      </c>
      <c r="C82" s="133"/>
      <c r="D82" s="133"/>
      <c r="E82" s="133"/>
      <c r="F82" s="133"/>
      <c r="G82" s="133"/>
      <c r="H82" s="133"/>
      <c r="I82" s="133"/>
      <c r="J82" s="133"/>
      <c r="K82" s="133"/>
    </row>
    <row r="83" spans="2:11" ht="78.75" customHeight="1">
      <c r="B83" s="127" t="s">
        <v>251</v>
      </c>
      <c r="C83" s="127"/>
      <c r="D83" s="127"/>
      <c r="E83" s="127"/>
      <c r="F83" s="127"/>
      <c r="G83" s="127"/>
      <c r="H83" s="127"/>
      <c r="I83" s="127"/>
      <c r="J83" s="127"/>
      <c r="K83" s="127"/>
    </row>
    <row r="84" spans="2:11" ht="24" customHeight="1">
      <c r="B84" s="134" t="s">
        <v>252</v>
      </c>
      <c r="C84" s="134"/>
      <c r="D84" s="134"/>
      <c r="E84" s="134"/>
      <c r="F84" s="134"/>
      <c r="G84" s="134"/>
      <c r="H84" s="134"/>
      <c r="I84" s="134"/>
      <c r="J84" s="134"/>
      <c r="K84" s="134"/>
    </row>
    <row r="85" spans="2:11" ht="33.75" customHeight="1">
      <c r="B85" s="127" t="s">
        <v>253</v>
      </c>
      <c r="C85" s="127"/>
      <c r="D85" s="127"/>
      <c r="E85" s="127"/>
      <c r="F85" s="127"/>
      <c r="G85" s="127"/>
      <c r="H85" s="127"/>
      <c r="I85" s="127"/>
      <c r="J85" s="127"/>
      <c r="K85" s="127"/>
    </row>
    <row r="86" spans="2:11" ht="19.5" customHeight="1" thickBot="1">
      <c r="B86" s="129" t="s">
        <v>254</v>
      </c>
      <c r="C86" s="129"/>
      <c r="D86" s="129"/>
      <c r="E86" s="129"/>
      <c r="F86" s="129"/>
      <c r="G86" s="129"/>
      <c r="H86" s="129"/>
      <c r="I86" s="129"/>
      <c r="J86" s="129"/>
      <c r="K86" s="129"/>
    </row>
    <row r="87" spans="2:11" ht="15.75">
      <c r="B87" s="72" t="s">
        <v>219</v>
      </c>
      <c r="C87" s="73" t="s">
        <v>234</v>
      </c>
      <c r="D87" s="73" t="s">
        <v>236</v>
      </c>
      <c r="E87" s="73" t="s">
        <v>238</v>
      </c>
    </row>
    <row r="88" spans="2:11" ht="16.5" thickBot="1">
      <c r="B88" s="74" t="s">
        <v>234</v>
      </c>
      <c r="C88" s="65">
        <v>1</v>
      </c>
      <c r="D88" s="65">
        <v>3</v>
      </c>
      <c r="E88" s="65">
        <v>3</v>
      </c>
    </row>
    <row r="89" spans="2:11" ht="16.5" thickBot="1">
      <c r="B89" s="74" t="s">
        <v>236</v>
      </c>
      <c r="C89" s="65" t="s">
        <v>247</v>
      </c>
      <c r="D89" s="65">
        <v>1</v>
      </c>
      <c r="E89" s="65">
        <v>2</v>
      </c>
    </row>
    <row r="90" spans="2:11" ht="16.5" thickBot="1">
      <c r="B90" s="74" t="s">
        <v>238</v>
      </c>
      <c r="C90" s="65" t="s">
        <v>247</v>
      </c>
      <c r="D90" s="65" t="s">
        <v>248</v>
      </c>
      <c r="E90" s="65">
        <v>1</v>
      </c>
    </row>
    <row r="91" spans="2:11">
      <c r="B91" s="75"/>
    </row>
    <row r="92" spans="2:11" ht="15.75">
      <c r="B92" s="76" t="s">
        <v>255</v>
      </c>
    </row>
    <row r="93" spans="2:11" ht="31.5" thickBot="1">
      <c r="B93" s="76" t="s">
        <v>256</v>
      </c>
    </row>
    <row r="94" spans="2:11" ht="15.75">
      <c r="B94" s="72" t="s">
        <v>219</v>
      </c>
      <c r="C94" s="73" t="s">
        <v>234</v>
      </c>
      <c r="D94" s="73" t="s">
        <v>236</v>
      </c>
      <c r="E94" s="73" t="s">
        <v>238</v>
      </c>
    </row>
    <row r="95" spans="2:11" ht="16.5" thickBot="1">
      <c r="B95" s="74" t="s">
        <v>234</v>
      </c>
      <c r="C95" s="65">
        <v>1</v>
      </c>
      <c r="D95" s="65">
        <v>2</v>
      </c>
      <c r="E95" s="65">
        <v>4</v>
      </c>
    </row>
    <row r="96" spans="2:11" ht="16.5" thickBot="1">
      <c r="B96" s="74" t="s">
        <v>236</v>
      </c>
      <c r="C96" s="65" t="s">
        <v>248</v>
      </c>
      <c r="D96" s="65">
        <v>1</v>
      </c>
      <c r="E96" s="65">
        <v>3</v>
      </c>
    </row>
    <row r="97" spans="2:5" ht="16.5" thickBot="1">
      <c r="B97" s="74" t="s">
        <v>238</v>
      </c>
      <c r="C97" s="65" t="s">
        <v>257</v>
      </c>
      <c r="D97" s="65" t="s">
        <v>247</v>
      </c>
      <c r="E97" s="65">
        <v>1</v>
      </c>
    </row>
    <row r="98" spans="2:5">
      <c r="B98" s="75"/>
    </row>
    <row r="99" spans="2:5" ht="15.75">
      <c r="B99" s="76" t="s">
        <v>258</v>
      </c>
    </row>
    <row r="100" spans="2:5" ht="31.5" thickBot="1">
      <c r="B100" s="76" t="s">
        <v>259</v>
      </c>
    </row>
    <row r="101" spans="2:5" ht="15.75">
      <c r="B101" s="72" t="s">
        <v>219</v>
      </c>
      <c r="C101" s="73" t="s">
        <v>234</v>
      </c>
      <c r="D101" s="73" t="s">
        <v>236</v>
      </c>
      <c r="E101" s="73" t="s">
        <v>238</v>
      </c>
    </row>
    <row r="102" spans="2:5" ht="16.5" thickBot="1">
      <c r="B102" s="74" t="s">
        <v>234</v>
      </c>
      <c r="C102" s="65">
        <v>1</v>
      </c>
      <c r="D102" s="65">
        <v>2</v>
      </c>
      <c r="E102" s="65">
        <v>1</v>
      </c>
    </row>
    <row r="103" spans="2:5" ht="16.5" thickBot="1">
      <c r="B103" s="74" t="s">
        <v>236</v>
      </c>
      <c r="C103" s="65" t="s">
        <v>248</v>
      </c>
      <c r="D103" s="65">
        <v>1</v>
      </c>
      <c r="E103" s="65">
        <v>2</v>
      </c>
    </row>
    <row r="104" spans="2:5" ht="16.5" thickBot="1">
      <c r="B104" s="74" t="s">
        <v>238</v>
      </c>
      <c r="C104" s="65">
        <v>1</v>
      </c>
      <c r="D104" s="65" t="s">
        <v>248</v>
      </c>
      <c r="E104" s="65">
        <v>1</v>
      </c>
    </row>
    <row r="105" spans="2:5">
      <c r="B105" s="75"/>
    </row>
    <row r="106" spans="2:5" ht="15.75">
      <c r="B106" s="76" t="s">
        <v>260</v>
      </c>
    </row>
    <row r="107" spans="2:5" ht="31.5" thickBot="1">
      <c r="B107" s="76" t="s">
        <v>261</v>
      </c>
    </row>
    <row r="108" spans="2:5" ht="15.75">
      <c r="B108" s="72" t="s">
        <v>219</v>
      </c>
      <c r="C108" s="73" t="s">
        <v>234</v>
      </c>
      <c r="D108" s="73" t="s">
        <v>236</v>
      </c>
      <c r="E108" s="73" t="s">
        <v>238</v>
      </c>
    </row>
    <row r="109" spans="2:5" ht="16.5" thickBot="1">
      <c r="B109" s="74" t="s">
        <v>234</v>
      </c>
      <c r="C109" s="65">
        <v>1</v>
      </c>
      <c r="D109" s="65">
        <v>2</v>
      </c>
      <c r="E109" s="65">
        <v>3</v>
      </c>
    </row>
    <row r="110" spans="2:5" ht="16.5" thickBot="1">
      <c r="B110" s="74" t="s">
        <v>236</v>
      </c>
      <c r="C110" s="65" t="s">
        <v>248</v>
      </c>
      <c r="D110" s="65">
        <v>1</v>
      </c>
      <c r="E110" s="65">
        <v>6</v>
      </c>
    </row>
    <row r="111" spans="2:5" ht="16.5" thickBot="1">
      <c r="B111" s="74" t="s">
        <v>238</v>
      </c>
      <c r="C111" s="65" t="s">
        <v>247</v>
      </c>
      <c r="D111" s="65" t="s">
        <v>262</v>
      </c>
      <c r="E111" s="65">
        <v>1</v>
      </c>
    </row>
    <row r="112" spans="2:5">
      <c r="B112" s="75"/>
    </row>
    <row r="113" spans="2:17" ht="15.75">
      <c r="B113" s="76" t="s">
        <v>263</v>
      </c>
    </row>
    <row r="114" spans="2:17" ht="31.5" thickBot="1">
      <c r="B114" s="76" t="s">
        <v>264</v>
      </c>
    </row>
    <row r="115" spans="2:17" ht="15.75">
      <c r="B115" s="72" t="s">
        <v>219</v>
      </c>
      <c r="C115" s="73" t="s">
        <v>234</v>
      </c>
      <c r="D115" s="73" t="s">
        <v>236</v>
      </c>
      <c r="E115" s="73" t="s">
        <v>238</v>
      </c>
    </row>
    <row r="116" spans="2:17" ht="16.5" thickBot="1">
      <c r="B116" s="74" t="s">
        <v>234</v>
      </c>
      <c r="C116" s="65">
        <v>1</v>
      </c>
      <c r="D116" s="65">
        <v>4</v>
      </c>
      <c r="E116" s="65">
        <v>3</v>
      </c>
    </row>
    <row r="117" spans="2:17" ht="16.5" thickBot="1">
      <c r="B117" s="74" t="s">
        <v>236</v>
      </c>
      <c r="C117" s="65" t="s">
        <v>257</v>
      </c>
      <c r="D117" s="65">
        <v>1</v>
      </c>
      <c r="E117" s="65">
        <v>2</v>
      </c>
    </row>
    <row r="118" spans="2:17" ht="16.5" thickBot="1">
      <c r="B118" s="74" t="s">
        <v>238</v>
      </c>
      <c r="C118" s="65" t="s">
        <v>247</v>
      </c>
      <c r="D118" s="65" t="s">
        <v>248</v>
      </c>
      <c r="E118" s="65">
        <v>1</v>
      </c>
    </row>
    <row r="119" spans="2:17">
      <c r="B119" s="75"/>
    </row>
    <row r="120" spans="2:17" ht="15.75">
      <c r="B120" s="76" t="s">
        <v>265</v>
      </c>
    </row>
    <row r="121" spans="2:17" ht="75.75" customHeight="1">
      <c r="B121" s="135" t="s">
        <v>266</v>
      </c>
      <c r="C121" s="135"/>
      <c r="D121" s="135"/>
      <c r="E121" s="135"/>
      <c r="F121" s="135"/>
      <c r="G121" s="135"/>
      <c r="H121" s="135"/>
      <c r="I121" s="135"/>
    </row>
    <row r="122" spans="2:17" ht="49.5" customHeight="1">
      <c r="B122" s="127" t="s">
        <v>267</v>
      </c>
      <c r="C122" s="127"/>
      <c r="D122" s="127"/>
      <c r="E122" s="127"/>
      <c r="F122" s="127"/>
      <c r="G122" s="127"/>
      <c r="H122" s="127"/>
      <c r="I122" s="127"/>
    </row>
    <row r="123" spans="2:17" ht="34.5" customHeight="1">
      <c r="B123" s="136" t="s">
        <v>268</v>
      </c>
      <c r="C123" s="136"/>
      <c r="D123" s="136"/>
      <c r="E123" s="136"/>
      <c r="F123" s="136"/>
      <c r="G123" s="136"/>
      <c r="H123" s="136"/>
      <c r="I123" s="136"/>
    </row>
    <row r="124" spans="2:17" ht="30" customHeight="1">
      <c r="B124" s="127" t="s">
        <v>269</v>
      </c>
      <c r="C124" s="127"/>
      <c r="D124" s="127"/>
      <c r="E124" s="127"/>
      <c r="F124" s="127"/>
      <c r="G124" s="127"/>
      <c r="H124" s="127"/>
      <c r="I124" s="127"/>
    </row>
    <row r="125" spans="2:17" ht="86.25">
      <c r="B125" s="63" t="s">
        <v>270</v>
      </c>
    </row>
    <row r="126" spans="2:17" ht="36.75" customHeight="1" thickBot="1">
      <c r="B126" s="103" t="s">
        <v>271</v>
      </c>
      <c r="L126" s="128" t="s">
        <v>40</v>
      </c>
      <c r="M126" s="128"/>
      <c r="N126" s="128"/>
      <c r="O126" s="128"/>
      <c r="P126" s="128"/>
      <c r="Q126" s="128"/>
    </row>
    <row r="127" spans="2:17" ht="15.75">
      <c r="B127" s="72" t="s">
        <v>272</v>
      </c>
      <c r="C127" s="73" t="s">
        <v>221</v>
      </c>
      <c r="D127" s="73" t="s">
        <v>223</v>
      </c>
      <c r="E127" s="73" t="s">
        <v>225</v>
      </c>
      <c r="F127" s="73" t="s">
        <v>227</v>
      </c>
      <c r="G127" s="73" t="s">
        <v>229</v>
      </c>
      <c r="L127" s="72" t="s">
        <v>219</v>
      </c>
      <c r="M127" s="73" t="s">
        <v>221</v>
      </c>
      <c r="N127" s="73" t="s">
        <v>223</v>
      </c>
      <c r="O127" s="73" t="s">
        <v>225</v>
      </c>
      <c r="P127" s="73" t="s">
        <v>227</v>
      </c>
      <c r="Q127" s="73" t="s">
        <v>229</v>
      </c>
    </row>
    <row r="128" spans="2:17" ht="33.75" customHeight="1" thickBot="1">
      <c r="B128" s="68" t="s">
        <v>273</v>
      </c>
      <c r="C128" s="65">
        <v>1</v>
      </c>
      <c r="D128" s="65">
        <v>1</v>
      </c>
      <c r="E128" s="65">
        <v>3</v>
      </c>
      <c r="F128" s="65">
        <v>1</v>
      </c>
      <c r="G128" s="65">
        <v>3</v>
      </c>
      <c r="L128" s="74" t="s">
        <v>221</v>
      </c>
      <c r="M128" s="70">
        <v>1</v>
      </c>
      <c r="N128" s="71">
        <v>1</v>
      </c>
      <c r="O128" s="71">
        <v>3</v>
      </c>
      <c r="P128" s="71">
        <v>1</v>
      </c>
      <c r="Q128" s="71">
        <v>3</v>
      </c>
    </row>
    <row r="129" spans="2:17" ht="33.75" customHeight="1" thickBot="1">
      <c r="B129" s="68" t="s">
        <v>274</v>
      </c>
      <c r="C129" s="65">
        <v>1</v>
      </c>
      <c r="D129" s="65">
        <v>1</v>
      </c>
      <c r="E129" s="65">
        <v>2</v>
      </c>
      <c r="F129" s="65">
        <v>1</v>
      </c>
      <c r="G129" s="65">
        <v>1</v>
      </c>
      <c r="L129" s="74" t="s">
        <v>223</v>
      </c>
      <c r="M129" s="65">
        <v>1</v>
      </c>
      <c r="N129" s="70">
        <v>1</v>
      </c>
      <c r="O129" s="71">
        <v>2</v>
      </c>
      <c r="P129" s="71">
        <v>1</v>
      </c>
      <c r="Q129" s="71">
        <v>1</v>
      </c>
    </row>
    <row r="130" spans="2:17" ht="33.75" customHeight="1" thickBot="1">
      <c r="B130" s="68" t="s">
        <v>275</v>
      </c>
      <c r="C130" s="65" t="s">
        <v>276</v>
      </c>
      <c r="D130" s="65" t="s">
        <v>248</v>
      </c>
      <c r="E130" s="65">
        <v>1</v>
      </c>
      <c r="F130" s="65">
        <v>1</v>
      </c>
      <c r="G130" s="65">
        <v>2</v>
      </c>
      <c r="L130" s="74" t="s">
        <v>225</v>
      </c>
      <c r="M130" s="65" t="s">
        <v>247</v>
      </c>
      <c r="N130" s="65" t="s">
        <v>248</v>
      </c>
      <c r="O130" s="70">
        <v>1</v>
      </c>
      <c r="P130" s="71">
        <v>1</v>
      </c>
      <c r="Q130" s="71">
        <v>2</v>
      </c>
    </row>
    <row r="131" spans="2:17" ht="33.75" customHeight="1" thickBot="1">
      <c r="B131" s="68" t="s">
        <v>277</v>
      </c>
      <c r="C131" s="65">
        <v>1</v>
      </c>
      <c r="D131" s="65">
        <v>1</v>
      </c>
      <c r="E131" s="65">
        <v>1</v>
      </c>
      <c r="F131" s="65">
        <v>1</v>
      </c>
      <c r="G131" s="65">
        <v>3</v>
      </c>
      <c r="L131" s="74" t="s">
        <v>227</v>
      </c>
      <c r="M131" s="65">
        <v>1</v>
      </c>
      <c r="N131" s="65">
        <v>1</v>
      </c>
      <c r="O131" s="65">
        <v>1</v>
      </c>
      <c r="P131" s="70">
        <v>1</v>
      </c>
      <c r="Q131" s="71">
        <v>3</v>
      </c>
    </row>
    <row r="132" spans="2:17" ht="33.75" customHeight="1" thickBot="1">
      <c r="B132" s="68" t="s">
        <v>278</v>
      </c>
      <c r="C132" s="65" t="s">
        <v>276</v>
      </c>
      <c r="D132" s="65">
        <v>1</v>
      </c>
      <c r="E132" s="65" t="s">
        <v>248</v>
      </c>
      <c r="F132" s="65" t="s">
        <v>276</v>
      </c>
      <c r="G132" s="65">
        <v>1</v>
      </c>
      <c r="L132" s="74" t="s">
        <v>229</v>
      </c>
      <c r="M132" s="65" t="s">
        <v>247</v>
      </c>
      <c r="N132" s="65">
        <v>1</v>
      </c>
      <c r="O132" s="65" t="s">
        <v>248</v>
      </c>
      <c r="P132" s="65" t="s">
        <v>247</v>
      </c>
      <c r="Q132" s="70">
        <v>1</v>
      </c>
    </row>
    <row r="133" spans="2:17" ht="16.5" thickBot="1">
      <c r="B133" s="68" t="s">
        <v>279</v>
      </c>
      <c r="C133" s="77">
        <v>36667</v>
      </c>
      <c r="D133" s="71" t="s">
        <v>280</v>
      </c>
      <c r="E133" s="71" t="s">
        <v>281</v>
      </c>
      <c r="F133" s="77">
        <v>43333</v>
      </c>
      <c r="G133" s="71">
        <v>10</v>
      </c>
      <c r="L133" s="51"/>
    </row>
    <row r="134" spans="2:17" ht="15.75">
      <c r="B134" s="75"/>
      <c r="C134" s="105">
        <f>1+1+0.3333+1+0.3333</f>
        <v>3.6665999999999999</v>
      </c>
      <c r="L134" s="57" t="s">
        <v>249</v>
      </c>
    </row>
    <row r="135" spans="2:17" ht="15.75">
      <c r="B135" s="76" t="s">
        <v>282</v>
      </c>
      <c r="C135" s="106"/>
    </row>
    <row r="136" spans="2:17" ht="57.75" customHeight="1">
      <c r="B136" s="135" t="s">
        <v>283</v>
      </c>
      <c r="C136" s="135"/>
      <c r="D136" s="135"/>
      <c r="E136" s="135"/>
      <c r="F136" s="135"/>
      <c r="G136" s="135"/>
      <c r="H136" s="135"/>
      <c r="I136" s="135"/>
    </row>
    <row r="137" spans="2:17" ht="24" customHeight="1" thickBot="1">
      <c r="B137" s="127" t="s">
        <v>284</v>
      </c>
      <c r="C137" s="127"/>
      <c r="D137" s="127"/>
      <c r="E137" s="127"/>
      <c r="F137" s="127"/>
      <c r="G137" s="127"/>
      <c r="H137" s="127"/>
      <c r="I137" s="127"/>
      <c r="L137" s="106">
        <f>M128/C134</f>
        <v>0.2727322314951181</v>
      </c>
    </row>
    <row r="138" spans="2:17" ht="31.5">
      <c r="B138" s="72" t="s">
        <v>272</v>
      </c>
      <c r="C138" s="73" t="s">
        <v>221</v>
      </c>
      <c r="D138" s="73" t="s">
        <v>223</v>
      </c>
      <c r="E138" s="73" t="s">
        <v>225</v>
      </c>
      <c r="F138" s="73" t="s">
        <v>227</v>
      </c>
      <c r="G138" s="73" t="s">
        <v>229</v>
      </c>
      <c r="H138" s="73" t="s">
        <v>139</v>
      </c>
    </row>
    <row r="139" spans="2:17" ht="16.5" thickBot="1">
      <c r="B139" s="74" t="s">
        <v>221</v>
      </c>
      <c r="C139" s="65" t="s">
        <v>285</v>
      </c>
      <c r="D139" s="65" t="s">
        <v>286</v>
      </c>
      <c r="E139" s="65" t="s">
        <v>287</v>
      </c>
      <c r="F139" s="65" t="s">
        <v>288</v>
      </c>
      <c r="G139" s="65" t="s">
        <v>289</v>
      </c>
      <c r="H139" s="65" t="s">
        <v>290</v>
      </c>
      <c r="J139" s="1"/>
      <c r="K139" s="108">
        <f>SUM(C139:G139)</f>
        <v>0</v>
      </c>
    </row>
    <row r="140" spans="2:17" ht="16.5" thickBot="1">
      <c r="B140" s="74" t="s">
        <v>223</v>
      </c>
      <c r="C140" s="65" t="s">
        <v>285</v>
      </c>
      <c r="D140" s="65" t="s">
        <v>286</v>
      </c>
      <c r="E140" s="65" t="s">
        <v>291</v>
      </c>
      <c r="F140" s="65" t="s">
        <v>288</v>
      </c>
      <c r="G140" s="65" t="s">
        <v>292</v>
      </c>
      <c r="H140" s="65" t="s">
        <v>293</v>
      </c>
    </row>
    <row r="141" spans="2:17" ht="16.5" thickBot="1">
      <c r="B141" s="74" t="s">
        <v>225</v>
      </c>
      <c r="C141" s="65" t="s">
        <v>294</v>
      </c>
      <c r="D141" s="65" t="s">
        <v>295</v>
      </c>
      <c r="E141" s="65" t="s">
        <v>296</v>
      </c>
      <c r="F141" s="65" t="s">
        <v>288</v>
      </c>
      <c r="G141" s="65" t="s">
        <v>297</v>
      </c>
      <c r="H141" s="65" t="s">
        <v>298</v>
      </c>
    </row>
    <row r="142" spans="2:17" ht="16.5" thickBot="1">
      <c r="B142" s="74" t="s">
        <v>227</v>
      </c>
      <c r="C142" s="65" t="s">
        <v>285</v>
      </c>
      <c r="D142" s="65" t="s">
        <v>286</v>
      </c>
      <c r="E142" s="65" t="s">
        <v>296</v>
      </c>
      <c r="F142" s="65" t="s">
        <v>288</v>
      </c>
      <c r="G142" s="65" t="s">
        <v>289</v>
      </c>
      <c r="H142" s="65" t="s">
        <v>299</v>
      </c>
    </row>
    <row r="143" spans="2:17" ht="16.5" thickBot="1">
      <c r="B143" s="74" t="s">
        <v>229</v>
      </c>
      <c r="C143" s="65" t="s">
        <v>294</v>
      </c>
      <c r="D143" s="65" t="s">
        <v>286</v>
      </c>
      <c r="E143" s="65" t="s">
        <v>300</v>
      </c>
      <c r="F143" s="65" t="s">
        <v>301</v>
      </c>
      <c r="G143" s="65" t="s">
        <v>292</v>
      </c>
      <c r="H143" s="65" t="s">
        <v>302</v>
      </c>
    </row>
    <row r="144" spans="2:17">
      <c r="B144" s="75"/>
    </row>
    <row r="145" spans="2:10" ht="15.75">
      <c r="B145" s="76" t="s">
        <v>303</v>
      </c>
    </row>
    <row r="146" spans="2:10" ht="59.25" customHeight="1">
      <c r="B146" s="127" t="s">
        <v>304</v>
      </c>
      <c r="C146" s="127"/>
      <c r="D146" s="127"/>
      <c r="E146" s="127"/>
      <c r="F146" s="127"/>
      <c r="G146" s="127"/>
      <c r="H146" s="127"/>
    </row>
    <row r="147" spans="2:10" ht="63.75" customHeight="1">
      <c r="B147" s="127" t="s">
        <v>305</v>
      </c>
      <c r="C147" s="127"/>
      <c r="D147" s="127"/>
      <c r="E147" s="127"/>
      <c r="F147" s="127"/>
      <c r="G147" s="127"/>
      <c r="H147" s="127"/>
      <c r="J147" s="105">
        <f>(0.2727+0.2222+0.4+0.2308+0.3)/5</f>
        <v>0.28514000000000006</v>
      </c>
    </row>
    <row r="148" spans="2:10">
      <c r="B148" s="75"/>
    </row>
    <row r="149" spans="2:10" ht="45">
      <c r="B149" s="103" t="s">
        <v>306</v>
      </c>
    </row>
    <row r="150" spans="2:10" ht="75" customHeight="1">
      <c r="B150" s="127" t="s">
        <v>307</v>
      </c>
      <c r="C150" s="127"/>
      <c r="D150" s="127"/>
      <c r="E150" s="127"/>
      <c r="F150" s="127"/>
      <c r="G150" s="127"/>
      <c r="H150" s="127"/>
    </row>
    <row r="151" spans="2:10" ht="22.5" customHeight="1">
      <c r="B151" s="127" t="s">
        <v>308</v>
      </c>
      <c r="C151" s="127"/>
      <c r="D151" s="127"/>
      <c r="E151" s="127"/>
      <c r="F151" s="127"/>
      <c r="G151" s="127"/>
      <c r="H151" s="127"/>
    </row>
    <row r="152" spans="2:10" ht="23.25" customHeight="1">
      <c r="B152" s="130" t="s">
        <v>309</v>
      </c>
      <c r="C152" s="130"/>
      <c r="D152" s="130"/>
      <c r="E152" s="130"/>
      <c r="F152" s="130"/>
      <c r="G152" s="130"/>
      <c r="H152" s="130"/>
    </row>
    <row r="153" spans="2:10" ht="44.25" customHeight="1">
      <c r="B153" s="130" t="s">
        <v>310</v>
      </c>
      <c r="C153" s="130"/>
      <c r="D153" s="130"/>
      <c r="E153" s="130"/>
      <c r="F153" s="130"/>
      <c r="G153" s="130"/>
      <c r="H153" s="130"/>
    </row>
    <row r="154" spans="2:10" ht="80.25" customHeight="1">
      <c r="B154" s="127" t="s">
        <v>311</v>
      </c>
      <c r="C154" s="127"/>
      <c r="D154" s="127"/>
      <c r="E154" s="127"/>
      <c r="F154" s="127"/>
      <c r="G154" s="127"/>
      <c r="H154" s="127"/>
    </row>
    <row r="155" spans="2:10" ht="16.5" thickBot="1">
      <c r="B155" s="76"/>
    </row>
    <row r="156" spans="2:10" ht="15.75">
      <c r="B156" s="72" t="s">
        <v>272</v>
      </c>
      <c r="C156" s="73" t="s">
        <v>221</v>
      </c>
      <c r="D156" s="73" t="s">
        <v>223</v>
      </c>
      <c r="E156" s="73" t="s">
        <v>225</v>
      </c>
      <c r="F156" s="73" t="s">
        <v>227</v>
      </c>
      <c r="G156" s="73" t="s">
        <v>229</v>
      </c>
      <c r="H156" s="73" t="s">
        <v>312</v>
      </c>
    </row>
    <row r="157" spans="2:10" ht="16.5" thickBot="1">
      <c r="B157" s="74" t="s">
        <v>221</v>
      </c>
      <c r="C157" s="65" t="s">
        <v>285</v>
      </c>
      <c r="D157" s="65" t="s">
        <v>286</v>
      </c>
      <c r="E157" s="65" t="s">
        <v>287</v>
      </c>
      <c r="F157" s="65" t="s">
        <v>288</v>
      </c>
      <c r="G157" s="65" t="s">
        <v>289</v>
      </c>
      <c r="H157" s="78">
        <v>5363</v>
      </c>
    </row>
    <row r="158" spans="2:10" ht="16.5" thickBot="1">
      <c r="B158" s="74" t="s">
        <v>223</v>
      </c>
      <c r="C158" s="65" t="s">
        <v>285</v>
      </c>
      <c r="D158" s="65" t="s">
        <v>286</v>
      </c>
      <c r="E158" s="65" t="s">
        <v>291</v>
      </c>
      <c r="F158" s="65" t="s">
        <v>288</v>
      </c>
      <c r="G158" s="65" t="s">
        <v>292</v>
      </c>
      <c r="H158" s="78">
        <v>5278</v>
      </c>
    </row>
    <row r="159" spans="2:10" ht="16.5" thickBot="1">
      <c r="B159" s="74" t="s">
        <v>225</v>
      </c>
      <c r="C159" s="65" t="s">
        <v>294</v>
      </c>
      <c r="D159" s="65" t="s">
        <v>295</v>
      </c>
      <c r="E159" s="65" t="s">
        <v>296</v>
      </c>
      <c r="F159" s="65" t="s">
        <v>288</v>
      </c>
      <c r="G159" s="65" t="s">
        <v>297</v>
      </c>
      <c r="H159" s="78">
        <v>5299</v>
      </c>
    </row>
    <row r="160" spans="2:10" ht="16.5" thickBot="1">
      <c r="B160" s="74" t="s">
        <v>227</v>
      </c>
      <c r="C160" s="65" t="s">
        <v>285</v>
      </c>
      <c r="D160" s="65" t="s">
        <v>286</v>
      </c>
      <c r="E160" s="65" t="s">
        <v>296</v>
      </c>
      <c r="F160" s="65" t="s">
        <v>288</v>
      </c>
      <c r="G160" s="65" t="s">
        <v>289</v>
      </c>
      <c r="H160" s="78">
        <v>5275</v>
      </c>
    </row>
    <row r="161" spans="2:12" ht="16.5" thickBot="1">
      <c r="B161" s="74" t="s">
        <v>229</v>
      </c>
      <c r="C161" s="65" t="s">
        <v>294</v>
      </c>
      <c r="D161" s="65" t="s">
        <v>286</v>
      </c>
      <c r="E161" s="65" t="s">
        <v>300</v>
      </c>
      <c r="F161" s="65" t="s">
        <v>301</v>
      </c>
      <c r="G161" s="65" t="s">
        <v>292</v>
      </c>
      <c r="H161" s="78">
        <v>5198</v>
      </c>
    </row>
    <row r="162" spans="2:12">
      <c r="B162" s="75"/>
    </row>
    <row r="163" spans="2:12" ht="15.75">
      <c r="B163" s="76" t="s">
        <v>313</v>
      </c>
    </row>
    <row r="164" spans="2:12" ht="66" customHeight="1">
      <c r="B164" s="130" t="s">
        <v>314</v>
      </c>
      <c r="C164" s="130"/>
      <c r="D164" s="130"/>
      <c r="E164" s="130"/>
      <c r="F164" s="130"/>
      <c r="G164" s="130"/>
      <c r="H164" s="130"/>
    </row>
    <row r="165" spans="2:12" ht="34.5" customHeight="1">
      <c r="B165" s="127" t="s">
        <v>315</v>
      </c>
      <c r="C165" s="127"/>
      <c r="D165" s="127"/>
      <c r="E165" s="127"/>
      <c r="F165" s="127"/>
      <c r="G165" s="127"/>
      <c r="H165" s="127"/>
    </row>
    <row r="166" spans="2:12" ht="15.75">
      <c r="B166" s="76"/>
    </row>
    <row r="167" spans="2:12">
      <c r="B167" s="75"/>
    </row>
    <row r="168" spans="2:12">
      <c r="B168" s="75"/>
    </row>
    <row r="169" spans="2:12" ht="28.5" customHeight="1">
      <c r="B169" s="75"/>
    </row>
    <row r="170" spans="2:12" ht="47.25" customHeight="1">
      <c r="B170" s="131" t="s">
        <v>316</v>
      </c>
      <c r="C170" s="131"/>
      <c r="D170" s="131"/>
      <c r="E170" s="131"/>
      <c r="F170" s="131"/>
      <c r="G170" s="131"/>
      <c r="H170" s="131"/>
    </row>
    <row r="171" spans="2:12" ht="23.25" customHeight="1">
      <c r="B171" s="127" t="s">
        <v>165</v>
      </c>
      <c r="C171" s="127"/>
      <c r="D171" s="127"/>
      <c r="E171" s="127"/>
      <c r="F171" s="127"/>
      <c r="G171" s="127"/>
      <c r="H171" s="127"/>
    </row>
    <row r="172" spans="2:12" ht="45" customHeight="1">
      <c r="B172" s="127" t="s">
        <v>317</v>
      </c>
      <c r="C172" s="127"/>
      <c r="D172" s="127"/>
      <c r="E172" s="127"/>
      <c r="F172" s="127"/>
      <c r="G172" s="127"/>
      <c r="H172" s="127"/>
    </row>
    <row r="173" spans="2:12" ht="57" customHeight="1" thickBot="1">
      <c r="B173" s="132" t="s">
        <v>318</v>
      </c>
      <c r="C173" s="132"/>
      <c r="D173" s="132"/>
      <c r="E173" s="132"/>
      <c r="F173" s="132"/>
      <c r="G173" s="132"/>
      <c r="H173" s="132"/>
    </row>
    <row r="174" spans="2:12" ht="16.5" thickBot="1">
      <c r="B174" s="72" t="s">
        <v>319</v>
      </c>
      <c r="C174" s="67">
        <v>1</v>
      </c>
      <c r="D174" s="67">
        <v>2</v>
      </c>
      <c r="E174" s="67">
        <v>3</v>
      </c>
      <c r="F174" s="67">
        <v>4</v>
      </c>
      <c r="G174" s="67">
        <v>5</v>
      </c>
      <c r="H174" s="67">
        <v>6</v>
      </c>
      <c r="I174" s="67">
        <v>7</v>
      </c>
      <c r="J174" s="67">
        <v>8</v>
      </c>
      <c r="K174" s="67">
        <v>9</v>
      </c>
      <c r="L174" s="67">
        <v>10</v>
      </c>
    </row>
    <row r="175" spans="2:12" ht="16.5" thickBot="1">
      <c r="B175" s="74" t="s">
        <v>320</v>
      </c>
      <c r="C175" s="65">
        <v>0</v>
      </c>
      <c r="D175" s="65">
        <v>0</v>
      </c>
      <c r="E175" s="65" t="s">
        <v>321</v>
      </c>
      <c r="F175" s="65" t="s">
        <v>322</v>
      </c>
      <c r="G175" s="65" t="s">
        <v>323</v>
      </c>
      <c r="H175" s="65" t="s">
        <v>324</v>
      </c>
      <c r="I175" s="65" t="s">
        <v>325</v>
      </c>
      <c r="J175" s="65" t="s">
        <v>326</v>
      </c>
      <c r="K175" s="65" t="s">
        <v>327</v>
      </c>
      <c r="L175" s="65" t="s">
        <v>328</v>
      </c>
    </row>
    <row r="176" spans="2:12">
      <c r="B176" s="75"/>
    </row>
    <row r="177" spans="2:20" ht="15.75">
      <c r="B177" s="76" t="s">
        <v>329</v>
      </c>
    </row>
    <row r="178" spans="2:20" ht="30" customHeight="1">
      <c r="B178" s="127" t="s">
        <v>330</v>
      </c>
      <c r="C178" s="127"/>
      <c r="D178" s="127"/>
      <c r="E178" s="127"/>
      <c r="F178" s="127"/>
      <c r="G178" s="127"/>
      <c r="H178" s="127"/>
    </row>
    <row r="179" spans="2:20" ht="33.75" customHeight="1">
      <c r="B179" s="127" t="s">
        <v>331</v>
      </c>
      <c r="C179" s="127"/>
      <c r="D179" s="127"/>
      <c r="E179" s="127"/>
      <c r="F179" s="127"/>
      <c r="G179" s="127"/>
      <c r="H179" s="127"/>
    </row>
    <row r="180" spans="2:20" ht="38.25" customHeight="1">
      <c r="B180" s="127" t="s">
        <v>332</v>
      </c>
      <c r="C180" s="127"/>
      <c r="D180" s="127"/>
      <c r="E180" s="127"/>
      <c r="F180" s="127"/>
      <c r="G180" s="127"/>
      <c r="H180" s="127"/>
    </row>
    <row r="181" spans="2:20" ht="25.5" customHeight="1">
      <c r="B181" s="126" t="s">
        <v>333</v>
      </c>
      <c r="C181" s="126"/>
      <c r="D181" s="126"/>
      <c r="E181" s="126"/>
      <c r="F181" s="126"/>
      <c r="G181" s="126"/>
      <c r="H181" s="126"/>
    </row>
    <row r="182" spans="2:20" ht="53.25" customHeight="1" thickBot="1">
      <c r="B182" s="127" t="s">
        <v>334</v>
      </c>
      <c r="C182" s="127"/>
      <c r="D182" s="127"/>
      <c r="E182" s="127"/>
      <c r="F182" s="127"/>
      <c r="G182" s="127"/>
      <c r="H182" s="127"/>
      <c r="K182" s="129" t="s">
        <v>254</v>
      </c>
      <c r="L182" s="129"/>
      <c r="M182" s="129"/>
      <c r="N182" s="129"/>
      <c r="O182" s="129"/>
      <c r="P182" s="129"/>
      <c r="Q182" s="129"/>
      <c r="R182" s="129"/>
      <c r="S182" s="129"/>
      <c r="T182" s="129"/>
    </row>
    <row r="183" spans="2:20" ht="15.75">
      <c r="B183" s="72" t="s">
        <v>272</v>
      </c>
      <c r="C183" s="73" t="s">
        <v>234</v>
      </c>
      <c r="D183" s="73" t="s">
        <v>236</v>
      </c>
      <c r="E183" s="73" t="s">
        <v>238</v>
      </c>
      <c r="F183" s="73" t="s">
        <v>335</v>
      </c>
      <c r="K183" s="72" t="s">
        <v>219</v>
      </c>
      <c r="L183" s="73" t="s">
        <v>234</v>
      </c>
      <c r="M183" s="73" t="s">
        <v>236</v>
      </c>
      <c r="N183" s="73" t="s">
        <v>238</v>
      </c>
    </row>
    <row r="184" spans="2:20" ht="16.5" thickBot="1">
      <c r="B184" s="74" t="s">
        <v>234</v>
      </c>
      <c r="C184" s="65" t="s">
        <v>336</v>
      </c>
      <c r="D184" s="65" t="s">
        <v>337</v>
      </c>
      <c r="E184" s="65" t="s">
        <v>248</v>
      </c>
      <c r="F184" s="65" t="s">
        <v>338</v>
      </c>
      <c r="K184" s="74" t="s">
        <v>234</v>
      </c>
      <c r="L184" s="65">
        <v>1</v>
      </c>
      <c r="M184" s="65">
        <v>3</v>
      </c>
      <c r="N184" s="65">
        <v>3</v>
      </c>
    </row>
    <row r="185" spans="2:20" ht="16.5" thickBot="1">
      <c r="B185" s="74" t="s">
        <v>236</v>
      </c>
      <c r="C185" s="65" t="s">
        <v>297</v>
      </c>
      <c r="D185" s="65" t="s">
        <v>339</v>
      </c>
      <c r="E185" s="65" t="s">
        <v>247</v>
      </c>
      <c r="F185" s="65" t="s">
        <v>340</v>
      </c>
      <c r="K185" s="74" t="s">
        <v>236</v>
      </c>
      <c r="L185" s="65" t="s">
        <v>247</v>
      </c>
      <c r="M185" s="65">
        <v>1</v>
      </c>
      <c r="N185" s="65">
        <v>2</v>
      </c>
    </row>
    <row r="186" spans="2:20" ht="16.5" thickBot="1">
      <c r="B186" s="74" t="s">
        <v>238</v>
      </c>
      <c r="C186" s="65" t="s">
        <v>297</v>
      </c>
      <c r="D186" s="65" t="s">
        <v>302</v>
      </c>
      <c r="E186" s="65" t="s">
        <v>262</v>
      </c>
      <c r="F186" s="65" t="s">
        <v>341</v>
      </c>
      <c r="K186" s="74" t="s">
        <v>238</v>
      </c>
      <c r="L186" s="65" t="s">
        <v>247</v>
      </c>
      <c r="M186" s="65" t="s">
        <v>248</v>
      </c>
      <c r="N186" s="65">
        <v>1</v>
      </c>
    </row>
    <row r="187" spans="2:20">
      <c r="B187" s="51"/>
      <c r="L187">
        <f>1+0.333+0.333</f>
        <v>1.6659999999999999</v>
      </c>
      <c r="M187" s="104">
        <f>3+1+0.5</f>
        <v>4.5</v>
      </c>
      <c r="N187">
        <f>3+2+1</f>
        <v>6</v>
      </c>
    </row>
    <row r="188" spans="2:20" ht="16.5" thickBot="1">
      <c r="B188" s="57" t="s">
        <v>329</v>
      </c>
      <c r="H188">
        <f>0.6+0.667+0.5</f>
        <v>1.7669999999999999</v>
      </c>
      <c r="L188" s="104">
        <f>L184/L187</f>
        <v>0.60024009603841544</v>
      </c>
      <c r="M188" s="1">
        <f>M184/M187</f>
        <v>0.66666666666666663</v>
      </c>
      <c r="N188" s="104">
        <f>N184/N187</f>
        <v>0.5</v>
      </c>
    </row>
    <row r="189" spans="2:20" ht="15.75">
      <c r="B189" s="72" t="s">
        <v>272</v>
      </c>
      <c r="C189" s="73" t="s">
        <v>234</v>
      </c>
      <c r="D189" s="73" t="s">
        <v>236</v>
      </c>
      <c r="E189" s="73" t="s">
        <v>238</v>
      </c>
      <c r="F189" s="73" t="s">
        <v>335</v>
      </c>
      <c r="H189">
        <f>H188/3</f>
        <v>0.58899999999999997</v>
      </c>
      <c r="L189" s="104">
        <f>0.333/L187</f>
        <v>0.19987995198079234</v>
      </c>
      <c r="M189" s="105">
        <f>1/M187</f>
        <v>0.22222222222222221</v>
      </c>
      <c r="N189" s="105">
        <f>2/N187</f>
        <v>0.33333333333333331</v>
      </c>
    </row>
    <row r="190" spans="2:20" ht="16.5" thickBot="1">
      <c r="B190" s="74" t="s">
        <v>234</v>
      </c>
      <c r="C190" s="65" t="s">
        <v>342</v>
      </c>
      <c r="D190" s="65" t="s">
        <v>336</v>
      </c>
      <c r="E190" s="65" t="s">
        <v>248</v>
      </c>
      <c r="F190" s="65" t="s">
        <v>343</v>
      </c>
      <c r="L190" s="104">
        <f>0.333/L187</f>
        <v>0.19987995198079234</v>
      </c>
      <c r="M190" s="105">
        <f>0.5/M187</f>
        <v>0.1111111111111111</v>
      </c>
      <c r="N190" s="105">
        <f>1/N187</f>
        <v>0.16666666666666666</v>
      </c>
    </row>
    <row r="191" spans="2:20" ht="16.5" thickBot="1">
      <c r="B191" s="74" t="s">
        <v>236</v>
      </c>
      <c r="C191" s="65" t="s">
        <v>344</v>
      </c>
      <c r="D191" s="65" t="s">
        <v>289</v>
      </c>
      <c r="E191" s="65" t="s">
        <v>345</v>
      </c>
      <c r="F191" s="65" t="s">
        <v>346</v>
      </c>
    </row>
    <row r="192" spans="2:20" ht="16.5" thickBot="1">
      <c r="B192" s="74" t="s">
        <v>238</v>
      </c>
      <c r="C192" s="65" t="s">
        <v>347</v>
      </c>
      <c r="D192" s="65" t="s">
        <v>292</v>
      </c>
      <c r="E192" s="65" t="s">
        <v>348</v>
      </c>
      <c r="F192" s="65" t="s">
        <v>349</v>
      </c>
    </row>
    <row r="193" spans="2:6">
      <c r="B193" s="51"/>
    </row>
    <row r="194" spans="2:6" ht="16.5" thickBot="1">
      <c r="B194" s="57" t="s">
        <v>350</v>
      </c>
    </row>
    <row r="195" spans="2:6" ht="15.75">
      <c r="B195" s="72" t="s">
        <v>272</v>
      </c>
      <c r="C195" s="73" t="s">
        <v>234</v>
      </c>
      <c r="D195" s="73" t="s">
        <v>236</v>
      </c>
      <c r="E195" s="73" t="s">
        <v>238</v>
      </c>
      <c r="F195" s="73" t="s">
        <v>335</v>
      </c>
    </row>
    <row r="196" spans="2:6" ht="16.5" thickBot="1">
      <c r="B196" s="74" t="s">
        <v>234</v>
      </c>
      <c r="C196" s="65" t="s">
        <v>287</v>
      </c>
      <c r="D196" s="65" t="s">
        <v>342</v>
      </c>
      <c r="E196" s="65" t="s">
        <v>257</v>
      </c>
      <c r="F196" s="65" t="s">
        <v>351</v>
      </c>
    </row>
    <row r="197" spans="2:6" ht="16.5" thickBot="1">
      <c r="B197" s="74" t="s">
        <v>236</v>
      </c>
      <c r="C197" s="65" t="s">
        <v>297</v>
      </c>
      <c r="D197" s="65" t="s">
        <v>344</v>
      </c>
      <c r="E197" s="65" t="s">
        <v>248</v>
      </c>
      <c r="F197" s="65" t="s">
        <v>352</v>
      </c>
    </row>
    <row r="198" spans="2:6" ht="16.5" thickBot="1">
      <c r="B198" s="74" t="s">
        <v>238</v>
      </c>
      <c r="C198" s="65" t="s">
        <v>287</v>
      </c>
      <c r="D198" s="65" t="s">
        <v>347</v>
      </c>
      <c r="E198" s="65" t="s">
        <v>257</v>
      </c>
      <c r="F198" s="65" t="s">
        <v>353</v>
      </c>
    </row>
    <row r="199" spans="2:6">
      <c r="B199" s="51"/>
    </row>
    <row r="200" spans="2:6" ht="16.5" thickBot="1">
      <c r="B200" s="57" t="s">
        <v>354</v>
      </c>
    </row>
    <row r="201" spans="2:6" ht="15.75">
      <c r="B201" s="72" t="s">
        <v>272</v>
      </c>
      <c r="C201" s="73" t="s">
        <v>234</v>
      </c>
      <c r="D201" s="73" t="s">
        <v>236</v>
      </c>
      <c r="E201" s="73" t="s">
        <v>238</v>
      </c>
      <c r="F201" s="73" t="s">
        <v>335</v>
      </c>
    </row>
    <row r="202" spans="2:6" ht="16.5" thickBot="1">
      <c r="B202" s="74" t="s">
        <v>234</v>
      </c>
      <c r="C202" s="65" t="s">
        <v>355</v>
      </c>
      <c r="D202" s="65" t="s">
        <v>356</v>
      </c>
      <c r="E202" s="65" t="s">
        <v>289</v>
      </c>
      <c r="F202" s="65" t="s">
        <v>357</v>
      </c>
    </row>
    <row r="203" spans="2:6" ht="16.5" thickBot="1">
      <c r="B203" s="74" t="s">
        <v>236</v>
      </c>
      <c r="C203" s="65" t="s">
        <v>358</v>
      </c>
      <c r="D203" s="65" t="s">
        <v>359</v>
      </c>
      <c r="E203" s="65" t="s">
        <v>336</v>
      </c>
      <c r="F203" s="65" t="s">
        <v>360</v>
      </c>
    </row>
    <row r="204" spans="2:6" ht="16.5" thickBot="1">
      <c r="B204" s="74" t="s">
        <v>238</v>
      </c>
      <c r="C204" s="65" t="s">
        <v>361</v>
      </c>
      <c r="D204" s="65" t="s">
        <v>362</v>
      </c>
      <c r="E204" s="65" t="s">
        <v>292</v>
      </c>
      <c r="F204" s="65" t="s">
        <v>302</v>
      </c>
    </row>
    <row r="205" spans="2:6">
      <c r="B205" s="51"/>
    </row>
    <row r="206" spans="2:6" ht="16.5" thickBot="1">
      <c r="B206" s="57" t="s">
        <v>363</v>
      </c>
    </row>
    <row r="207" spans="2:6" ht="15.75">
      <c r="B207" s="72" t="s">
        <v>272</v>
      </c>
      <c r="C207" s="73" t="s">
        <v>234</v>
      </c>
      <c r="D207" s="73" t="s">
        <v>236</v>
      </c>
      <c r="E207" s="73" t="s">
        <v>238</v>
      </c>
      <c r="F207" s="73" t="s">
        <v>335</v>
      </c>
    </row>
    <row r="208" spans="2:6" ht="16.5" thickBot="1">
      <c r="B208" s="74" t="s">
        <v>234</v>
      </c>
      <c r="C208" s="65" t="s">
        <v>356</v>
      </c>
      <c r="D208" s="65" t="s">
        <v>364</v>
      </c>
      <c r="E208" s="65" t="s">
        <v>248</v>
      </c>
      <c r="F208" s="65" t="s">
        <v>365</v>
      </c>
    </row>
    <row r="209" spans="2:9" ht="16.5" thickBot="1">
      <c r="B209" s="74" t="s">
        <v>236</v>
      </c>
      <c r="C209" s="65" t="s">
        <v>366</v>
      </c>
      <c r="D209" s="65" t="s">
        <v>361</v>
      </c>
      <c r="E209" s="65" t="s">
        <v>247</v>
      </c>
      <c r="F209" s="65" t="s">
        <v>367</v>
      </c>
    </row>
    <row r="210" spans="2:9" ht="16.5" thickBot="1">
      <c r="B210" s="74" t="s">
        <v>238</v>
      </c>
      <c r="C210" s="65" t="s">
        <v>368</v>
      </c>
      <c r="D210" s="65" t="s">
        <v>369</v>
      </c>
      <c r="E210" s="65" t="s">
        <v>262</v>
      </c>
      <c r="F210" s="65" t="s">
        <v>370</v>
      </c>
    </row>
    <row r="211" spans="2:9">
      <c r="B211" s="51"/>
    </row>
    <row r="212" spans="2:9" ht="15.75">
      <c r="B212" s="57" t="s">
        <v>371</v>
      </c>
    </row>
    <row r="213" spans="2:9" ht="51.75">
      <c r="B213" s="63" t="s">
        <v>372</v>
      </c>
    </row>
    <row r="214" spans="2:9" ht="44.25" customHeight="1" thickBot="1">
      <c r="B214" s="132" t="s">
        <v>373</v>
      </c>
      <c r="C214" s="132"/>
      <c r="D214" s="132"/>
      <c r="E214" s="132"/>
      <c r="F214" s="132"/>
      <c r="G214" s="132"/>
      <c r="H214" s="132"/>
      <c r="I214" s="132"/>
    </row>
    <row r="215" spans="2:9" ht="15.75">
      <c r="B215" s="72" t="s">
        <v>108</v>
      </c>
      <c r="C215" s="73" t="s">
        <v>221</v>
      </c>
      <c r="D215" s="73" t="s">
        <v>223</v>
      </c>
      <c r="E215" s="73" t="s">
        <v>225</v>
      </c>
      <c r="F215" s="73" t="s">
        <v>227</v>
      </c>
      <c r="G215" s="73" t="s">
        <v>229</v>
      </c>
      <c r="H215" s="73" t="s">
        <v>100</v>
      </c>
      <c r="I215" s="73" t="s">
        <v>192</v>
      </c>
    </row>
    <row r="216" spans="2:9" ht="31.5" thickBot="1">
      <c r="B216" s="68" t="s">
        <v>374</v>
      </c>
      <c r="C216" s="65" t="s">
        <v>290</v>
      </c>
      <c r="D216" s="65" t="s">
        <v>293</v>
      </c>
      <c r="E216" s="65" t="s">
        <v>298</v>
      </c>
      <c r="F216" s="65" t="s">
        <v>299</v>
      </c>
      <c r="G216" s="65" t="s">
        <v>302</v>
      </c>
      <c r="H216" s="65"/>
      <c r="I216" s="65"/>
    </row>
    <row r="217" spans="2:9" ht="31.5" thickBot="1">
      <c r="B217" s="68" t="s">
        <v>375</v>
      </c>
      <c r="C217" s="65" t="s">
        <v>338</v>
      </c>
      <c r="D217" s="65" t="s">
        <v>343</v>
      </c>
      <c r="E217" s="65" t="s">
        <v>351</v>
      </c>
      <c r="F217" s="65" t="s">
        <v>357</v>
      </c>
      <c r="G217" s="65" t="s">
        <v>365</v>
      </c>
      <c r="H217" s="71" t="s">
        <v>376</v>
      </c>
      <c r="I217" s="65">
        <v>1</v>
      </c>
    </row>
    <row r="218" spans="2:9" ht="31.5" thickBot="1">
      <c r="B218" s="68" t="s">
        <v>377</v>
      </c>
      <c r="C218" s="65" t="s">
        <v>340</v>
      </c>
      <c r="D218" s="65" t="s">
        <v>346</v>
      </c>
      <c r="E218" s="65" t="s">
        <v>352</v>
      </c>
      <c r="F218" s="65" t="s">
        <v>360</v>
      </c>
      <c r="G218" s="65" t="s">
        <v>367</v>
      </c>
      <c r="H218" s="71" t="s">
        <v>378</v>
      </c>
      <c r="I218" s="65">
        <v>2</v>
      </c>
    </row>
    <row r="219" spans="2:9" ht="31.5" thickBot="1">
      <c r="B219" s="68" t="s">
        <v>379</v>
      </c>
      <c r="C219" s="65" t="s">
        <v>341</v>
      </c>
      <c r="D219" s="65" t="s">
        <v>349</v>
      </c>
      <c r="E219" s="65" t="s">
        <v>353</v>
      </c>
      <c r="F219" s="65" t="s">
        <v>302</v>
      </c>
      <c r="G219" s="65" t="s">
        <v>370</v>
      </c>
      <c r="H219" s="71" t="s">
        <v>370</v>
      </c>
      <c r="I219" s="65">
        <v>3</v>
      </c>
    </row>
    <row r="220" spans="2:9">
      <c r="B220" s="51"/>
    </row>
    <row r="221" spans="2:9" ht="15.75">
      <c r="B221" s="57" t="s">
        <v>380</v>
      </c>
    </row>
    <row r="222" spans="2:9" ht="75.75" customHeight="1">
      <c r="B222" s="127" t="s">
        <v>381</v>
      </c>
      <c r="C222" s="127"/>
      <c r="D222" s="127"/>
      <c r="E222" s="127"/>
      <c r="F222" s="127"/>
      <c r="G222" s="127"/>
      <c r="H222" s="127"/>
      <c r="I222" s="127"/>
    </row>
    <row r="223" spans="2:9" ht="300">
      <c r="B223" s="53" t="s">
        <v>382</v>
      </c>
    </row>
    <row r="224" spans="2:9" ht="120.75">
      <c r="B224" s="63" t="s">
        <v>383</v>
      </c>
    </row>
    <row r="225" spans="2:2">
      <c r="B225" s="51"/>
    </row>
    <row r="226" spans="2:2" ht="409.6">
      <c r="B226" s="52" t="s">
        <v>384</v>
      </c>
    </row>
    <row r="227" spans="2:2" ht="60">
      <c r="B227" s="80" t="s">
        <v>385</v>
      </c>
    </row>
    <row r="228" spans="2:2">
      <c r="B228" s="79"/>
    </row>
    <row r="229" spans="2:2">
      <c r="B229" s="79"/>
    </row>
    <row r="230" spans="2:2">
      <c r="B230" s="79"/>
    </row>
    <row r="231" spans="2:2">
      <c r="B231" s="79"/>
    </row>
    <row r="232" spans="2:2">
      <c r="B232" s="79"/>
    </row>
    <row r="233" spans="2:2">
      <c r="B233" s="79"/>
    </row>
    <row r="234" spans="2:2">
      <c r="B234" s="79"/>
    </row>
    <row r="235" spans="2:2">
      <c r="B235" s="51"/>
    </row>
    <row r="236" spans="2:2" ht="15.75">
      <c r="B236" s="57"/>
    </row>
    <row r="237" spans="2:2" ht="75">
      <c r="B237" s="80" t="s">
        <v>386</v>
      </c>
    </row>
    <row r="238" spans="2:2">
      <c r="B238" s="79"/>
    </row>
    <row r="239" spans="2:2">
      <c r="B239" s="79"/>
    </row>
    <row r="240" spans="2:2">
      <c r="B240" s="79"/>
    </row>
    <row r="241" spans="2:2">
      <c r="B241" s="79"/>
    </row>
    <row r="242" spans="2:2">
      <c r="B242" s="79"/>
    </row>
    <row r="243" spans="2:2">
      <c r="B243" s="79"/>
    </row>
    <row r="244" spans="2:2">
      <c r="B244" s="79"/>
    </row>
    <row r="245" spans="2:2">
      <c r="B245" s="51"/>
    </row>
    <row r="246" spans="2:2" ht="34.5">
      <c r="B246" s="81" t="s">
        <v>387</v>
      </c>
    </row>
    <row r="247" spans="2:2" ht="15.75">
      <c r="B247" s="83"/>
    </row>
    <row r="248" spans="2:2">
      <c r="B248" s="84"/>
    </row>
    <row r="249" spans="2:2">
      <c r="B249" s="84"/>
    </row>
    <row r="250" spans="2:2">
      <c r="B250" s="84"/>
    </row>
    <row r="251" spans="2:2">
      <c r="B251" s="84"/>
    </row>
    <row r="252" spans="2:2" ht="60.75">
      <c r="B252" s="83" t="s">
        <v>388</v>
      </c>
    </row>
    <row r="253" spans="2:2" ht="75">
      <c r="B253" s="85" t="s">
        <v>389</v>
      </c>
    </row>
    <row r="254" spans="2:2" ht="15.75">
      <c r="B254" s="83"/>
    </row>
    <row r="255" spans="2:2">
      <c r="B255" s="84"/>
    </row>
    <row r="256" spans="2:2">
      <c r="B256" s="84"/>
    </row>
    <row r="257" spans="2:2">
      <c r="B257" s="84"/>
    </row>
    <row r="258" spans="2:2">
      <c r="B258" s="84"/>
    </row>
    <row r="259" spans="2:2">
      <c r="B259" s="85" t="s">
        <v>208</v>
      </c>
    </row>
    <row r="260" spans="2:2" ht="60">
      <c r="B260" s="85" t="s">
        <v>390</v>
      </c>
    </row>
    <row r="261" spans="2:2" ht="34.5">
      <c r="B261" s="81" t="s">
        <v>391</v>
      </c>
    </row>
    <row r="262" spans="2:2" ht="15.75">
      <c r="B262" s="82"/>
    </row>
    <row r="263" spans="2:2">
      <c r="B263" s="84"/>
    </row>
    <row r="264" spans="2:2">
      <c r="B264" s="84"/>
    </row>
    <row r="265" spans="2:2">
      <c r="B265" s="84"/>
    </row>
    <row r="266" spans="2:2">
      <c r="B266" s="86"/>
    </row>
    <row r="267" spans="2:2" ht="116.25">
      <c r="B267" s="87" t="s">
        <v>392</v>
      </c>
    </row>
    <row r="268" spans="2:2">
      <c r="B268" s="61" t="s">
        <v>393</v>
      </c>
    </row>
    <row r="269" spans="2:2" ht="34.5">
      <c r="B269" s="81" t="s">
        <v>211</v>
      </c>
    </row>
    <row r="270" spans="2:2" ht="31.5">
      <c r="B270" s="89" t="s">
        <v>394</v>
      </c>
    </row>
    <row r="271" spans="2:2">
      <c r="B271" s="88"/>
    </row>
    <row r="272" spans="2:2">
      <c r="B272" s="90"/>
    </row>
    <row r="273" spans="2:2" ht="60">
      <c r="B273" s="91" t="s">
        <v>395</v>
      </c>
    </row>
    <row r="274" spans="2:2" ht="135.75">
      <c r="B274" s="82" t="s">
        <v>396</v>
      </c>
    </row>
    <row r="275" spans="2:2">
      <c r="B275" s="91" t="s">
        <v>397</v>
      </c>
    </row>
    <row r="276" spans="2:2" ht="15.75">
      <c r="B276" s="92"/>
    </row>
    <row r="277" spans="2:2" ht="15.75">
      <c r="B277" s="94" t="s">
        <v>392</v>
      </c>
    </row>
    <row r="278" spans="2:2">
      <c r="B278" s="93"/>
    </row>
    <row r="279" spans="2:2">
      <c r="B279" s="93"/>
    </row>
    <row r="280" spans="2:2" ht="75">
      <c r="B280" s="95" t="s">
        <v>398</v>
      </c>
    </row>
    <row r="281" spans="2:2" ht="90">
      <c r="B281" s="85" t="s">
        <v>399</v>
      </c>
    </row>
    <row r="282" spans="2:2">
      <c r="B282" s="95" t="s">
        <v>397</v>
      </c>
    </row>
    <row r="283" spans="2:2">
      <c r="B283" s="91" t="s">
        <v>400</v>
      </c>
    </row>
    <row r="284" spans="2:2">
      <c r="B284" s="88"/>
    </row>
    <row r="285" spans="2:2">
      <c r="B285" s="90"/>
    </row>
    <row r="286" spans="2:2" ht="60">
      <c r="B286" s="91" t="s">
        <v>401</v>
      </c>
    </row>
    <row r="287" spans="2:2" ht="165.75">
      <c r="B287" s="82" t="s">
        <v>402</v>
      </c>
    </row>
    <row r="288" spans="2:2">
      <c r="B288" s="91" t="s">
        <v>397</v>
      </c>
    </row>
    <row r="289" spans="2:2" ht="15.75">
      <c r="B289" s="92"/>
    </row>
    <row r="290" spans="2:2" ht="15.75">
      <c r="B290" s="94" t="s">
        <v>392</v>
      </c>
    </row>
    <row r="291" spans="2:2">
      <c r="B291" s="93"/>
    </row>
    <row r="292" spans="2:2">
      <c r="B292" s="93"/>
    </row>
    <row r="293" spans="2:2" ht="75">
      <c r="B293" s="95" t="s">
        <v>403</v>
      </c>
    </row>
    <row r="294" spans="2:2" ht="195.75">
      <c r="B294" s="82" t="s">
        <v>404</v>
      </c>
    </row>
    <row r="295" spans="2:2">
      <c r="B295" s="95" t="s">
        <v>397</v>
      </c>
    </row>
    <row r="296" spans="2:2" ht="15.75">
      <c r="B296" s="89" t="s">
        <v>405</v>
      </c>
    </row>
    <row r="297" spans="2:2">
      <c r="B297" s="88"/>
    </row>
    <row r="298" spans="2:2">
      <c r="B298" s="90"/>
    </row>
    <row r="299" spans="2:2" ht="45">
      <c r="B299" s="91" t="s">
        <v>406</v>
      </c>
    </row>
    <row r="300" spans="2:2" ht="150">
      <c r="B300" s="85" t="s">
        <v>407</v>
      </c>
    </row>
    <row r="301" spans="2:2">
      <c r="B301" s="91" t="s">
        <v>397</v>
      </c>
    </row>
    <row r="302" spans="2:2" ht="34.5">
      <c r="B302" s="81" t="s">
        <v>408</v>
      </c>
    </row>
    <row r="303" spans="2:2" ht="15.75">
      <c r="B303" s="57" t="s">
        <v>409</v>
      </c>
    </row>
    <row r="304" spans="2:2" ht="15.75">
      <c r="B304" s="57"/>
    </row>
    <row r="305" spans="2:2" ht="15.75">
      <c r="B305" s="76" t="s">
        <v>410</v>
      </c>
    </row>
    <row r="306" spans="2:2" ht="15.75">
      <c r="B306" s="76"/>
    </row>
    <row r="307" spans="2:2" ht="15.75">
      <c r="B307" s="76" t="s">
        <v>411</v>
      </c>
    </row>
    <row r="308" spans="2:2" ht="15.75">
      <c r="B308" s="76"/>
    </row>
    <row r="309" spans="2:2" ht="15.75">
      <c r="B309" s="57" t="s">
        <v>412</v>
      </c>
    </row>
    <row r="310" spans="2:2" ht="15.75">
      <c r="B310" s="57"/>
    </row>
    <row r="311" spans="2:2" ht="15.75">
      <c r="B311" s="57"/>
    </row>
    <row r="312" spans="2:2" ht="105">
      <c r="B312" s="53" t="s">
        <v>413</v>
      </c>
    </row>
    <row r="313" spans="2:2" ht="30.75">
      <c r="B313" s="96" t="s">
        <v>414</v>
      </c>
    </row>
    <row r="314" spans="2:2">
      <c r="B314" s="51"/>
    </row>
    <row r="315" spans="2:2" ht="15.75">
      <c r="B315" s="97"/>
    </row>
    <row r="316" spans="2:2" ht="15.75">
      <c r="B316" s="96" t="s">
        <v>415</v>
      </c>
    </row>
    <row r="317" spans="2:2" ht="44.25">
      <c r="B317" s="98" t="s">
        <v>416</v>
      </c>
    </row>
    <row r="318" spans="2:2" ht="45">
      <c r="B318" s="85" t="s">
        <v>417</v>
      </c>
    </row>
    <row r="319" spans="2:2" ht="43.5">
      <c r="B319" s="98" t="s">
        <v>418</v>
      </c>
    </row>
    <row r="320" spans="2:2" ht="29.25">
      <c r="B320" s="98" t="s">
        <v>419</v>
      </c>
    </row>
    <row r="321" spans="2:2" ht="29.25">
      <c r="B321" s="98" t="s">
        <v>420</v>
      </c>
    </row>
    <row r="322" spans="2:2" ht="30.75">
      <c r="B322" s="96" t="s">
        <v>421</v>
      </c>
    </row>
    <row r="323" spans="2:2">
      <c r="B323" s="98" t="s">
        <v>422</v>
      </c>
    </row>
    <row r="324" spans="2:2">
      <c r="B324" s="98">
        <v>827432793</v>
      </c>
    </row>
    <row r="325" spans="2:2">
      <c r="B325" s="98" t="s">
        <v>423</v>
      </c>
    </row>
    <row r="326" spans="2:2">
      <c r="B326" s="98">
        <v>6110244663</v>
      </c>
    </row>
    <row r="327" spans="2:2">
      <c r="B327" s="98" t="s">
        <v>424</v>
      </c>
    </row>
    <row r="328" spans="2:2" ht="29.25">
      <c r="B328" s="98" t="s">
        <v>425</v>
      </c>
    </row>
    <row r="329" spans="2:2">
      <c r="B329" s="98" t="s">
        <v>426</v>
      </c>
    </row>
    <row r="330" spans="2:2" ht="29.25">
      <c r="B330" s="98" t="s">
        <v>427</v>
      </c>
    </row>
    <row r="331" spans="2:2" ht="54.75" thickBot="1">
      <c r="B331" s="99" t="s">
        <v>428</v>
      </c>
    </row>
    <row r="332" spans="2:2">
      <c r="B332" s="100"/>
    </row>
    <row r="333" spans="2:2">
      <c r="B333" s="88"/>
    </row>
    <row r="334" spans="2:2">
      <c r="B334" s="88"/>
    </row>
    <row r="335" spans="2:2">
      <c r="B335" s="88"/>
    </row>
    <row r="336" spans="2:2">
      <c r="B336" s="88"/>
    </row>
    <row r="337" spans="2:2" ht="75">
      <c r="B337" s="85" t="s">
        <v>389</v>
      </c>
    </row>
    <row r="338" spans="2:2">
      <c r="B338" s="100"/>
    </row>
    <row r="339" spans="2:2">
      <c r="B339" s="88"/>
    </row>
    <row r="340" spans="2:2">
      <c r="B340" s="88"/>
    </row>
    <row r="341" spans="2:2">
      <c r="B341" s="88"/>
    </row>
    <row r="342" spans="2:2">
      <c r="B342" s="88"/>
    </row>
    <row r="343" spans="2:2" ht="60">
      <c r="B343" s="85" t="s">
        <v>385</v>
      </c>
    </row>
    <row r="344" spans="2:2">
      <c r="B344" s="100"/>
    </row>
    <row r="345" spans="2:2">
      <c r="B345" s="88"/>
    </row>
    <row r="346" spans="2:2">
      <c r="B346" s="88"/>
    </row>
    <row r="347" spans="2:2">
      <c r="B347" s="88"/>
    </row>
    <row r="348" spans="2:2">
      <c r="B348" s="88"/>
    </row>
    <row r="349" spans="2:2" ht="60">
      <c r="B349" s="85" t="s">
        <v>209</v>
      </c>
    </row>
    <row r="350" spans="2:2">
      <c r="B350" s="100"/>
    </row>
    <row r="351" spans="2:2">
      <c r="B351" s="88"/>
    </row>
    <row r="352" spans="2:2">
      <c r="B352" s="88"/>
    </row>
    <row r="353" spans="2:2">
      <c r="B353" s="88"/>
    </row>
    <row r="354" spans="2:2">
      <c r="B354" s="88"/>
    </row>
    <row r="355" spans="2:2" ht="60">
      <c r="B355" s="85" t="s">
        <v>390</v>
      </c>
    </row>
    <row r="356" spans="2:2" ht="36.75" thickBot="1">
      <c r="B356" s="99" t="s">
        <v>429</v>
      </c>
    </row>
    <row r="357" spans="2:2">
      <c r="B357" s="100"/>
    </row>
    <row r="358" spans="2:2">
      <c r="B358" s="88"/>
    </row>
    <row r="359" spans="2:2">
      <c r="B359" s="88"/>
    </row>
    <row r="360" spans="2:2">
      <c r="B360" s="88"/>
    </row>
    <row r="361" spans="2:2">
      <c r="B361" s="88"/>
    </row>
    <row r="362" spans="2:2" ht="75">
      <c r="B362" s="85" t="s">
        <v>430</v>
      </c>
    </row>
    <row r="363" spans="2:2">
      <c r="B363" s="100"/>
    </row>
    <row r="364" spans="2:2">
      <c r="B364" s="88"/>
    </row>
    <row r="365" spans="2:2">
      <c r="B365" s="88"/>
    </row>
    <row r="366" spans="2:2">
      <c r="B366" s="88"/>
    </row>
    <row r="367" spans="2:2">
      <c r="B367" s="88"/>
    </row>
    <row r="368" spans="2:2" ht="75">
      <c r="B368" s="85" t="s">
        <v>431</v>
      </c>
    </row>
    <row r="369" spans="2:2">
      <c r="B369" s="100"/>
    </row>
    <row r="370" spans="2:2">
      <c r="B370" s="88"/>
    </row>
    <row r="371" spans="2:2">
      <c r="B371" s="88"/>
    </row>
    <row r="372" spans="2:2">
      <c r="B372" s="88"/>
    </row>
    <row r="373" spans="2:2">
      <c r="B373" s="88"/>
    </row>
    <row r="374" spans="2:2" ht="75">
      <c r="B374" s="85" t="s">
        <v>432</v>
      </c>
    </row>
    <row r="375" spans="2:2">
      <c r="B375" s="100"/>
    </row>
    <row r="376" spans="2:2">
      <c r="B376" s="88"/>
    </row>
    <row r="377" spans="2:2">
      <c r="B377" s="88"/>
    </row>
    <row r="378" spans="2:2">
      <c r="B378" s="88"/>
    </row>
    <row r="379" spans="2:2">
      <c r="B379" s="88"/>
    </row>
    <row r="380" spans="2:2" ht="60">
      <c r="B380" s="85" t="s">
        <v>433</v>
      </c>
    </row>
    <row r="381" spans="2:2">
      <c r="B381" s="100"/>
    </row>
    <row r="382" spans="2:2">
      <c r="B382" s="88"/>
    </row>
    <row r="383" spans="2:2">
      <c r="B383" s="88"/>
    </row>
    <row r="384" spans="2:2">
      <c r="B384" s="88"/>
    </row>
    <row r="385" spans="2:2">
      <c r="B385" s="88"/>
    </row>
    <row r="386" spans="2:2" ht="45">
      <c r="B386" s="85" t="s">
        <v>434</v>
      </c>
    </row>
    <row r="387" spans="2:2" ht="54.75" thickBot="1">
      <c r="B387" s="99" t="s">
        <v>435</v>
      </c>
    </row>
    <row r="388" spans="2:2">
      <c r="B388" s="100"/>
    </row>
    <row r="389" spans="2:2">
      <c r="B389" s="88"/>
    </row>
    <row r="390" spans="2:2">
      <c r="B390" s="88"/>
    </row>
    <row r="391" spans="2:2">
      <c r="B391" s="88"/>
    </row>
    <row r="392" spans="2:2">
      <c r="B392" s="88"/>
    </row>
    <row r="393" spans="2:2" ht="45">
      <c r="B393" s="85" t="s">
        <v>436</v>
      </c>
    </row>
    <row r="394" spans="2:2">
      <c r="B394" s="100"/>
    </row>
    <row r="395" spans="2:2">
      <c r="B395" s="88"/>
    </row>
    <row r="396" spans="2:2">
      <c r="B396" s="88"/>
    </row>
    <row r="397" spans="2:2">
      <c r="B397" s="88"/>
    </row>
    <row r="398" spans="2:2">
      <c r="B398" s="88"/>
    </row>
    <row r="399" spans="2:2" ht="60">
      <c r="B399" s="85" t="s">
        <v>437</v>
      </c>
    </row>
    <row r="400" spans="2:2">
      <c r="B400" s="100"/>
    </row>
    <row r="401" spans="2:2">
      <c r="B401" s="88"/>
    </row>
    <row r="402" spans="2:2">
      <c r="B402" s="88"/>
    </row>
    <row r="403" spans="2:2">
      <c r="B403" s="88"/>
    </row>
    <row r="404" spans="2:2">
      <c r="B404" s="88"/>
    </row>
    <row r="405" spans="2:2" ht="90">
      <c r="B405" s="85" t="s">
        <v>438</v>
      </c>
    </row>
    <row r="406" spans="2:2">
      <c r="B406" s="100"/>
    </row>
    <row r="407" spans="2:2">
      <c r="B407" s="88"/>
    </row>
    <row r="408" spans="2:2">
      <c r="B408" s="88"/>
    </row>
    <row r="409" spans="2:2">
      <c r="B409" s="88"/>
    </row>
    <row r="410" spans="2:2">
      <c r="B410" s="88"/>
    </row>
    <row r="411" spans="2:2" ht="60">
      <c r="B411" s="85" t="s">
        <v>439</v>
      </c>
    </row>
    <row r="412" spans="2:2">
      <c r="B412" s="100"/>
    </row>
    <row r="413" spans="2:2">
      <c r="B413" s="88"/>
    </row>
    <row r="414" spans="2:2">
      <c r="B414" s="88"/>
    </row>
    <row r="415" spans="2:2">
      <c r="B415" s="88"/>
    </row>
    <row r="416" spans="2:2">
      <c r="B416" s="88"/>
    </row>
    <row r="417" spans="2:2" ht="60">
      <c r="B417" s="85" t="s">
        <v>440</v>
      </c>
    </row>
    <row r="418" spans="2:2" ht="64.5">
      <c r="B418" s="101" t="s">
        <v>441</v>
      </c>
    </row>
    <row r="419" spans="2:2">
      <c r="B419" s="102" t="s">
        <v>442</v>
      </c>
    </row>
    <row r="420" spans="2:2">
      <c r="B420" s="102" t="s">
        <v>443</v>
      </c>
    </row>
    <row r="421" spans="2:2">
      <c r="B421" s="102" t="s">
        <v>444</v>
      </c>
    </row>
  </sheetData>
  <mergeCells count="33">
    <mergeCell ref="B121:I121"/>
    <mergeCell ref="B122:I122"/>
    <mergeCell ref="B123:I123"/>
    <mergeCell ref="B124:I124"/>
    <mergeCell ref="B82:K82"/>
    <mergeCell ref="B83:K83"/>
    <mergeCell ref="B84:K84"/>
    <mergeCell ref="B85:K85"/>
    <mergeCell ref="B86:K86"/>
    <mergeCell ref="B222:I222"/>
    <mergeCell ref="B214:I214"/>
    <mergeCell ref="B171:H171"/>
    <mergeCell ref="B172:H172"/>
    <mergeCell ref="B173:H173"/>
    <mergeCell ref="B178:H178"/>
    <mergeCell ref="B179:H179"/>
    <mergeCell ref="B180:H180"/>
    <mergeCell ref="B181:H181"/>
    <mergeCell ref="B182:H182"/>
    <mergeCell ref="B165:H165"/>
    <mergeCell ref="L126:Q126"/>
    <mergeCell ref="K182:T182"/>
    <mergeCell ref="B164:H164"/>
    <mergeCell ref="B170:H170"/>
    <mergeCell ref="B137:I137"/>
    <mergeCell ref="B146:H146"/>
    <mergeCell ref="B147:H147"/>
    <mergeCell ref="B150:H150"/>
    <mergeCell ref="B151:H151"/>
    <mergeCell ref="B152:H152"/>
    <mergeCell ref="B153:H153"/>
    <mergeCell ref="B154:H154"/>
    <mergeCell ref="B136:I136"/>
  </mergeCells>
  <hyperlinks>
    <hyperlink ref="B3" r:id="rId1" display="https://tugasakhir.id/perhitungan/" xr:uid="{00000000-0004-0000-0400-000000000000}"/>
    <hyperlink ref="B6" r:id="rId2" location="comments" display="https://tugasakhir.id/contoh-perhitungan-spk-metode-ahp/ - comments" xr:uid="{00000000-0004-0000-0400-000001000000}"/>
    <hyperlink ref="B7" r:id="rId3" display="https://tugasakhir.id/author/admin/" xr:uid="{00000000-0004-0000-0400-000002000000}"/>
    <hyperlink ref="B37" r:id="rId4" display="https://tugasakhir.id/author/admin/" xr:uid="{00000000-0004-0000-0400-000003000000}"/>
    <hyperlink ref="B41" r:id="rId5" display="https://tugasakhir.id/contoh-perhitungan-spk-metode-saw/" xr:uid="{00000000-0004-0000-0400-000004000000}"/>
    <hyperlink ref="B223" r:id="rId6" display="https://tugasakhir.id/kontak/" xr:uid="{00000000-0004-0000-0400-000005000000}"/>
    <hyperlink ref="B227" r:id="rId7" display="https://tugasakhir.id/contoh-perhitungan-spk-metode-topsis/" xr:uid="{00000000-0004-0000-0400-000006000000}"/>
    <hyperlink ref="B237" r:id="rId8" display="https://tugasakhir.id/source-code-si-koperasi-simpan-pinjam-menggunakan-c/" xr:uid="{00000000-0004-0000-0400-000007000000}"/>
    <hyperlink ref="B253" r:id="rId9" tooltip="Contoh Perhitungan Algoritma Genetika Penjadwalan" display="https://tugasakhir.id/algoritma-genetika-penjadwalan/" xr:uid="{00000000-0004-0000-0400-000008000000}"/>
    <hyperlink ref="B259" r:id="rId10" display="https://tugasakhir.id/perhitungan/" xr:uid="{00000000-0004-0000-0400-000009000000}"/>
    <hyperlink ref="B260" r:id="rId11" tooltip="Contoh Perhitungan SPK Metode SAW" display="https://tugasakhir.id/contoh-perhitungan-spk-metode-saw/" xr:uid="{00000000-0004-0000-0400-00000A000000}"/>
    <hyperlink ref="B268" r:id="rId12" display="https://tugasakhir.id/author/admin/" xr:uid="{00000000-0004-0000-0400-00000B000000}"/>
    <hyperlink ref="B273" r:id="rId13" location="comment-261" display="https://tugasakhir.id/contoh-perhitungan-spk-metode-ahp/ - comment-261" xr:uid="{00000000-0004-0000-0400-00000C000000}"/>
    <hyperlink ref="B275" r:id="rId14" location="comment-261" display="https://tugasakhir.id/contoh-perhitungan-spk-metode-ahp/ - comment-261" xr:uid="{00000000-0004-0000-0400-00000D000000}"/>
    <hyperlink ref="B280" r:id="rId15" location="comment-262" display="https://tugasakhir.id/contoh-perhitungan-spk-metode-ahp/ - comment-262" xr:uid="{00000000-0004-0000-0400-00000E000000}"/>
    <hyperlink ref="B281" r:id="rId16" display="https://tugasakhir.id/source-code-tugas-akhir/" xr:uid="{00000000-0004-0000-0400-00000F000000}"/>
    <hyperlink ref="B282" r:id="rId17" location="comment-262" display="https://tugasakhir.id/contoh-perhitungan-spk-metode-ahp/ - comment-262" xr:uid="{00000000-0004-0000-0400-000010000000}"/>
    <hyperlink ref="B283" r:id="rId18" display="http://-/" xr:uid="{00000000-0004-0000-0400-000011000000}"/>
    <hyperlink ref="B286" r:id="rId19" location="comment-385" display="https://tugasakhir.id/contoh-perhitungan-spk-metode-ahp/ - comment-385" xr:uid="{00000000-0004-0000-0400-000012000000}"/>
    <hyperlink ref="B288" r:id="rId20" location="comment-385" display="https://tugasakhir.id/contoh-perhitungan-spk-metode-ahp/ - comment-385" xr:uid="{00000000-0004-0000-0400-000013000000}"/>
    <hyperlink ref="B293" r:id="rId21" location="comment-389" display="https://tugasakhir.id/contoh-perhitungan-spk-metode-ahp/ - comment-389" xr:uid="{00000000-0004-0000-0400-000014000000}"/>
    <hyperlink ref="B295" r:id="rId22" location="comment-389" display="https://tugasakhir.id/contoh-perhitungan-spk-metode-ahp/ - comment-389" xr:uid="{00000000-0004-0000-0400-000015000000}"/>
    <hyperlink ref="B299" r:id="rId23" location="comment-448" display="https://tugasakhir.id/contoh-perhitungan-spk-metode-ahp/ - comment-448" xr:uid="{00000000-0004-0000-0400-000016000000}"/>
    <hyperlink ref="B300" r:id="rId24" display="mailto:zhurazura97@gmail.com" xr:uid="{00000000-0004-0000-0400-000017000000}"/>
    <hyperlink ref="B301" r:id="rId25" location="comment-448" display="https://tugasakhir.id/contoh-perhitungan-spk-metode-ahp/ - comment-448" xr:uid="{00000000-0004-0000-0400-000018000000}"/>
    <hyperlink ref="B312" r:id="rId26" display="https://akismet.com/privacy/" xr:uid="{00000000-0004-0000-0400-000019000000}"/>
    <hyperlink ref="B318" r:id="rId27" display="mailto:herdikayan@gmail.com" xr:uid="{00000000-0004-0000-0400-00001A000000}"/>
    <hyperlink ref="B337" r:id="rId28" tooltip="Contoh Perhitungan Algoritma Genetika Penjadwalan" display="https://tugasakhir.id/algoritma-genetika-penjadwalan/" xr:uid="{00000000-0004-0000-0400-00001B000000}"/>
    <hyperlink ref="B343" r:id="rId29" tooltip="Contoh Perhitungan SPK Metode TOPSIS" display="https://tugasakhir.id/contoh-perhitungan-spk-metode-topsis/" xr:uid="{00000000-0004-0000-0400-00001C000000}"/>
    <hyperlink ref="B349" r:id="rId30" tooltip="Contoh Perhitungan SPK Metode AHP" display="https://tugasakhir.id/contoh-perhitungan-spk-metode-ahp/" xr:uid="{00000000-0004-0000-0400-00001D000000}"/>
    <hyperlink ref="B355" r:id="rId31" tooltip="Contoh Perhitungan SPK Metode SAW" display="https://tugasakhir.id/contoh-perhitungan-spk-metode-saw/" xr:uid="{00000000-0004-0000-0400-00001E000000}"/>
    <hyperlink ref="B362" r:id="rId32" tooltip="Source Code Sistem Pakar Metode Certainty Factor dan Forward Chaining PHP" display="https://tugasakhir.id/source-code-sistem-pakar-metode-certainty-factor-dan-forward-chaining-php/" xr:uid="{00000000-0004-0000-0400-00001F000000}"/>
    <hyperlink ref="B368" r:id="rId33" tooltip="Source Code Sistem Pakar Metode Certainty Factor C-Sharp (C#)" display="https://tugasakhir.id/source-code-sistem-pakar-metode-certainty-factor-c-sharp/" xr:uid="{00000000-0004-0000-0400-000020000000}"/>
    <hyperlink ref="B374" r:id="rId34" tooltip="Source Code Sistem Pakar Dempster Shafer CodeIgniter" display="https://tugasakhir.id/source-code-sistem-pakar-dempster-shafer-codeigniter/" xr:uid="{00000000-0004-0000-0400-000021000000}"/>
    <hyperlink ref="B380" r:id="rId35" tooltip="Source Code SPK Metode TOPSIS C Sharp (C#)" display="https://tugasakhir.id/source-code-spk-metode-topsis-c-sharp-c/" xr:uid="{00000000-0004-0000-0400-000022000000}"/>
    <hyperlink ref="B386" r:id="rId36" tooltip="Source Code Sistem Pakar CBR PHP" display="https://tugasakhir.id/sistem-pakar-cbr-php/" xr:uid="{00000000-0004-0000-0400-000023000000}"/>
    <hyperlink ref="B393" r:id="rId37" tooltip="Source Code SPK Metode MOORA PHP" display="https://tugasakhir.id/source-code-spk-metode-moora-php/" xr:uid="{00000000-0004-0000-0400-000024000000}"/>
    <hyperlink ref="B399" r:id="rId38" tooltip="Source Code SPK Metode MFEP CodeIgniter" display="https://tugasakhir.id/source-code-spk-metode-mfep-codeigniter/" xr:uid="{00000000-0004-0000-0400-000025000000}"/>
    <hyperlink ref="B405" r:id="rId39" tooltip="Source Code SPK Metode AHP dan Weighted Product (AHP-WP) dengan PHP" display="https://tugasakhir.id/spk-metode-ahp-weighted-product-php/" xr:uid="{00000000-0004-0000-0400-000026000000}"/>
    <hyperlink ref="B411" r:id="rId40" tooltip="Source Code SPK Metode Fuzzy AHP TOPSIS PHP" display="https://tugasakhir.id/fuzzy-ahp-topsis-php/" xr:uid="{00000000-0004-0000-0400-000027000000}"/>
    <hyperlink ref="B417" r:id="rId41" tooltip="Source Code SPK Fuzzy Tsukamoto CodeIgniter" display="https://tugasakhir.id/fuzzy-tsukamoto-codeigniter/" xr:uid="{00000000-0004-0000-0400-000028000000}"/>
    <hyperlink ref="B419" r:id="rId42" display="https://tugasakhir.id/privacy-policy/" xr:uid="{00000000-0004-0000-0400-000029000000}"/>
    <hyperlink ref="B420" r:id="rId43" display="https://tugasakhir.id/about/" xr:uid="{00000000-0004-0000-0400-00002A000000}"/>
    <hyperlink ref="B421" r:id="rId44" display="https://tugasakhir.id/kontak/" xr:uid="{00000000-0004-0000-0400-00002B000000}"/>
  </hyperlinks>
  <pageMargins left="0.7" right="0.7" top="0.75" bottom="0.75" header="0.3" footer="0.3"/>
  <pageSetup paperSize="9" orientation="portrait" horizontalDpi="4294967293" verticalDpi="0" r:id="rId45"/>
  <drawing r:id="rId46"/>
  <legacyDrawing r:id="rId47"/>
  <controls>
    <mc:AlternateContent xmlns:mc="http://schemas.openxmlformats.org/markup-compatibility/2006">
      <mc:Choice Requires="x14">
        <control shapeId="1040" r:id="rId48" name="Control 16">
          <controlPr defaultSize="0" r:id="rId49">
            <anchor moveWithCells="1">
              <from>
                <xdr:col>1</xdr:col>
                <xdr:colOff>0</xdr:colOff>
                <xdr:row>299</xdr:row>
                <xdr:rowOff>409575</xdr:rowOff>
              </from>
              <to>
                <xdr:col>3</xdr:col>
                <xdr:colOff>609600</xdr:colOff>
                <xdr:row>299</xdr:row>
                <xdr:rowOff>1495425</xdr:rowOff>
              </to>
            </anchor>
          </controlPr>
        </control>
      </mc:Choice>
      <mc:Fallback>
        <control shapeId="1040" r:id="rId48" name="Control 16"/>
      </mc:Fallback>
    </mc:AlternateContent>
    <mc:AlternateContent xmlns:mc="http://schemas.openxmlformats.org/markup-compatibility/2006">
      <mc:Choice Requires="x14">
        <control shapeId="1041" r:id="rId50" name="Control 17">
          <controlPr defaultSize="0" r:id="rId51">
            <anchor moveWithCells="1">
              <from>
                <xdr:col>1</xdr:col>
                <xdr:colOff>0</xdr:colOff>
                <xdr:row>302</xdr:row>
                <xdr:rowOff>19050</xdr:rowOff>
              </from>
              <to>
                <xdr:col>2</xdr:col>
                <xdr:colOff>695325</xdr:colOff>
                <xdr:row>303</xdr:row>
                <xdr:rowOff>0</xdr:rowOff>
              </to>
            </anchor>
          </controlPr>
        </control>
      </mc:Choice>
      <mc:Fallback>
        <control shapeId="1041" r:id="rId50" name="Control 17"/>
      </mc:Fallback>
    </mc:AlternateContent>
    <mc:AlternateContent xmlns:mc="http://schemas.openxmlformats.org/markup-compatibility/2006">
      <mc:Choice Requires="x14">
        <control shapeId="1042" r:id="rId52" name="Control 18">
          <controlPr defaultSize="0" r:id="rId51">
            <anchor moveWithCells="1">
              <from>
                <xdr:col>1</xdr:col>
                <xdr:colOff>0</xdr:colOff>
                <xdr:row>304</xdr:row>
                <xdr:rowOff>19050</xdr:rowOff>
              </from>
              <to>
                <xdr:col>2</xdr:col>
                <xdr:colOff>695325</xdr:colOff>
                <xdr:row>305</xdr:row>
                <xdr:rowOff>0</xdr:rowOff>
              </to>
            </anchor>
          </controlPr>
        </control>
      </mc:Choice>
      <mc:Fallback>
        <control shapeId="1042" r:id="rId52" name="Control 18"/>
      </mc:Fallback>
    </mc:AlternateContent>
    <mc:AlternateContent xmlns:mc="http://schemas.openxmlformats.org/markup-compatibility/2006">
      <mc:Choice Requires="x14">
        <control shapeId="1043" r:id="rId53" name="Control 19">
          <controlPr defaultSize="0" r:id="rId51">
            <anchor moveWithCells="1">
              <from>
                <xdr:col>1</xdr:col>
                <xdr:colOff>0</xdr:colOff>
                <xdr:row>306</xdr:row>
                <xdr:rowOff>9525</xdr:rowOff>
              </from>
              <to>
                <xdr:col>2</xdr:col>
                <xdr:colOff>695325</xdr:colOff>
                <xdr:row>306</xdr:row>
                <xdr:rowOff>190500</xdr:rowOff>
              </to>
            </anchor>
          </controlPr>
        </control>
      </mc:Choice>
      <mc:Fallback>
        <control shapeId="1043" r:id="rId53" name="Control 19"/>
      </mc:Fallback>
    </mc:AlternateContent>
    <mc:AlternateContent xmlns:mc="http://schemas.openxmlformats.org/markup-compatibility/2006">
      <mc:Choice Requires="x14">
        <control shapeId="1044" r:id="rId54" name="Control 20">
          <controlPr defaultSize="0" r:id="rId55">
            <anchor moveWithCells="1">
              <from>
                <xdr:col>1</xdr:col>
                <xdr:colOff>0</xdr:colOff>
                <xdr:row>307</xdr:row>
                <xdr:rowOff>9525</xdr:rowOff>
              </from>
              <to>
                <xdr:col>1</xdr:col>
                <xdr:colOff>923925</xdr:colOff>
                <xdr:row>308</xdr:row>
                <xdr:rowOff>66675</xdr:rowOff>
              </to>
            </anchor>
          </controlPr>
        </control>
      </mc:Choice>
      <mc:Fallback>
        <control shapeId="1044" r:id="rId54" name="Control 20"/>
      </mc:Fallback>
    </mc:AlternateContent>
    <mc:AlternateContent xmlns:mc="http://schemas.openxmlformats.org/markup-compatibility/2006">
      <mc:Choice Requires="x14">
        <control shapeId="1045" r:id="rId56" name="Control 21">
          <controlPr defaultSize="0" r:id="rId57">
            <anchor moveWithCells="1">
              <from>
                <xdr:col>1</xdr:col>
                <xdr:colOff>0</xdr:colOff>
                <xdr:row>311</xdr:row>
                <xdr:rowOff>1123950</xdr:rowOff>
              </from>
              <to>
                <xdr:col>2</xdr:col>
                <xdr:colOff>323850</xdr:colOff>
                <xdr:row>311</xdr:row>
                <xdr:rowOff>1304925</xdr:rowOff>
              </to>
            </anchor>
          </controlPr>
        </control>
      </mc:Choice>
      <mc:Fallback>
        <control shapeId="1045" r:id="rId56" name="Control 2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65E99-19DE-4B6D-ABFE-CAB01692EC23}">
  <dimension ref="A1:N246"/>
  <sheetViews>
    <sheetView tabSelected="1" topLeftCell="B4" zoomScale="80" zoomScaleNormal="80" workbookViewId="0">
      <selection activeCell="C25" sqref="C25"/>
    </sheetView>
  </sheetViews>
  <sheetFormatPr defaultRowHeight="15"/>
  <cols>
    <col min="1" max="1" width="22.42578125" style="4" customWidth="1"/>
    <col min="2" max="2" width="26.42578125" style="4" customWidth="1"/>
    <col min="3" max="3" width="38.7109375" style="4" customWidth="1"/>
    <col min="4" max="5" width="23.140625" style="4" customWidth="1"/>
    <col min="6" max="6" width="24.85546875" style="4" customWidth="1"/>
    <col min="7" max="7" width="28.140625" style="4" customWidth="1"/>
    <col min="8" max="8" width="24.7109375" style="4" customWidth="1"/>
    <col min="9" max="9" width="9.140625" style="4"/>
    <col min="10" max="10" width="13.7109375" style="4" customWidth="1"/>
    <col min="11" max="16384" width="9.140625" style="4"/>
  </cols>
  <sheetData>
    <row r="1" spans="2:14" ht="23.25">
      <c r="B1" s="123" t="s">
        <v>0</v>
      </c>
      <c r="C1" s="123"/>
      <c r="D1" s="123"/>
      <c r="E1" s="123"/>
      <c r="F1" s="123"/>
      <c r="G1" s="123"/>
      <c r="H1" s="123"/>
      <c r="I1" s="123"/>
      <c r="J1" s="123"/>
      <c r="K1" s="123"/>
      <c r="L1" s="123"/>
      <c r="M1" s="123"/>
      <c r="N1" s="7"/>
    </row>
    <row r="2" spans="2:14" ht="23.25">
      <c r="B2" s="123" t="s">
        <v>464</v>
      </c>
      <c r="C2" s="123"/>
      <c r="D2" s="123"/>
      <c r="E2" s="123"/>
      <c r="F2" s="123"/>
      <c r="G2" s="123"/>
      <c r="H2" s="123"/>
      <c r="I2" s="123"/>
      <c r="J2" s="123"/>
      <c r="K2" s="123"/>
      <c r="L2" s="123"/>
      <c r="M2" s="123"/>
      <c r="N2" s="7"/>
    </row>
    <row r="3" spans="2:14">
      <c r="E3" s="8"/>
    </row>
    <row r="4" spans="2:14" s="5" customFormat="1" ht="18.75">
      <c r="B4" s="5" t="s">
        <v>2</v>
      </c>
    </row>
    <row r="5" spans="2:14" ht="15.75" thickBot="1"/>
    <row r="6" spans="2:14" ht="16.5" thickBot="1">
      <c r="B6" s="124" t="s">
        <v>3</v>
      </c>
      <c r="C6" s="124"/>
      <c r="D6" s="22" t="s">
        <v>42</v>
      </c>
    </row>
    <row r="7" spans="2:14" ht="16.5" thickBot="1">
      <c r="B7" s="20" t="s">
        <v>4</v>
      </c>
      <c r="C7" s="21" t="s">
        <v>5</v>
      </c>
      <c r="D7" s="22">
        <v>5</v>
      </c>
    </row>
    <row r="8" spans="2:14" ht="17.25" customHeight="1" thickBot="1">
      <c r="B8" s="20" t="s">
        <v>6</v>
      </c>
      <c r="C8" s="21" t="s">
        <v>7</v>
      </c>
      <c r="D8" s="22">
        <v>1</v>
      </c>
    </row>
    <row r="9" spans="2:14" ht="17.25" customHeight="1" thickBot="1">
      <c r="B9" s="20" t="s">
        <v>8</v>
      </c>
      <c r="C9" s="21" t="s">
        <v>9</v>
      </c>
      <c r="D9" s="22">
        <v>9</v>
      </c>
    </row>
    <row r="10" spans="2:14" ht="17.25" customHeight="1" thickBot="1">
      <c r="B10" s="20" t="s">
        <v>10</v>
      </c>
      <c r="C10" s="21" t="s">
        <v>11</v>
      </c>
      <c r="D10" s="22">
        <v>3</v>
      </c>
    </row>
    <row r="11" spans="2:14" ht="20.25" customHeight="1" thickBot="1">
      <c r="B11" s="20" t="s">
        <v>12</v>
      </c>
      <c r="C11" s="21" t="s">
        <v>13</v>
      </c>
      <c r="D11" s="22">
        <v>1</v>
      </c>
    </row>
    <row r="12" spans="2:14" ht="16.5" customHeight="1" thickBot="1">
      <c r="B12" s="20" t="s">
        <v>14</v>
      </c>
      <c r="C12" s="21" t="s">
        <v>15</v>
      </c>
      <c r="D12" s="22">
        <v>7</v>
      </c>
    </row>
    <row r="14" spans="2:14" ht="18" customHeight="1">
      <c r="B14" s="125" t="s">
        <v>16</v>
      </c>
      <c r="C14" s="125"/>
    </row>
    <row r="15" spans="2:14" ht="15.75" thickBot="1"/>
    <row r="16" spans="2:14" ht="16.5" thickBot="1">
      <c r="B16" s="120" t="s">
        <v>17</v>
      </c>
      <c r="C16" s="121"/>
      <c r="D16" s="22" t="s">
        <v>42</v>
      </c>
    </row>
    <row r="17" spans="2:4" ht="16.5" thickBot="1">
      <c r="B17" s="2" t="s">
        <v>18</v>
      </c>
      <c r="C17" s="3" t="s">
        <v>19</v>
      </c>
      <c r="D17" s="22">
        <v>3</v>
      </c>
    </row>
    <row r="18" spans="2:4" ht="16.5" thickBot="1">
      <c r="B18" s="2" t="s">
        <v>20</v>
      </c>
      <c r="C18" s="3" t="s">
        <v>21</v>
      </c>
      <c r="D18" s="22">
        <v>4</v>
      </c>
    </row>
    <row r="19" spans="2:4" ht="16.5" thickBot="1">
      <c r="B19" s="2" t="s">
        <v>22</v>
      </c>
      <c r="C19" s="3" t="s">
        <v>23</v>
      </c>
      <c r="D19" s="22">
        <v>3</v>
      </c>
    </row>
    <row r="20" spans="2:4" ht="16.5" thickBot="1">
      <c r="B20" s="2" t="s">
        <v>24</v>
      </c>
      <c r="C20" s="3" t="s">
        <v>25</v>
      </c>
      <c r="D20" s="22">
        <v>5</v>
      </c>
    </row>
    <row r="21" spans="2:4" ht="16.5" thickBot="1">
      <c r="B21" s="2" t="s">
        <v>26</v>
      </c>
      <c r="C21" s="3" t="s">
        <v>27</v>
      </c>
      <c r="D21" s="22">
        <v>2</v>
      </c>
    </row>
    <row r="23" spans="2:4" ht="18.75" customHeight="1">
      <c r="B23" s="122" t="s">
        <v>28</v>
      </c>
      <c r="C23" s="122"/>
    </row>
    <row r="24" spans="2:4" ht="15.75" thickBot="1"/>
    <row r="25" spans="2:4" s="9" customFormat="1" ht="16.5" thickBot="1">
      <c r="B25" s="12" t="s">
        <v>29</v>
      </c>
      <c r="C25" s="12" t="s">
        <v>30</v>
      </c>
    </row>
    <row r="26" spans="2:4" ht="15.75" thickBot="1">
      <c r="B26" s="11">
        <v>1</v>
      </c>
      <c r="C26" s="13" t="s">
        <v>31</v>
      </c>
    </row>
    <row r="27" spans="2:4" ht="15.75" thickBot="1">
      <c r="B27" s="11">
        <v>2</v>
      </c>
      <c r="C27" s="13" t="s">
        <v>32</v>
      </c>
    </row>
    <row r="28" spans="2:4" ht="15.75" thickBot="1">
      <c r="B28" s="11">
        <v>3</v>
      </c>
      <c r="C28" s="13" t="s">
        <v>33</v>
      </c>
    </row>
    <row r="29" spans="2:4" ht="15.75" thickBot="1">
      <c r="B29" s="11">
        <v>4</v>
      </c>
      <c r="C29" s="13" t="s">
        <v>34</v>
      </c>
    </row>
    <row r="30" spans="2:4" ht="15.75" thickBot="1">
      <c r="B30" s="11">
        <v>5</v>
      </c>
      <c r="C30" s="13" t="s">
        <v>35</v>
      </c>
    </row>
    <row r="31" spans="2:4" ht="15.75" thickBot="1">
      <c r="B31" s="11">
        <v>6</v>
      </c>
      <c r="C31" s="13" t="s">
        <v>36</v>
      </c>
    </row>
    <row r="32" spans="2:4" ht="15.75" thickBot="1">
      <c r="B32" s="11">
        <v>7</v>
      </c>
      <c r="C32" s="13" t="s">
        <v>37</v>
      </c>
    </row>
    <row r="33" spans="1:8" ht="15.75" thickBot="1">
      <c r="B33" s="11">
        <v>8</v>
      </c>
      <c r="C33" s="13" t="s">
        <v>38</v>
      </c>
    </row>
    <row r="34" spans="1:8" ht="15.75" thickBot="1">
      <c r="B34" s="11">
        <v>9</v>
      </c>
      <c r="C34" s="13" t="s">
        <v>39</v>
      </c>
    </row>
    <row r="36" spans="1:8">
      <c r="B36" s="4" t="s">
        <v>40</v>
      </c>
    </row>
    <row r="37" spans="1:8" ht="15.75" thickBot="1">
      <c r="C37" s="15">
        <v>5</v>
      </c>
      <c r="D37" s="15">
        <v>1</v>
      </c>
      <c r="E37" s="15">
        <v>9</v>
      </c>
      <c r="F37" s="15">
        <v>3</v>
      </c>
      <c r="G37" s="15">
        <v>1</v>
      </c>
      <c r="H37" s="15">
        <v>7</v>
      </c>
    </row>
    <row r="38" spans="1:8" s="10" customFormat="1" ht="15.75" thickBot="1">
      <c r="B38" s="11" t="s">
        <v>41</v>
      </c>
      <c r="C38" s="11" t="s">
        <v>4</v>
      </c>
      <c r="D38" s="11" t="s">
        <v>6</v>
      </c>
      <c r="E38" s="11" t="s">
        <v>8</v>
      </c>
      <c r="F38" s="11" t="s">
        <v>10</v>
      </c>
      <c r="G38" s="11" t="s">
        <v>12</v>
      </c>
      <c r="H38" s="11" t="s">
        <v>14</v>
      </c>
    </row>
    <row r="39" spans="1:8" ht="16.5" thickBot="1">
      <c r="A39" s="6" t="s">
        <v>5</v>
      </c>
      <c r="B39" s="14" t="s">
        <v>4</v>
      </c>
      <c r="C39" s="11">
        <f>5/5</f>
        <v>1</v>
      </c>
      <c r="D39" s="11">
        <f>5/1</f>
        <v>5</v>
      </c>
      <c r="E39" s="19">
        <f>5/9</f>
        <v>0.55555555555555558</v>
      </c>
      <c r="F39" s="19">
        <f>5/3</f>
        <v>1.6666666666666667</v>
      </c>
      <c r="G39" s="11">
        <f>5/1</f>
        <v>5</v>
      </c>
      <c r="H39" s="19">
        <f>5/7</f>
        <v>0.7142857142857143</v>
      </c>
    </row>
    <row r="40" spans="1:8" ht="16.5" thickBot="1">
      <c r="A40" s="6" t="s">
        <v>7</v>
      </c>
      <c r="B40" s="14" t="s">
        <v>6</v>
      </c>
      <c r="C40" s="19">
        <f>1/5</f>
        <v>0.2</v>
      </c>
      <c r="D40" s="11">
        <f>1/1</f>
        <v>1</v>
      </c>
      <c r="E40" s="19">
        <f>1/9</f>
        <v>0.1111111111111111</v>
      </c>
      <c r="F40" s="19">
        <f>1/3</f>
        <v>0.33333333333333331</v>
      </c>
      <c r="G40" s="11">
        <v>1</v>
      </c>
      <c r="H40" s="19">
        <f>1/7</f>
        <v>0.14285714285714285</v>
      </c>
    </row>
    <row r="41" spans="1:8" ht="16.5" thickBot="1">
      <c r="A41" s="6" t="s">
        <v>9</v>
      </c>
      <c r="B41" s="14" t="s">
        <v>8</v>
      </c>
      <c r="C41" s="19">
        <f>9/5</f>
        <v>1.8</v>
      </c>
      <c r="D41" s="11">
        <f>9/1</f>
        <v>9</v>
      </c>
      <c r="E41" s="17">
        <f>9/9</f>
        <v>1</v>
      </c>
      <c r="F41" s="17">
        <f>9/3</f>
        <v>3</v>
      </c>
      <c r="G41" s="11">
        <f>9/1</f>
        <v>9</v>
      </c>
      <c r="H41" s="19">
        <f>9/7</f>
        <v>1.2857142857142858</v>
      </c>
    </row>
    <row r="42" spans="1:8" ht="28.5" customHeight="1" thickBot="1">
      <c r="A42" s="6" t="s">
        <v>11</v>
      </c>
      <c r="B42" s="14" t="s">
        <v>10</v>
      </c>
      <c r="C42" s="19">
        <f>3/5</f>
        <v>0.6</v>
      </c>
      <c r="D42" s="11">
        <f>3/1</f>
        <v>3</v>
      </c>
      <c r="E42" s="19">
        <f>3/9</f>
        <v>0.33333333333333331</v>
      </c>
      <c r="F42" s="17">
        <f>3/3</f>
        <v>1</v>
      </c>
      <c r="G42" s="11">
        <f>3/1</f>
        <v>3</v>
      </c>
      <c r="H42" s="19">
        <f>3/7</f>
        <v>0.42857142857142855</v>
      </c>
    </row>
    <row r="43" spans="1:8" ht="16.5" thickBot="1">
      <c r="A43" s="6" t="s">
        <v>13</v>
      </c>
      <c r="B43" s="14" t="s">
        <v>12</v>
      </c>
      <c r="C43" s="19">
        <f>1/5</f>
        <v>0.2</v>
      </c>
      <c r="D43" s="11">
        <f>1/1</f>
        <v>1</v>
      </c>
      <c r="E43" s="19">
        <f>1/9</f>
        <v>0.1111111111111111</v>
      </c>
      <c r="F43" s="19">
        <f>1/3</f>
        <v>0.33333333333333331</v>
      </c>
      <c r="G43" s="11">
        <f>1/1</f>
        <v>1</v>
      </c>
      <c r="H43" s="19">
        <f>1/7</f>
        <v>0.14285714285714285</v>
      </c>
    </row>
    <row r="44" spans="1:8" ht="16.5" thickBot="1">
      <c r="A44" s="6" t="s">
        <v>15</v>
      </c>
      <c r="B44" s="14" t="s">
        <v>14</v>
      </c>
      <c r="C44" s="19">
        <f>7/5</f>
        <v>1.4</v>
      </c>
      <c r="D44" s="11">
        <f>7/1</f>
        <v>7</v>
      </c>
      <c r="E44" s="19">
        <f>7/9</f>
        <v>0.77777777777777779</v>
      </c>
      <c r="F44" s="19">
        <f>7/3</f>
        <v>2.3333333333333335</v>
      </c>
      <c r="G44" s="11">
        <f>7/1</f>
        <v>7</v>
      </c>
      <c r="H44" s="17">
        <f>7/7</f>
        <v>1</v>
      </c>
    </row>
    <row r="45" spans="1:8" ht="16.5" thickBot="1">
      <c r="A45" s="23"/>
      <c r="B45" s="25" t="s">
        <v>44</v>
      </c>
      <c r="C45" s="26">
        <f>SUM(C39:C44)</f>
        <v>5.2</v>
      </c>
      <c r="D45" s="26">
        <f t="shared" ref="D45:H45" si="0">SUM(D39:D44)</f>
        <v>26</v>
      </c>
      <c r="E45" s="26">
        <f t="shared" si="0"/>
        <v>2.8888888888888888</v>
      </c>
      <c r="F45" s="26">
        <f t="shared" si="0"/>
        <v>8.6666666666666661</v>
      </c>
      <c r="G45" s="26">
        <f t="shared" si="0"/>
        <v>26</v>
      </c>
      <c r="H45" s="26">
        <f t="shared" si="0"/>
        <v>3.7142857142857144</v>
      </c>
    </row>
    <row r="48" spans="1:8">
      <c r="B48" s="4" t="s">
        <v>43</v>
      </c>
    </row>
    <row r="50" spans="1:7" ht="15.75" thickBot="1">
      <c r="B50" s="4" t="s">
        <v>45</v>
      </c>
    </row>
    <row r="51" spans="1:7" ht="15.75" thickBot="1">
      <c r="B51" s="11" t="s">
        <v>41</v>
      </c>
      <c r="C51" s="11" t="s">
        <v>47</v>
      </c>
      <c r="D51" s="11" t="s">
        <v>48</v>
      </c>
      <c r="E51" s="11" t="s">
        <v>49</v>
      </c>
      <c r="F51" s="11" t="s">
        <v>50</v>
      </c>
      <c r="G51" s="11" t="s">
        <v>51</v>
      </c>
    </row>
    <row r="52" spans="1:7" ht="15" customHeight="1" thickBot="1">
      <c r="A52" s="3" t="s">
        <v>19</v>
      </c>
      <c r="B52" s="14" t="s">
        <v>47</v>
      </c>
      <c r="C52" s="16">
        <v>1</v>
      </c>
      <c r="D52" s="16">
        <f>3/4</f>
        <v>0.75</v>
      </c>
      <c r="E52" s="19">
        <v>1.5</v>
      </c>
      <c r="F52" s="19">
        <f>3/5</f>
        <v>0.6</v>
      </c>
      <c r="G52" s="19">
        <f>3/2</f>
        <v>1.5</v>
      </c>
    </row>
    <row r="53" spans="1:7" ht="16.5" thickBot="1">
      <c r="A53" s="3" t="s">
        <v>21</v>
      </c>
      <c r="B53" s="14" t="s">
        <v>48</v>
      </c>
      <c r="C53" s="19">
        <f>4/3</f>
        <v>1.3333333333333333</v>
      </c>
      <c r="D53" s="16">
        <v>1</v>
      </c>
      <c r="E53" s="16">
        <v>2</v>
      </c>
      <c r="F53" s="19">
        <f>4/5</f>
        <v>0.8</v>
      </c>
      <c r="G53" s="16">
        <f>4/2</f>
        <v>2</v>
      </c>
    </row>
    <row r="54" spans="1:7" ht="16.5" thickBot="1">
      <c r="A54" s="3" t="s">
        <v>23</v>
      </c>
      <c r="B54" s="14" t="s">
        <v>49</v>
      </c>
      <c r="C54" s="19">
        <v>0.66666666666666663</v>
      </c>
      <c r="D54" s="19">
        <f>2/4</f>
        <v>0.5</v>
      </c>
      <c r="E54" s="16">
        <v>1</v>
      </c>
      <c r="F54" s="19">
        <f>2/5</f>
        <v>0.4</v>
      </c>
      <c r="G54" s="16">
        <f>2/2</f>
        <v>1</v>
      </c>
    </row>
    <row r="55" spans="1:7" ht="16.5" thickBot="1">
      <c r="A55" s="3" t="s">
        <v>25</v>
      </c>
      <c r="B55" s="14" t="s">
        <v>50</v>
      </c>
      <c r="C55" s="19">
        <v>1.6666666666666667</v>
      </c>
      <c r="D55" s="16">
        <f>5/4</f>
        <v>1.25</v>
      </c>
      <c r="E55" s="19">
        <v>2.5</v>
      </c>
      <c r="F55" s="16">
        <v>1</v>
      </c>
      <c r="G55" s="19">
        <f>5/2</f>
        <v>2.5</v>
      </c>
    </row>
    <row r="56" spans="1:7" ht="16.5" thickBot="1">
      <c r="A56" s="3" t="s">
        <v>27</v>
      </c>
      <c r="B56" s="14" t="s">
        <v>51</v>
      </c>
      <c r="C56" s="19">
        <v>0.66666666666666663</v>
      </c>
      <c r="D56" s="19">
        <f>2/4</f>
        <v>0.5</v>
      </c>
      <c r="E56" s="16">
        <v>1</v>
      </c>
      <c r="F56" s="19">
        <f>2/5</f>
        <v>0.4</v>
      </c>
      <c r="G56" s="16">
        <v>1</v>
      </c>
    </row>
    <row r="57" spans="1:7" ht="16.5" thickBot="1">
      <c r="B57" s="25" t="s">
        <v>44</v>
      </c>
      <c r="C57" s="26">
        <f>SUM(C52:C56)</f>
        <v>5.333333333333333</v>
      </c>
      <c r="D57" s="27">
        <f t="shared" ref="D57:G57" si="1">SUM(D52:D56)</f>
        <v>4</v>
      </c>
      <c r="E57" s="27">
        <f t="shared" si="1"/>
        <v>8</v>
      </c>
      <c r="F57" s="27">
        <f t="shared" si="1"/>
        <v>3.1999999999999997</v>
      </c>
      <c r="G57" s="27">
        <f t="shared" si="1"/>
        <v>8</v>
      </c>
    </row>
    <row r="58" spans="1:7">
      <c r="C58" s="24"/>
      <c r="D58" s="24"/>
      <c r="E58" s="24"/>
      <c r="F58" s="24"/>
      <c r="G58" s="24"/>
    </row>
    <row r="60" spans="1:7" ht="15.75" thickBot="1">
      <c r="B60" s="4" t="s">
        <v>54</v>
      </c>
    </row>
    <row r="61" spans="1:7" ht="15.75" thickBot="1">
      <c r="B61" s="11" t="s">
        <v>41</v>
      </c>
      <c r="C61" s="11" t="s">
        <v>52</v>
      </c>
      <c r="D61" s="11" t="s">
        <v>48</v>
      </c>
      <c r="E61" s="11" t="s">
        <v>55</v>
      </c>
      <c r="F61" s="11" t="s">
        <v>50</v>
      </c>
      <c r="G61" s="11" t="s">
        <v>51</v>
      </c>
    </row>
    <row r="62" spans="1:7" ht="15.75" customHeight="1" thickBot="1">
      <c r="A62" s="3" t="s">
        <v>19</v>
      </c>
      <c r="B62" s="14" t="s">
        <v>52</v>
      </c>
      <c r="C62" s="29">
        <f>4/4</f>
        <v>1</v>
      </c>
      <c r="D62" s="16">
        <f>4/4</f>
        <v>1</v>
      </c>
      <c r="E62" s="19">
        <f>4/3</f>
        <v>1.3333333333333333</v>
      </c>
      <c r="F62" s="19">
        <f>4/5</f>
        <v>0.8</v>
      </c>
      <c r="G62" s="16">
        <f>4/2</f>
        <v>2</v>
      </c>
    </row>
    <row r="63" spans="1:7" ht="16.5" thickBot="1">
      <c r="A63" s="3" t="s">
        <v>21</v>
      </c>
      <c r="B63" s="14" t="s">
        <v>48</v>
      </c>
      <c r="C63" s="16">
        <f>4/4</f>
        <v>1</v>
      </c>
      <c r="D63" s="16">
        <f>4/4</f>
        <v>1</v>
      </c>
      <c r="E63" s="19">
        <f>4/3</f>
        <v>1.3333333333333333</v>
      </c>
      <c r="F63" s="19">
        <f>4/5</f>
        <v>0.8</v>
      </c>
      <c r="G63" s="16">
        <v>2</v>
      </c>
    </row>
    <row r="64" spans="1:7" ht="16.5" thickBot="1">
      <c r="A64" s="3" t="s">
        <v>23</v>
      </c>
      <c r="B64" s="14" t="s">
        <v>55</v>
      </c>
      <c r="C64" s="16">
        <f>3/4</f>
        <v>0.75</v>
      </c>
      <c r="D64" s="16">
        <f>3/4</f>
        <v>0.75</v>
      </c>
      <c r="E64" s="16">
        <f>3/3</f>
        <v>1</v>
      </c>
      <c r="F64" s="19">
        <f>3/5</f>
        <v>0.6</v>
      </c>
      <c r="G64" s="19">
        <f>3/2</f>
        <v>1.5</v>
      </c>
    </row>
    <row r="65" spans="1:7" ht="16.5" thickBot="1">
      <c r="A65" s="3" t="s">
        <v>25</v>
      </c>
      <c r="B65" s="14" t="s">
        <v>50</v>
      </c>
      <c r="C65" s="16">
        <f>5/4</f>
        <v>1.25</v>
      </c>
      <c r="D65" s="16">
        <f>5/4</f>
        <v>1.25</v>
      </c>
      <c r="E65" s="19">
        <f>5/3</f>
        <v>1.6666666666666667</v>
      </c>
      <c r="F65" s="16">
        <f>5/5</f>
        <v>1</v>
      </c>
      <c r="G65" s="19">
        <f>5/2</f>
        <v>2.5</v>
      </c>
    </row>
    <row r="66" spans="1:7" ht="16.5" thickBot="1">
      <c r="A66" s="3" t="s">
        <v>27</v>
      </c>
      <c r="B66" s="14" t="s">
        <v>51</v>
      </c>
      <c r="C66" s="16">
        <f>2/4</f>
        <v>0.5</v>
      </c>
      <c r="D66" s="16">
        <f>2/4</f>
        <v>0.5</v>
      </c>
      <c r="E66" s="19">
        <f>2/3</f>
        <v>0.66666666666666663</v>
      </c>
      <c r="F66" s="19">
        <f>2/5</f>
        <v>0.4</v>
      </c>
      <c r="G66" s="17">
        <f>2/2</f>
        <v>1</v>
      </c>
    </row>
    <row r="67" spans="1:7" ht="16.5" thickBot="1">
      <c r="B67" s="25" t="s">
        <v>44</v>
      </c>
      <c r="C67" s="27">
        <f>SUM(C62:C65)</f>
        <v>4</v>
      </c>
      <c r="D67" s="27">
        <f t="shared" ref="D67:G67" si="2">SUM(D62:D65)</f>
        <v>4</v>
      </c>
      <c r="E67" s="28">
        <f t="shared" si="2"/>
        <v>5.333333333333333</v>
      </c>
      <c r="F67" s="27">
        <f t="shared" si="2"/>
        <v>3.2</v>
      </c>
      <c r="G67" s="27">
        <f t="shared" si="2"/>
        <v>8</v>
      </c>
    </row>
    <row r="70" spans="1:7" ht="15.75" thickBot="1">
      <c r="B70" s="4" t="s">
        <v>56</v>
      </c>
    </row>
    <row r="71" spans="1:7" ht="16.5" thickBot="1">
      <c r="B71" s="11" t="s">
        <v>41</v>
      </c>
      <c r="C71" s="11" t="s">
        <v>47</v>
      </c>
      <c r="D71" s="14" t="s">
        <v>57</v>
      </c>
      <c r="E71" s="14" t="s">
        <v>49</v>
      </c>
      <c r="F71" s="14" t="s">
        <v>58</v>
      </c>
      <c r="G71" s="14" t="s">
        <v>59</v>
      </c>
    </row>
    <row r="72" spans="1:7" ht="15.75" customHeight="1" thickBot="1">
      <c r="A72" s="3" t="s">
        <v>19</v>
      </c>
      <c r="B72" s="14" t="s">
        <v>47</v>
      </c>
      <c r="C72" s="29">
        <f>3/3</f>
        <v>1</v>
      </c>
      <c r="D72" s="16">
        <f>3/5</f>
        <v>0.6</v>
      </c>
      <c r="E72" s="19">
        <f>3/2</f>
        <v>1.5</v>
      </c>
      <c r="F72" s="19">
        <f>3/4</f>
        <v>0.75</v>
      </c>
      <c r="G72" s="16">
        <f>3/3</f>
        <v>1</v>
      </c>
    </row>
    <row r="73" spans="1:7" ht="16.5" thickBot="1">
      <c r="A73" s="3" t="s">
        <v>21</v>
      </c>
      <c r="B73" s="14" t="s">
        <v>57</v>
      </c>
      <c r="C73" s="19">
        <f>5/3</f>
        <v>1.6666666666666667</v>
      </c>
      <c r="D73" s="16">
        <f>5/5</f>
        <v>1</v>
      </c>
      <c r="E73" s="19">
        <f>5/2</f>
        <v>2.5</v>
      </c>
      <c r="F73" s="19">
        <f>5/4</f>
        <v>1.25</v>
      </c>
      <c r="G73" s="19">
        <f>5/3</f>
        <v>1.6666666666666667</v>
      </c>
    </row>
    <row r="74" spans="1:7" ht="16.5" thickBot="1">
      <c r="A74" s="3" t="s">
        <v>23</v>
      </c>
      <c r="B74" s="14" t="s">
        <v>49</v>
      </c>
      <c r="C74" s="19">
        <f>2/3</f>
        <v>0.66666666666666663</v>
      </c>
      <c r="D74" s="16">
        <f>2/5</f>
        <v>0.4</v>
      </c>
      <c r="E74" s="16">
        <f>2/2</f>
        <v>1</v>
      </c>
      <c r="F74" s="19">
        <f>2/4</f>
        <v>0.5</v>
      </c>
      <c r="G74" s="19">
        <f>2/3</f>
        <v>0.66666666666666663</v>
      </c>
    </row>
    <row r="75" spans="1:7" ht="16.5" thickBot="1">
      <c r="A75" s="3" t="s">
        <v>25</v>
      </c>
      <c r="B75" s="14" t="s">
        <v>58</v>
      </c>
      <c r="C75" s="19">
        <f>4/3</f>
        <v>1.3333333333333333</v>
      </c>
      <c r="D75" s="16">
        <f>4/5</f>
        <v>0.8</v>
      </c>
      <c r="E75" s="19">
        <f>4/2</f>
        <v>2</v>
      </c>
      <c r="F75" s="16">
        <f>4/4</f>
        <v>1</v>
      </c>
      <c r="G75" s="19">
        <f>4/3</f>
        <v>1.3333333333333333</v>
      </c>
    </row>
    <row r="76" spans="1:7" ht="16.5" thickBot="1">
      <c r="A76" s="3" t="s">
        <v>27</v>
      </c>
      <c r="B76" s="14" t="s">
        <v>59</v>
      </c>
      <c r="C76" s="16">
        <f>3/3</f>
        <v>1</v>
      </c>
      <c r="D76" s="16">
        <f>3/5</f>
        <v>0.6</v>
      </c>
      <c r="E76" s="19">
        <f>3/2</f>
        <v>1.5</v>
      </c>
      <c r="F76" s="19">
        <f>3/4</f>
        <v>0.75</v>
      </c>
      <c r="G76" s="17">
        <f>3/3</f>
        <v>1</v>
      </c>
    </row>
    <row r="77" spans="1:7" ht="16.5" thickBot="1">
      <c r="B77" s="25" t="s">
        <v>44</v>
      </c>
      <c r="C77" s="26">
        <f>SUM(C71:C76)</f>
        <v>5.666666666666667</v>
      </c>
      <c r="D77" s="27">
        <f>SUM(D71:D76)</f>
        <v>3.4</v>
      </c>
      <c r="E77" s="27">
        <f>SUM(E72:E76)</f>
        <v>8.5</v>
      </c>
      <c r="F77" s="26">
        <f>SUM(F72:F76)</f>
        <v>4.25</v>
      </c>
      <c r="G77" s="26">
        <f>SUM(G72:G76)</f>
        <v>5.666666666666667</v>
      </c>
    </row>
    <row r="80" spans="1:7" ht="15.75" thickBot="1">
      <c r="B80" s="4" t="s">
        <v>63</v>
      </c>
    </row>
    <row r="81" spans="2:7" ht="16.5" thickBot="1">
      <c r="B81" s="11" t="s">
        <v>41</v>
      </c>
      <c r="C81" s="14" t="s">
        <v>60</v>
      </c>
      <c r="D81" s="14" t="s">
        <v>61</v>
      </c>
      <c r="E81" s="14" t="s">
        <v>62</v>
      </c>
      <c r="F81" s="14" t="s">
        <v>50</v>
      </c>
      <c r="G81" s="14" t="s">
        <v>59</v>
      </c>
    </row>
    <row r="82" spans="2:7" ht="16.5" thickBot="1">
      <c r="B82" s="14" t="s">
        <v>60</v>
      </c>
      <c r="C82" s="29">
        <f>2/2</f>
        <v>1</v>
      </c>
      <c r="D82" s="29">
        <f>2/2</f>
        <v>1</v>
      </c>
      <c r="E82" s="19">
        <f>2/4</f>
        <v>0.5</v>
      </c>
      <c r="F82" s="19">
        <f>2/5</f>
        <v>0.4</v>
      </c>
      <c r="G82" s="19">
        <f>2/3</f>
        <v>0.66666666666666663</v>
      </c>
    </row>
    <row r="83" spans="2:7" ht="16.5" thickBot="1">
      <c r="B83" s="14" t="s">
        <v>61</v>
      </c>
      <c r="C83" s="17">
        <f>2/2</f>
        <v>1</v>
      </c>
      <c r="D83" s="17">
        <f>2/2</f>
        <v>1</v>
      </c>
      <c r="E83" s="19">
        <f>2/4</f>
        <v>0.5</v>
      </c>
      <c r="F83" s="19">
        <f>2/5</f>
        <v>0.4</v>
      </c>
      <c r="G83" s="19">
        <f>2/3</f>
        <v>0.66666666666666663</v>
      </c>
    </row>
    <row r="84" spans="2:7" ht="16.5" thickBot="1">
      <c r="B84" s="14" t="s">
        <v>62</v>
      </c>
      <c r="C84" s="17">
        <f>4/2</f>
        <v>2</v>
      </c>
      <c r="D84" s="17">
        <f>4/2</f>
        <v>2</v>
      </c>
      <c r="E84" s="16">
        <f>4/4</f>
        <v>1</v>
      </c>
      <c r="F84" s="19">
        <f>4/5</f>
        <v>0.8</v>
      </c>
      <c r="G84" s="19">
        <f>4/3</f>
        <v>1.3333333333333333</v>
      </c>
    </row>
    <row r="85" spans="2:7" ht="16.5" thickBot="1">
      <c r="B85" s="14" t="s">
        <v>50</v>
      </c>
      <c r="C85" s="19">
        <f>5/2</f>
        <v>2.5</v>
      </c>
      <c r="D85" s="19">
        <f>5/2</f>
        <v>2.5</v>
      </c>
      <c r="E85" s="19">
        <f>5/4</f>
        <v>1.25</v>
      </c>
      <c r="F85" s="16">
        <f>5/5</f>
        <v>1</v>
      </c>
      <c r="G85" s="19">
        <f>5/3</f>
        <v>1.6666666666666667</v>
      </c>
    </row>
    <row r="86" spans="2:7" ht="16.5" thickBot="1">
      <c r="B86" s="14" t="s">
        <v>59</v>
      </c>
      <c r="C86" s="16">
        <f>3/2</f>
        <v>1.5</v>
      </c>
      <c r="D86" s="16">
        <f>3/2</f>
        <v>1.5</v>
      </c>
      <c r="E86" s="19">
        <f>3/4</f>
        <v>0.75</v>
      </c>
      <c r="F86" s="19">
        <f>3/5</f>
        <v>0.6</v>
      </c>
      <c r="G86" s="17">
        <f>3/3</f>
        <v>1</v>
      </c>
    </row>
    <row r="87" spans="2:7" ht="16.5" thickBot="1">
      <c r="B87" s="25" t="s">
        <v>44</v>
      </c>
      <c r="C87" s="26">
        <f>SUM(C81:C86)</f>
        <v>8</v>
      </c>
      <c r="D87" s="26">
        <f t="shared" ref="D87:G87" si="3">SUM(D81:D86)</f>
        <v>8</v>
      </c>
      <c r="E87" s="26">
        <f t="shared" si="3"/>
        <v>4</v>
      </c>
      <c r="F87" s="26">
        <f t="shared" si="3"/>
        <v>3.2</v>
      </c>
      <c r="G87" s="26">
        <f t="shared" si="3"/>
        <v>5.333333333333333</v>
      </c>
    </row>
    <row r="90" spans="2:7" ht="15.75" thickBot="1">
      <c r="B90" s="4" t="s">
        <v>64</v>
      </c>
    </row>
    <row r="91" spans="2:7" ht="16.5" thickBot="1">
      <c r="B91" s="11" t="s">
        <v>41</v>
      </c>
      <c r="C91" s="14" t="s">
        <v>52</v>
      </c>
      <c r="D91" s="14" t="s">
        <v>57</v>
      </c>
      <c r="E91" s="14" t="s">
        <v>62</v>
      </c>
      <c r="F91" s="14" t="s">
        <v>53</v>
      </c>
      <c r="G91" s="14" t="s">
        <v>51</v>
      </c>
    </row>
    <row r="92" spans="2:7" ht="16.5" thickBot="1">
      <c r="B92" s="14" t="s">
        <v>52</v>
      </c>
      <c r="C92" s="29">
        <f>4/4</f>
        <v>1</v>
      </c>
      <c r="D92" s="29">
        <f>4/5</f>
        <v>0.8</v>
      </c>
      <c r="E92" s="19">
        <f>4/4</f>
        <v>1</v>
      </c>
      <c r="F92" s="19">
        <f>4/3</f>
        <v>1.3333333333333333</v>
      </c>
      <c r="G92" s="19">
        <f>4/2</f>
        <v>2</v>
      </c>
    </row>
    <row r="93" spans="2:7" ht="16.5" thickBot="1">
      <c r="B93" s="14" t="s">
        <v>57</v>
      </c>
      <c r="C93" s="19">
        <f>5/4</f>
        <v>1.25</v>
      </c>
      <c r="D93" s="17">
        <f>5/5</f>
        <v>1</v>
      </c>
      <c r="E93" s="19">
        <f>5/4</f>
        <v>1.25</v>
      </c>
      <c r="F93" s="19">
        <f>5/3</f>
        <v>1.6666666666666667</v>
      </c>
      <c r="G93" s="19">
        <f>5/2</f>
        <v>2.5</v>
      </c>
    </row>
    <row r="94" spans="2:7" ht="16.5" thickBot="1">
      <c r="B94" s="14" t="s">
        <v>62</v>
      </c>
      <c r="C94" s="17">
        <f>4/4</f>
        <v>1</v>
      </c>
      <c r="D94" s="19">
        <f>4/5</f>
        <v>0.8</v>
      </c>
      <c r="E94" s="16">
        <f>4/4</f>
        <v>1</v>
      </c>
      <c r="F94" s="19">
        <f>4/3</f>
        <v>1.3333333333333333</v>
      </c>
      <c r="G94" s="19">
        <f>4/2</f>
        <v>2</v>
      </c>
    </row>
    <row r="95" spans="2:7" ht="16.5" thickBot="1">
      <c r="B95" s="14" t="s">
        <v>53</v>
      </c>
      <c r="C95" s="19">
        <f>3/4</f>
        <v>0.75</v>
      </c>
      <c r="D95" s="19">
        <f>3/5</f>
        <v>0.6</v>
      </c>
      <c r="E95" s="19">
        <f>3/4</f>
        <v>0.75</v>
      </c>
      <c r="F95" s="16">
        <f>3/3</f>
        <v>1</v>
      </c>
      <c r="G95" s="19">
        <f>3/2</f>
        <v>1.5</v>
      </c>
    </row>
    <row r="96" spans="2:7" ht="16.5" thickBot="1">
      <c r="B96" s="14" t="s">
        <v>51</v>
      </c>
      <c r="C96" s="16">
        <f>2/4</f>
        <v>0.5</v>
      </c>
      <c r="D96" s="16">
        <f>2/5</f>
        <v>0.4</v>
      </c>
      <c r="E96" s="19">
        <f>2/4</f>
        <v>0.5</v>
      </c>
      <c r="F96" s="19">
        <f>2/3</f>
        <v>0.66666666666666663</v>
      </c>
      <c r="G96" s="17">
        <f>2/2</f>
        <v>1</v>
      </c>
    </row>
    <row r="97" spans="2:7" ht="16.5" thickBot="1">
      <c r="B97" s="25" t="s">
        <v>44</v>
      </c>
      <c r="C97" s="26">
        <f>SUM(C91:C96)</f>
        <v>4.5</v>
      </c>
      <c r="D97" s="26">
        <f t="shared" ref="D97:G97" si="4">SUM(D91:D96)</f>
        <v>3.6</v>
      </c>
      <c r="E97" s="26">
        <f t="shared" si="4"/>
        <v>4.5</v>
      </c>
      <c r="F97" s="26">
        <f t="shared" si="4"/>
        <v>6</v>
      </c>
      <c r="G97" s="26">
        <f t="shared" si="4"/>
        <v>9</v>
      </c>
    </row>
    <row r="100" spans="2:7" ht="15.75" thickBot="1">
      <c r="B100" s="4" t="s">
        <v>65</v>
      </c>
    </row>
    <row r="101" spans="2:7" ht="16.5" thickBot="1">
      <c r="B101" s="11" t="s">
        <v>41</v>
      </c>
      <c r="C101" s="14" t="s">
        <v>52</v>
      </c>
      <c r="D101" s="14" t="s">
        <v>57</v>
      </c>
      <c r="E101" s="14" t="s">
        <v>62</v>
      </c>
      <c r="F101" s="14" t="s">
        <v>66</v>
      </c>
      <c r="G101" s="14" t="s">
        <v>59</v>
      </c>
    </row>
    <row r="102" spans="2:7" ht="16.5" thickBot="1">
      <c r="B102" s="14" t="s">
        <v>52</v>
      </c>
      <c r="C102" s="16">
        <f>4/4</f>
        <v>1</v>
      </c>
      <c r="D102" s="16">
        <f>4/5</f>
        <v>0.8</v>
      </c>
      <c r="E102" s="16">
        <f t="shared" ref="E102" si="5">4/4</f>
        <v>1</v>
      </c>
      <c r="F102" s="16">
        <f>4/2</f>
        <v>2</v>
      </c>
      <c r="G102" s="19">
        <f>4/3</f>
        <v>1.3333333333333333</v>
      </c>
    </row>
    <row r="103" spans="2:7" ht="16.5" thickBot="1">
      <c r="B103" s="14" t="s">
        <v>57</v>
      </c>
      <c r="C103" s="19">
        <f>5/4</f>
        <v>1.25</v>
      </c>
      <c r="D103" s="17">
        <f>5/5</f>
        <v>1</v>
      </c>
      <c r="E103" s="19">
        <f>5/4</f>
        <v>1.25</v>
      </c>
      <c r="F103" s="19">
        <f>5/2</f>
        <v>2.5</v>
      </c>
      <c r="G103" s="19">
        <f>5/3</f>
        <v>1.6666666666666667</v>
      </c>
    </row>
    <row r="104" spans="2:7" ht="16.5" thickBot="1">
      <c r="B104" s="14" t="s">
        <v>62</v>
      </c>
      <c r="C104" s="17">
        <f>4/4</f>
        <v>1</v>
      </c>
      <c r="D104" s="19">
        <f>4/5</f>
        <v>0.8</v>
      </c>
      <c r="E104" s="16">
        <f>4/4</f>
        <v>1</v>
      </c>
      <c r="F104" s="19">
        <f>4/2</f>
        <v>2</v>
      </c>
      <c r="G104" s="19">
        <f>4/3</f>
        <v>1.3333333333333333</v>
      </c>
    </row>
    <row r="105" spans="2:7" ht="16.5" thickBot="1">
      <c r="B105" s="14" t="s">
        <v>66</v>
      </c>
      <c r="C105" s="19">
        <f>2/4</f>
        <v>0.5</v>
      </c>
      <c r="D105" s="19">
        <f>2/5</f>
        <v>0.4</v>
      </c>
      <c r="E105" s="19">
        <f>2/4</f>
        <v>0.5</v>
      </c>
      <c r="F105" s="16">
        <f>2/2</f>
        <v>1</v>
      </c>
      <c r="G105" s="19">
        <f>2/3</f>
        <v>0.66666666666666663</v>
      </c>
    </row>
    <row r="106" spans="2:7" ht="16.5" thickBot="1">
      <c r="B106" s="14" t="s">
        <v>59</v>
      </c>
      <c r="C106" s="16">
        <f>3/4</f>
        <v>0.75</v>
      </c>
      <c r="D106" s="16">
        <f>3/5</f>
        <v>0.6</v>
      </c>
      <c r="E106" s="19">
        <f>3/4</f>
        <v>0.75</v>
      </c>
      <c r="F106" s="19">
        <f>3/2</f>
        <v>1.5</v>
      </c>
      <c r="G106" s="17">
        <f>3/3</f>
        <v>1</v>
      </c>
    </row>
    <row r="107" spans="2:7" ht="16.5" thickBot="1">
      <c r="B107" s="25" t="s">
        <v>44</v>
      </c>
      <c r="C107" s="26">
        <f>SUM(C101:C106)</f>
        <v>4.5</v>
      </c>
      <c r="D107" s="26">
        <f t="shared" ref="D107:G107" si="6">SUM(D101:D106)</f>
        <v>3.6</v>
      </c>
      <c r="E107" s="26">
        <f t="shared" si="6"/>
        <v>4.5</v>
      </c>
      <c r="F107" s="26">
        <f t="shared" si="6"/>
        <v>9</v>
      </c>
      <c r="G107" s="26">
        <f t="shared" si="6"/>
        <v>6</v>
      </c>
    </row>
    <row r="112" spans="2:7">
      <c r="B112" s="4" t="s">
        <v>40</v>
      </c>
    </row>
    <row r="113" spans="1:14" ht="15.75" thickBot="1">
      <c r="A113" s="4" t="s">
        <v>78</v>
      </c>
      <c r="C113" s="15">
        <v>5</v>
      </c>
      <c r="D113" s="15">
        <v>1</v>
      </c>
      <c r="E113" s="15">
        <v>9</v>
      </c>
      <c r="F113" s="15">
        <v>3</v>
      </c>
      <c r="G113" s="15">
        <v>1</v>
      </c>
      <c r="H113" s="15">
        <v>7</v>
      </c>
    </row>
    <row r="114" spans="1:14" ht="15.75" thickBot="1">
      <c r="A114" s="10"/>
      <c r="B114" s="11" t="s">
        <v>41</v>
      </c>
      <c r="C114" s="11" t="s">
        <v>4</v>
      </c>
      <c r="D114" s="11" t="s">
        <v>6</v>
      </c>
      <c r="E114" s="11" t="s">
        <v>8</v>
      </c>
      <c r="F114" s="11" t="s">
        <v>10</v>
      </c>
      <c r="G114" s="11" t="s">
        <v>12</v>
      </c>
      <c r="H114" s="11" t="s">
        <v>14</v>
      </c>
    </row>
    <row r="115" spans="1:14" ht="16.5" thickBot="1">
      <c r="A115" s="6" t="s">
        <v>5</v>
      </c>
      <c r="B115" s="14" t="s">
        <v>4</v>
      </c>
      <c r="C115" s="11">
        <f>5/5</f>
        <v>1</v>
      </c>
      <c r="D115" s="11">
        <f>5/1</f>
        <v>5</v>
      </c>
      <c r="E115" s="19">
        <f>5/9</f>
        <v>0.55555555555555558</v>
      </c>
      <c r="F115" s="19">
        <f>5/3</f>
        <v>1.6666666666666667</v>
      </c>
      <c r="G115" s="11">
        <f>5/1</f>
        <v>5</v>
      </c>
      <c r="H115" s="19">
        <f>5/7</f>
        <v>0.7142857142857143</v>
      </c>
      <c r="I115" s="11">
        <f>5/5</f>
        <v>1</v>
      </c>
      <c r="J115" s="11">
        <f>5/1</f>
        <v>5</v>
      </c>
      <c r="K115" s="19">
        <f>5/9</f>
        <v>0.55555555555555558</v>
      </c>
      <c r="L115" s="19">
        <f>5/3</f>
        <v>1.6666666666666667</v>
      </c>
      <c r="M115" s="11">
        <f>5/1</f>
        <v>5</v>
      </c>
      <c r="N115" s="19">
        <f>5/7</f>
        <v>0.7142857142857143</v>
      </c>
    </row>
    <row r="116" spans="1:14" ht="16.5" thickBot="1">
      <c r="A116" s="6" t="s">
        <v>7</v>
      </c>
      <c r="B116" s="14" t="s">
        <v>6</v>
      </c>
      <c r="C116" s="19">
        <f>1/5</f>
        <v>0.2</v>
      </c>
      <c r="D116" s="11">
        <f>1/1</f>
        <v>1</v>
      </c>
      <c r="E116" s="19">
        <f>1/9</f>
        <v>0.1111111111111111</v>
      </c>
      <c r="F116" s="19">
        <f>1/3</f>
        <v>0.33333333333333331</v>
      </c>
      <c r="G116" s="11">
        <v>1</v>
      </c>
      <c r="H116" s="19">
        <f>1/7</f>
        <v>0.14285714285714285</v>
      </c>
      <c r="I116" s="19">
        <f>1/5</f>
        <v>0.2</v>
      </c>
      <c r="J116" s="11">
        <f>1/1</f>
        <v>1</v>
      </c>
      <c r="K116" s="19">
        <f>1/9</f>
        <v>0.1111111111111111</v>
      </c>
      <c r="L116" s="19">
        <f>1/3</f>
        <v>0.33333333333333331</v>
      </c>
      <c r="M116" s="11">
        <v>1</v>
      </c>
      <c r="N116" s="19">
        <f>1/7</f>
        <v>0.14285714285714285</v>
      </c>
    </row>
    <row r="117" spans="1:14" ht="16.5" thickBot="1">
      <c r="A117" s="6" t="s">
        <v>9</v>
      </c>
      <c r="B117" s="14" t="s">
        <v>8</v>
      </c>
      <c r="C117" s="19">
        <f>9/5</f>
        <v>1.8</v>
      </c>
      <c r="D117" s="11">
        <f>9/1</f>
        <v>9</v>
      </c>
      <c r="E117" s="17">
        <f>9/9</f>
        <v>1</v>
      </c>
      <c r="F117" s="17">
        <f>9/3</f>
        <v>3</v>
      </c>
      <c r="G117" s="11">
        <f>9/1</f>
        <v>9</v>
      </c>
      <c r="H117" s="19">
        <f>9/7</f>
        <v>1.2857142857142858</v>
      </c>
      <c r="I117" s="19">
        <f>9/5</f>
        <v>1.8</v>
      </c>
      <c r="J117" s="11">
        <f>9/1</f>
        <v>9</v>
      </c>
      <c r="K117" s="17">
        <f>9/9</f>
        <v>1</v>
      </c>
      <c r="L117" s="17">
        <f>9/3</f>
        <v>3</v>
      </c>
      <c r="M117" s="11">
        <f>9/1</f>
        <v>9</v>
      </c>
      <c r="N117" s="19">
        <f>9/7</f>
        <v>1.2857142857142858</v>
      </c>
    </row>
    <row r="118" spans="1:14" ht="16.5" thickBot="1">
      <c r="A118" s="6" t="s">
        <v>11</v>
      </c>
      <c r="B118" s="14" t="s">
        <v>10</v>
      </c>
      <c r="C118" s="19">
        <f>3/5</f>
        <v>0.6</v>
      </c>
      <c r="D118" s="11">
        <f>3/1</f>
        <v>3</v>
      </c>
      <c r="E118" s="19">
        <f>3/9</f>
        <v>0.33333333333333331</v>
      </c>
      <c r="F118" s="17">
        <f>3/3</f>
        <v>1</v>
      </c>
      <c r="G118" s="11">
        <f>3/1</f>
        <v>3</v>
      </c>
      <c r="H118" s="19">
        <f>3/7</f>
        <v>0.42857142857142855</v>
      </c>
      <c r="I118" s="19">
        <f>3/5</f>
        <v>0.6</v>
      </c>
      <c r="J118" s="11">
        <f>3/1</f>
        <v>3</v>
      </c>
      <c r="K118" s="19">
        <f>3/9</f>
        <v>0.33333333333333331</v>
      </c>
      <c r="L118" s="17">
        <f>3/3</f>
        <v>1</v>
      </c>
      <c r="M118" s="11">
        <f>3/1</f>
        <v>3</v>
      </c>
      <c r="N118" s="19">
        <f>3/7</f>
        <v>0.42857142857142855</v>
      </c>
    </row>
    <row r="119" spans="1:14" ht="16.5" thickBot="1">
      <c r="A119" s="6" t="s">
        <v>13</v>
      </c>
      <c r="B119" s="14" t="s">
        <v>12</v>
      </c>
      <c r="C119" s="19">
        <f>1/5</f>
        <v>0.2</v>
      </c>
      <c r="D119" s="11">
        <f>1/1</f>
        <v>1</v>
      </c>
      <c r="E119" s="19">
        <f>1/9</f>
        <v>0.1111111111111111</v>
      </c>
      <c r="F119" s="19">
        <f>1/3</f>
        <v>0.33333333333333331</v>
      </c>
      <c r="G119" s="11">
        <f>1/1</f>
        <v>1</v>
      </c>
      <c r="H119" s="19">
        <f>1/7</f>
        <v>0.14285714285714285</v>
      </c>
      <c r="I119" s="19">
        <f>1/5</f>
        <v>0.2</v>
      </c>
      <c r="J119" s="11">
        <f>1/1</f>
        <v>1</v>
      </c>
      <c r="K119" s="19">
        <f>1/9</f>
        <v>0.1111111111111111</v>
      </c>
      <c r="L119" s="19">
        <f>1/3</f>
        <v>0.33333333333333331</v>
      </c>
      <c r="M119" s="11">
        <f>1/1</f>
        <v>1</v>
      </c>
      <c r="N119" s="19">
        <f>1/7</f>
        <v>0.14285714285714285</v>
      </c>
    </row>
    <row r="120" spans="1:14" ht="16.5" thickBot="1">
      <c r="A120" s="6" t="s">
        <v>15</v>
      </c>
      <c r="B120" s="14" t="s">
        <v>14</v>
      </c>
      <c r="C120" s="19">
        <f>7/5</f>
        <v>1.4</v>
      </c>
      <c r="D120" s="11">
        <f>7/1</f>
        <v>7</v>
      </c>
      <c r="E120" s="19">
        <f>7/9</f>
        <v>0.77777777777777779</v>
      </c>
      <c r="F120" s="19">
        <f>7/3</f>
        <v>2.3333333333333335</v>
      </c>
      <c r="G120" s="11">
        <f>7/1</f>
        <v>7</v>
      </c>
      <c r="H120" s="17">
        <f>7/7</f>
        <v>1</v>
      </c>
      <c r="I120" s="19">
        <f>7/5</f>
        <v>1.4</v>
      </c>
      <c r="J120" s="11">
        <f>7/1</f>
        <v>7</v>
      </c>
      <c r="K120" s="19">
        <f>7/9</f>
        <v>0.77777777777777779</v>
      </c>
      <c r="L120" s="19">
        <f>7/3</f>
        <v>2.3333333333333335</v>
      </c>
      <c r="M120" s="11">
        <f>7/1</f>
        <v>7</v>
      </c>
      <c r="N120" s="17">
        <f>7/7</f>
        <v>1</v>
      </c>
    </row>
    <row r="121" spans="1:14" ht="16.5" thickBot="1">
      <c r="A121" s="23"/>
      <c r="B121" s="25" t="s">
        <v>44</v>
      </c>
      <c r="C121" s="26">
        <f>SUM(C115:C120)</f>
        <v>5.2</v>
      </c>
      <c r="D121" s="26">
        <f t="shared" ref="D121:H121" si="7">SUM(D115:D120)</f>
        <v>26</v>
      </c>
      <c r="E121" s="26">
        <f t="shared" si="7"/>
        <v>2.8888888888888888</v>
      </c>
      <c r="F121" s="26">
        <f t="shared" si="7"/>
        <v>8.6666666666666661</v>
      </c>
      <c r="G121" s="26">
        <f t="shared" si="7"/>
        <v>26</v>
      </c>
      <c r="H121" s="26">
        <f t="shared" si="7"/>
        <v>3.7142857142857144</v>
      </c>
    </row>
    <row r="123" spans="1:14">
      <c r="A123" s="4" t="s">
        <v>79</v>
      </c>
    </row>
    <row r="124" spans="1:14" ht="15.75" thickBot="1"/>
    <row r="125" spans="1:14" ht="15.75" thickBot="1">
      <c r="A125" s="11"/>
      <c r="B125" s="30" t="s">
        <v>41</v>
      </c>
      <c r="C125" s="11" t="s">
        <v>4</v>
      </c>
      <c r="D125" s="11" t="s">
        <v>6</v>
      </c>
      <c r="E125" s="11" t="s">
        <v>8</v>
      </c>
      <c r="F125" s="11" t="s">
        <v>10</v>
      </c>
      <c r="G125" s="11" t="s">
        <v>12</v>
      </c>
      <c r="H125" s="11" t="s">
        <v>14</v>
      </c>
      <c r="I125" s="4" t="s">
        <v>67</v>
      </c>
      <c r="J125" s="4" t="s">
        <v>68</v>
      </c>
    </row>
    <row r="126" spans="1:14" ht="16.5" thickBot="1">
      <c r="A126" s="6" t="s">
        <v>5</v>
      </c>
      <c r="B126" s="14" t="s">
        <v>4</v>
      </c>
      <c r="C126" s="18">
        <f>C115/C121</f>
        <v>0.19230769230769229</v>
      </c>
      <c r="D126" s="18">
        <f>D115/D121</f>
        <v>0.19230769230769232</v>
      </c>
      <c r="E126" s="18">
        <f t="shared" ref="E126:H126" si="8">E115/E121</f>
        <v>0.19230769230769232</v>
      </c>
      <c r="F126" s="18">
        <f t="shared" si="8"/>
        <v>0.19230769230769232</v>
      </c>
      <c r="G126" s="18">
        <f t="shared" si="8"/>
        <v>0.19230769230769232</v>
      </c>
      <c r="H126" s="18">
        <f t="shared" si="8"/>
        <v>0.19230769230769232</v>
      </c>
      <c r="I126" s="8">
        <f>0.192*6</f>
        <v>1.1520000000000001</v>
      </c>
      <c r="J126" s="8">
        <f>I126/6</f>
        <v>0.19200000000000003</v>
      </c>
    </row>
    <row r="127" spans="1:14" ht="16.5" thickBot="1">
      <c r="A127" s="6" t="s">
        <v>7</v>
      </c>
      <c r="B127" s="14" t="s">
        <v>6</v>
      </c>
      <c r="C127" s="18">
        <f>C116/C121</f>
        <v>3.8461538461538464E-2</v>
      </c>
      <c r="D127" s="18">
        <f>D116/D121</f>
        <v>3.8461538461538464E-2</v>
      </c>
      <c r="E127" s="18">
        <f t="shared" ref="E127:H127" si="9">E116/E121</f>
        <v>3.8461538461538457E-2</v>
      </c>
      <c r="F127" s="18">
        <f t="shared" si="9"/>
        <v>3.8461538461538464E-2</v>
      </c>
      <c r="G127" s="18">
        <f t="shared" si="9"/>
        <v>3.8461538461538464E-2</v>
      </c>
      <c r="H127" s="18">
        <f t="shared" si="9"/>
        <v>3.8461538461538457E-2</v>
      </c>
      <c r="I127" s="8">
        <f>0.038*6</f>
        <v>0.22799999999999998</v>
      </c>
      <c r="J127" s="8">
        <f t="shared" ref="J127:J131" si="10">I127/6</f>
        <v>3.7999999999999999E-2</v>
      </c>
    </row>
    <row r="128" spans="1:14" ht="16.5" thickBot="1">
      <c r="A128" s="6" t="s">
        <v>9</v>
      </c>
      <c r="B128" s="14" t="s">
        <v>8</v>
      </c>
      <c r="C128" s="18">
        <f>C117/C121</f>
        <v>0.34615384615384615</v>
      </c>
      <c r="D128" s="18">
        <f t="shared" ref="D128:H128" si="11">D117/D121</f>
        <v>0.34615384615384615</v>
      </c>
      <c r="E128" s="18">
        <f t="shared" si="11"/>
        <v>0.34615384615384615</v>
      </c>
      <c r="F128" s="18">
        <f t="shared" si="11"/>
        <v>0.3461538461538462</v>
      </c>
      <c r="G128" s="18">
        <f t="shared" si="11"/>
        <v>0.34615384615384615</v>
      </c>
      <c r="H128" s="18">
        <f t="shared" si="11"/>
        <v>0.34615384615384615</v>
      </c>
      <c r="I128" s="8">
        <f>0.346*6</f>
        <v>2.0759999999999996</v>
      </c>
      <c r="J128" s="8">
        <f t="shared" si="10"/>
        <v>0.34599999999999992</v>
      </c>
    </row>
    <row r="129" spans="1:10" ht="16.5" thickBot="1">
      <c r="A129" s="6" t="s">
        <v>11</v>
      </c>
      <c r="B129" s="14" t="s">
        <v>10</v>
      </c>
      <c r="C129" s="18">
        <f>C118/C121</f>
        <v>0.11538461538461538</v>
      </c>
      <c r="D129" s="18">
        <f t="shared" ref="D129:H129" si="12">D118/D121</f>
        <v>0.11538461538461539</v>
      </c>
      <c r="E129" s="18">
        <f t="shared" si="12"/>
        <v>0.11538461538461538</v>
      </c>
      <c r="F129" s="18">
        <f t="shared" si="12"/>
        <v>0.11538461538461539</v>
      </c>
      <c r="G129" s="18">
        <f t="shared" si="12"/>
        <v>0.11538461538461539</v>
      </c>
      <c r="H129" s="18">
        <f t="shared" si="12"/>
        <v>0.11538461538461538</v>
      </c>
      <c r="I129" s="8">
        <f>0.115*6</f>
        <v>0.69000000000000006</v>
      </c>
      <c r="J129" s="8">
        <f t="shared" si="10"/>
        <v>0.115</v>
      </c>
    </row>
    <row r="130" spans="1:10" ht="16.5" thickBot="1">
      <c r="A130" s="6" t="s">
        <v>13</v>
      </c>
      <c r="B130" s="14" t="s">
        <v>12</v>
      </c>
      <c r="C130" s="18">
        <f>C119/C121</f>
        <v>3.8461538461538464E-2</v>
      </c>
      <c r="D130" s="18">
        <f t="shared" ref="D130:G130" si="13">D119/D121</f>
        <v>3.8461538461538464E-2</v>
      </c>
      <c r="E130" s="18">
        <f t="shared" si="13"/>
        <v>3.8461538461538457E-2</v>
      </c>
      <c r="F130" s="18">
        <f t="shared" si="13"/>
        <v>3.8461538461538464E-2</v>
      </c>
      <c r="G130" s="18">
        <f t="shared" si="13"/>
        <v>3.8461538461538464E-2</v>
      </c>
      <c r="H130" s="18">
        <f>H119/H121</f>
        <v>3.8461538461538457E-2</v>
      </c>
      <c r="I130" s="8">
        <f>0.038*6</f>
        <v>0.22799999999999998</v>
      </c>
      <c r="J130" s="8">
        <f t="shared" si="10"/>
        <v>3.7999999999999999E-2</v>
      </c>
    </row>
    <row r="131" spans="1:10" ht="16.5" thickBot="1">
      <c r="A131" s="6" t="s">
        <v>15</v>
      </c>
      <c r="B131" s="14" t="s">
        <v>14</v>
      </c>
      <c r="C131" s="18">
        <f>C120/C121</f>
        <v>0.26923076923076922</v>
      </c>
      <c r="D131" s="18">
        <f t="shared" ref="D131:H131" si="14">D120/D121</f>
        <v>0.26923076923076922</v>
      </c>
      <c r="E131" s="18">
        <f t="shared" si="14"/>
        <v>0.26923076923076922</v>
      </c>
      <c r="F131" s="18">
        <f t="shared" si="14"/>
        <v>0.26923076923076927</v>
      </c>
      <c r="G131" s="18">
        <f t="shared" si="14"/>
        <v>0.26923076923076922</v>
      </c>
      <c r="H131" s="18">
        <f t="shared" si="14"/>
        <v>0.26923076923076922</v>
      </c>
      <c r="I131" s="8">
        <f>0.269*6</f>
        <v>1.6140000000000001</v>
      </c>
      <c r="J131" s="8">
        <f t="shared" si="10"/>
        <v>0.26900000000000002</v>
      </c>
    </row>
    <row r="132" spans="1:10" ht="16.5" thickBot="1">
      <c r="A132" s="23"/>
      <c r="B132" s="25" t="s">
        <v>44</v>
      </c>
      <c r="C132" s="28">
        <f>SUM(C126:C131)</f>
        <v>1</v>
      </c>
      <c r="D132" s="28">
        <f t="shared" ref="D132:F132" si="15">SUM(D126:D131)</f>
        <v>1</v>
      </c>
      <c r="E132" s="28">
        <f t="shared" si="15"/>
        <v>1</v>
      </c>
      <c r="F132" s="28">
        <f t="shared" si="15"/>
        <v>1</v>
      </c>
      <c r="G132" s="28">
        <f>SUM(G126:G131)</f>
        <v>1</v>
      </c>
      <c r="H132" s="28">
        <f>SUM(H126:H131)</f>
        <v>1</v>
      </c>
    </row>
    <row r="133" spans="1:10" ht="15.75" thickBot="1">
      <c r="A133" s="4" t="s">
        <v>80</v>
      </c>
    </row>
    <row r="134" spans="1:10" ht="15.75" thickBot="1">
      <c r="B134" s="30" t="s">
        <v>41</v>
      </c>
      <c r="C134" s="11" t="s">
        <v>75</v>
      </c>
      <c r="D134" s="11" t="s">
        <v>76</v>
      </c>
      <c r="E134" s="11" t="s">
        <v>77</v>
      </c>
      <c r="F134" s="11" t="s">
        <v>82</v>
      </c>
      <c r="G134" s="11" t="s">
        <v>12</v>
      </c>
      <c r="H134" s="11" t="s">
        <v>14</v>
      </c>
    </row>
    <row r="135" spans="1:10" ht="16.5" thickBot="1">
      <c r="B135" s="14" t="s">
        <v>69</v>
      </c>
      <c r="C135" s="18">
        <f>(C115*C126)+(D115*C127)+(E115*C128)+(F115*C129)+(G115*C130)+(H115*C131)</f>
        <v>1.1538461538461537</v>
      </c>
      <c r="D135" s="18">
        <f>C135/J126</f>
        <v>6.0096153846153832</v>
      </c>
      <c r="E135" s="18">
        <f>SUM(D135:D140)/6</f>
        <v>6.0305410639280614</v>
      </c>
      <c r="F135" s="19"/>
      <c r="G135" s="19"/>
      <c r="H135" s="19"/>
    </row>
    <row r="136" spans="1:10" ht="16.5" thickBot="1">
      <c r="B136" s="14" t="s">
        <v>70</v>
      </c>
      <c r="C136" s="18">
        <f>(C116*C126)+(D116*C127)+(E116*C128)+(F116*C129)+(G116*C130)+(H116*C131)</f>
        <v>0.23076923076923078</v>
      </c>
      <c r="D136" s="18">
        <f t="shared" ref="D136:D139" si="16">C136/J127</f>
        <v>6.0728744939271264</v>
      </c>
      <c r="E136" s="19" t="s">
        <v>81</v>
      </c>
      <c r="F136" s="11" t="s">
        <v>445</v>
      </c>
      <c r="G136" s="11"/>
      <c r="H136" s="18"/>
    </row>
    <row r="137" spans="1:10" ht="16.5" thickBot="1">
      <c r="B137" s="14" t="s">
        <v>71</v>
      </c>
      <c r="C137" s="18">
        <f>(C117*C126)+(D117*C127)+(E117*C128)+(F117*C129)+(G117*C130)+(H117*C131)</f>
        <v>2.0769230769230771</v>
      </c>
      <c r="D137" s="18">
        <f t="shared" si="16"/>
        <v>6.0026678523788366</v>
      </c>
      <c r="E137" s="107">
        <f>(E135 - 6)/(6-1)</f>
        <v>6.1082127856122879E-3</v>
      </c>
      <c r="F137" s="18">
        <f>E137/1.24</f>
        <v>4.9259780529131358E-3</v>
      </c>
      <c r="G137" s="11"/>
      <c r="H137" s="18"/>
    </row>
    <row r="138" spans="1:10" ht="16.5" thickBot="1">
      <c r="B138" s="14" t="s">
        <v>72</v>
      </c>
      <c r="C138" s="18">
        <f>(C118*C126)+(D118*C127)+(E118*C128)+(F118*C129)+(G118*C130)+(H118*C131)</f>
        <v>0.69230769230769229</v>
      </c>
      <c r="D138" s="18">
        <f t="shared" si="16"/>
        <v>6.0200668896321066</v>
      </c>
      <c r="E138" s="11"/>
      <c r="F138" s="17"/>
      <c r="G138" s="11"/>
      <c r="H138" s="18"/>
    </row>
    <row r="139" spans="1:10" ht="16.5" thickBot="1">
      <c r="B139" s="14" t="s">
        <v>73</v>
      </c>
      <c r="C139" s="18">
        <f>(C119*C126)+(D119*C127)+(E119*C128)+(F119*C129)+(G119*C130)+(H119*C131)</f>
        <v>0.23076923076923078</v>
      </c>
      <c r="D139" s="18">
        <f t="shared" si="16"/>
        <v>6.0728744939271264</v>
      </c>
      <c r="E139" s="18"/>
      <c r="F139" s="11"/>
      <c r="G139" s="11"/>
      <c r="H139" s="18"/>
    </row>
    <row r="140" spans="1:10" ht="16.5" thickBot="1">
      <c r="B140" s="14" t="s">
        <v>74</v>
      </c>
      <c r="C140" s="18">
        <f>(C120*C126)+(D120*C127)+(E120*C128)+(F120*C129)+(G120*C130)+(H120*C131)</f>
        <v>1.6153846153846154</v>
      </c>
      <c r="D140" s="18">
        <f>C140/J131</f>
        <v>6.0051472690877894</v>
      </c>
      <c r="E140" s="18"/>
      <c r="F140" s="11"/>
      <c r="G140" s="11"/>
      <c r="H140" s="19"/>
    </row>
    <row r="141" spans="1:10" s="15" customFormat="1">
      <c r="A141" s="15" t="s">
        <v>447</v>
      </c>
    </row>
    <row r="142" spans="1:10" ht="15.75" thickBot="1">
      <c r="A142" s="4" t="s">
        <v>446</v>
      </c>
      <c r="B142" s="4" t="s">
        <v>45</v>
      </c>
    </row>
    <row r="143" spans="1:10" ht="15.75" thickBot="1">
      <c r="B143" s="11" t="s">
        <v>41</v>
      </c>
      <c r="C143" s="11" t="s">
        <v>47</v>
      </c>
      <c r="D143" s="11" t="s">
        <v>48</v>
      </c>
      <c r="E143" s="11" t="s">
        <v>49</v>
      </c>
      <c r="F143" s="11" t="s">
        <v>50</v>
      </c>
      <c r="G143" s="11" t="s">
        <v>51</v>
      </c>
    </row>
    <row r="144" spans="1:10" ht="32.25" thickBot="1">
      <c r="A144" s="3" t="s">
        <v>19</v>
      </c>
      <c r="B144" s="14" t="s">
        <v>47</v>
      </c>
      <c r="C144" s="16">
        <v>1</v>
      </c>
      <c r="D144" s="16">
        <f>3/4</f>
        <v>0.75</v>
      </c>
      <c r="E144" s="19">
        <v>1.5</v>
      </c>
      <c r="F144" s="19">
        <f>3/5</f>
        <v>0.6</v>
      </c>
      <c r="G144" s="19">
        <f>3/2</f>
        <v>1.5</v>
      </c>
    </row>
    <row r="145" spans="1:9" ht="16.5" thickBot="1">
      <c r="A145" s="3" t="s">
        <v>21</v>
      </c>
      <c r="B145" s="14" t="s">
        <v>48</v>
      </c>
      <c r="C145" s="19">
        <f>4/3</f>
        <v>1.3333333333333333</v>
      </c>
      <c r="D145" s="16">
        <v>1</v>
      </c>
      <c r="E145" s="16">
        <v>2</v>
      </c>
      <c r="F145" s="19">
        <f>4/5</f>
        <v>0.8</v>
      </c>
      <c r="G145" s="16">
        <f>4/2</f>
        <v>2</v>
      </c>
    </row>
    <row r="146" spans="1:9" ht="16.5" thickBot="1">
      <c r="A146" s="3" t="s">
        <v>23</v>
      </c>
      <c r="B146" s="14" t="s">
        <v>49</v>
      </c>
      <c r="C146" s="19">
        <v>0.66666666666666663</v>
      </c>
      <c r="D146" s="19">
        <f>2/4</f>
        <v>0.5</v>
      </c>
      <c r="E146" s="16">
        <v>1</v>
      </c>
      <c r="F146" s="19">
        <f>2/5</f>
        <v>0.4</v>
      </c>
      <c r="G146" s="16">
        <f>2/2</f>
        <v>1</v>
      </c>
    </row>
    <row r="147" spans="1:9" ht="16.5" thickBot="1">
      <c r="A147" s="3" t="s">
        <v>25</v>
      </c>
      <c r="B147" s="14" t="s">
        <v>50</v>
      </c>
      <c r="C147" s="19">
        <v>1.6666666666666667</v>
      </c>
      <c r="D147" s="16">
        <f>5/4</f>
        <v>1.25</v>
      </c>
      <c r="E147" s="19">
        <v>2.5</v>
      </c>
      <c r="F147" s="16">
        <v>1</v>
      </c>
      <c r="G147" s="19">
        <f>5/2</f>
        <v>2.5</v>
      </c>
    </row>
    <row r="148" spans="1:9" ht="16.5" thickBot="1">
      <c r="A148" s="3" t="s">
        <v>27</v>
      </c>
      <c r="B148" s="14" t="s">
        <v>51</v>
      </c>
      <c r="C148" s="19">
        <v>0.66666666666666663</v>
      </c>
      <c r="D148" s="19">
        <f>2/4</f>
        <v>0.5</v>
      </c>
      <c r="E148" s="16">
        <v>1</v>
      </c>
      <c r="F148" s="19">
        <f>2/5</f>
        <v>0.4</v>
      </c>
      <c r="G148" s="16">
        <v>1</v>
      </c>
    </row>
    <row r="149" spans="1:9" ht="16.5" thickBot="1">
      <c r="B149" s="25" t="s">
        <v>44</v>
      </c>
      <c r="C149" s="26">
        <f>SUM(C144:C148)</f>
        <v>5.333333333333333</v>
      </c>
      <c r="D149" s="27">
        <f t="shared" ref="D149:G149" si="17">SUM(D144:D148)</f>
        <v>4</v>
      </c>
      <c r="E149" s="27">
        <f t="shared" si="17"/>
        <v>8</v>
      </c>
      <c r="F149" s="27">
        <f t="shared" si="17"/>
        <v>3.1999999999999997</v>
      </c>
      <c r="G149" s="27">
        <f t="shared" si="17"/>
        <v>8</v>
      </c>
    </row>
    <row r="150" spans="1:9" ht="15.75" thickBot="1"/>
    <row r="151" spans="1:9" ht="15.75" thickBot="1">
      <c r="B151" s="11" t="s">
        <v>41</v>
      </c>
      <c r="C151" s="11" t="s">
        <v>47</v>
      </c>
      <c r="D151" s="11" t="s">
        <v>48</v>
      </c>
      <c r="E151" s="11" t="s">
        <v>49</v>
      </c>
      <c r="F151" s="11" t="s">
        <v>50</v>
      </c>
      <c r="G151" s="11" t="s">
        <v>51</v>
      </c>
      <c r="H151" s="109" t="s">
        <v>449</v>
      </c>
      <c r="I151" s="109" t="s">
        <v>448</v>
      </c>
    </row>
    <row r="152" spans="1:9" ht="16.5" thickBot="1">
      <c r="B152" s="14" t="s">
        <v>47</v>
      </c>
      <c r="C152" s="16">
        <f>C144/C149</f>
        <v>0.1875</v>
      </c>
      <c r="D152" s="16">
        <f t="shared" ref="D152:G152" si="18">D144/D149</f>
        <v>0.1875</v>
      </c>
      <c r="E152" s="16">
        <f t="shared" si="18"/>
        <v>0.1875</v>
      </c>
      <c r="F152" s="16">
        <f t="shared" si="18"/>
        <v>0.1875</v>
      </c>
      <c r="G152" s="16">
        <f t="shared" si="18"/>
        <v>0.1875</v>
      </c>
      <c r="H152" s="109">
        <f>SUM(C152:G152)</f>
        <v>0.9375</v>
      </c>
      <c r="I152" s="114">
        <f>H152/6</f>
        <v>0.15625</v>
      </c>
    </row>
    <row r="153" spans="1:9" ht="16.5" thickBot="1">
      <c r="B153" s="14" t="s">
        <v>48</v>
      </c>
      <c r="C153" s="16">
        <f>C145/C149</f>
        <v>0.25</v>
      </c>
      <c r="D153" s="16">
        <f t="shared" ref="D153:G153" si="19">D145/D149</f>
        <v>0.25</v>
      </c>
      <c r="E153" s="16">
        <f t="shared" si="19"/>
        <v>0.25</v>
      </c>
      <c r="F153" s="16">
        <f t="shared" si="19"/>
        <v>0.25000000000000006</v>
      </c>
      <c r="G153" s="16">
        <f t="shared" si="19"/>
        <v>0.25</v>
      </c>
      <c r="H153" s="109">
        <f>0.25*6</f>
        <v>1.5</v>
      </c>
      <c r="I153" s="114">
        <f t="shared" ref="I153:I155" si="20">H153/6</f>
        <v>0.25</v>
      </c>
    </row>
    <row r="154" spans="1:9" ht="16.5" thickBot="1">
      <c r="B154" s="14" t="s">
        <v>49</v>
      </c>
      <c r="C154" s="16">
        <f>C146/C149</f>
        <v>0.125</v>
      </c>
      <c r="D154" s="16">
        <f t="shared" ref="D154:G154" si="21">D146/D149</f>
        <v>0.125</v>
      </c>
      <c r="E154" s="16">
        <f t="shared" si="21"/>
        <v>0.125</v>
      </c>
      <c r="F154" s="16">
        <f t="shared" si="21"/>
        <v>0.12500000000000003</v>
      </c>
      <c r="G154" s="16">
        <f t="shared" si="21"/>
        <v>0.125</v>
      </c>
      <c r="H154" s="109">
        <f>0.125*6</f>
        <v>0.75</v>
      </c>
      <c r="I154" s="114">
        <f t="shared" si="20"/>
        <v>0.125</v>
      </c>
    </row>
    <row r="155" spans="1:9" ht="16.5" thickBot="1">
      <c r="B155" s="14" t="s">
        <v>50</v>
      </c>
      <c r="C155" s="16">
        <f>C147/C149</f>
        <v>0.31250000000000006</v>
      </c>
      <c r="D155" s="16">
        <f t="shared" ref="D155:G155" si="22">D147/D149</f>
        <v>0.3125</v>
      </c>
      <c r="E155" s="16">
        <f t="shared" si="22"/>
        <v>0.3125</v>
      </c>
      <c r="F155" s="16">
        <f t="shared" si="22"/>
        <v>0.3125</v>
      </c>
      <c r="G155" s="16">
        <f t="shared" si="22"/>
        <v>0.3125</v>
      </c>
      <c r="H155" s="109">
        <f>0.3125*6</f>
        <v>1.875</v>
      </c>
      <c r="I155" s="114">
        <f t="shared" si="20"/>
        <v>0.3125</v>
      </c>
    </row>
    <row r="156" spans="1:9" ht="16.5" thickBot="1">
      <c r="B156" s="14" t="s">
        <v>51</v>
      </c>
      <c r="C156" s="16">
        <f>C148/C149</f>
        <v>0.125</v>
      </c>
      <c r="D156" s="16">
        <f t="shared" ref="D156:G156" si="23">D148/D149</f>
        <v>0.125</v>
      </c>
      <c r="E156" s="16">
        <f t="shared" si="23"/>
        <v>0.125</v>
      </c>
      <c r="F156" s="16">
        <f t="shared" si="23"/>
        <v>0.12500000000000003</v>
      </c>
      <c r="G156" s="16">
        <f t="shared" si="23"/>
        <v>0.125</v>
      </c>
      <c r="H156" s="109">
        <f>0.125*6</f>
        <v>0.75</v>
      </c>
      <c r="I156" s="114">
        <f>H156/6</f>
        <v>0.125</v>
      </c>
    </row>
    <row r="158" spans="1:9" ht="15.75" thickBot="1">
      <c r="B158" s="4" t="s">
        <v>54</v>
      </c>
    </row>
    <row r="159" spans="1:9" ht="15.75" thickBot="1">
      <c r="B159" s="11" t="s">
        <v>41</v>
      </c>
      <c r="C159" s="11" t="s">
        <v>52</v>
      </c>
      <c r="D159" s="11" t="s">
        <v>48</v>
      </c>
      <c r="E159" s="11" t="s">
        <v>55</v>
      </c>
      <c r="F159" s="11" t="s">
        <v>50</v>
      </c>
      <c r="G159" s="11" t="s">
        <v>51</v>
      </c>
    </row>
    <row r="160" spans="1:9" ht="32.25" thickBot="1">
      <c r="A160" s="3" t="s">
        <v>19</v>
      </c>
      <c r="B160" s="14" t="s">
        <v>52</v>
      </c>
      <c r="C160" s="29">
        <f>4/4</f>
        <v>1</v>
      </c>
      <c r="D160" s="16">
        <f>4/4</f>
        <v>1</v>
      </c>
      <c r="E160" s="19">
        <f>4/3</f>
        <v>1.3333333333333333</v>
      </c>
      <c r="F160" s="19">
        <f>4/5</f>
        <v>0.8</v>
      </c>
      <c r="G160" s="16">
        <f>4/2</f>
        <v>2</v>
      </c>
    </row>
    <row r="161" spans="1:9" ht="16.5" thickBot="1">
      <c r="A161" s="3" t="s">
        <v>21</v>
      </c>
      <c r="B161" s="14" t="s">
        <v>48</v>
      </c>
      <c r="C161" s="16">
        <f>4/4</f>
        <v>1</v>
      </c>
      <c r="D161" s="16">
        <f>4/4</f>
        <v>1</v>
      </c>
      <c r="E161" s="19">
        <f>4/3</f>
        <v>1.3333333333333333</v>
      </c>
      <c r="F161" s="19">
        <f>4/5</f>
        <v>0.8</v>
      </c>
      <c r="G161" s="16">
        <v>2</v>
      </c>
    </row>
    <row r="162" spans="1:9" ht="16.5" thickBot="1">
      <c r="A162" s="3" t="s">
        <v>23</v>
      </c>
      <c r="B162" s="14" t="s">
        <v>55</v>
      </c>
      <c r="C162" s="16">
        <f>3/4</f>
        <v>0.75</v>
      </c>
      <c r="D162" s="16">
        <f>3/4</f>
        <v>0.75</v>
      </c>
      <c r="E162" s="16">
        <f>3/3</f>
        <v>1</v>
      </c>
      <c r="F162" s="19">
        <f>3/5</f>
        <v>0.6</v>
      </c>
      <c r="G162" s="19">
        <f>3/2</f>
        <v>1.5</v>
      </c>
    </row>
    <row r="163" spans="1:9" ht="16.5" thickBot="1">
      <c r="A163" s="3" t="s">
        <v>25</v>
      </c>
      <c r="B163" s="14" t="s">
        <v>50</v>
      </c>
      <c r="C163" s="16">
        <f>5/4</f>
        <v>1.25</v>
      </c>
      <c r="D163" s="16">
        <f>5/4</f>
        <v>1.25</v>
      </c>
      <c r="E163" s="19">
        <f>5/3</f>
        <v>1.6666666666666667</v>
      </c>
      <c r="F163" s="16">
        <f>5/5</f>
        <v>1</v>
      </c>
      <c r="G163" s="19">
        <f>5/2</f>
        <v>2.5</v>
      </c>
    </row>
    <row r="164" spans="1:9" ht="16.5" thickBot="1">
      <c r="A164" s="3" t="s">
        <v>27</v>
      </c>
      <c r="B164" s="14" t="s">
        <v>51</v>
      </c>
      <c r="C164" s="16">
        <f>2/4</f>
        <v>0.5</v>
      </c>
      <c r="D164" s="16">
        <f>2/4</f>
        <v>0.5</v>
      </c>
      <c r="E164" s="19">
        <f>2/3</f>
        <v>0.66666666666666663</v>
      </c>
      <c r="F164" s="19">
        <f>2/5</f>
        <v>0.4</v>
      </c>
      <c r="G164" s="17">
        <f>2/2</f>
        <v>1</v>
      </c>
    </row>
    <row r="165" spans="1:9" ht="16.5" thickBot="1">
      <c r="B165" s="25" t="s">
        <v>44</v>
      </c>
      <c r="C165" s="27">
        <f>SUM(C160:C163)</f>
        <v>4</v>
      </c>
      <c r="D165" s="27">
        <f t="shared" ref="D165:G165" si="24">SUM(D160:D163)</f>
        <v>4</v>
      </c>
      <c r="E165" s="28">
        <f t="shared" si="24"/>
        <v>5.333333333333333</v>
      </c>
      <c r="F165" s="27">
        <f t="shared" si="24"/>
        <v>3.2</v>
      </c>
      <c r="G165" s="27">
        <f t="shared" si="24"/>
        <v>8</v>
      </c>
    </row>
    <row r="166" spans="1:9" ht="15.75" thickBot="1"/>
    <row r="167" spans="1:9" ht="15.75" thickBot="1">
      <c r="B167" s="11" t="s">
        <v>41</v>
      </c>
      <c r="C167" s="11" t="s">
        <v>52</v>
      </c>
      <c r="D167" s="11" t="s">
        <v>48</v>
      </c>
      <c r="E167" s="11" t="s">
        <v>55</v>
      </c>
      <c r="F167" s="11" t="s">
        <v>50</v>
      </c>
      <c r="G167" s="11" t="s">
        <v>51</v>
      </c>
      <c r="H167" s="109" t="s">
        <v>449</v>
      </c>
      <c r="I167" s="109" t="s">
        <v>450</v>
      </c>
    </row>
    <row r="168" spans="1:9" ht="16.5" thickBot="1">
      <c r="B168" s="14" t="s">
        <v>52</v>
      </c>
      <c r="C168" s="16">
        <f>1/C165</f>
        <v>0.25</v>
      </c>
      <c r="D168" s="16">
        <f t="shared" ref="D168:G168" si="25">D160/D165</f>
        <v>0.25</v>
      </c>
      <c r="E168" s="16">
        <f>1.33/E165</f>
        <v>0.24937500000000001</v>
      </c>
      <c r="F168" s="16">
        <f>0.8/F165</f>
        <v>0.25</v>
      </c>
      <c r="G168" s="16">
        <f t="shared" si="25"/>
        <v>0.25</v>
      </c>
      <c r="H168" s="109">
        <f>SUM(C168:G168)</f>
        <v>1.2493750000000001</v>
      </c>
      <c r="I168" s="114">
        <f>H168/6</f>
        <v>0.20822916666666669</v>
      </c>
    </row>
    <row r="169" spans="1:9" ht="16.5" thickBot="1">
      <c r="B169" s="14" t="s">
        <v>48</v>
      </c>
      <c r="C169" s="16">
        <f>1/C165</f>
        <v>0.25</v>
      </c>
      <c r="D169" s="16">
        <f t="shared" ref="D169" si="26">D161/D165</f>
        <v>0.25</v>
      </c>
      <c r="E169" s="16">
        <f>1.33/E165</f>
        <v>0.24937500000000001</v>
      </c>
      <c r="F169" s="16">
        <f>0.8/F165</f>
        <v>0.25</v>
      </c>
      <c r="G169" s="16">
        <f>2/G165</f>
        <v>0.25</v>
      </c>
      <c r="H169" s="109">
        <f>SUM(C169:G169)</f>
        <v>1.2493750000000001</v>
      </c>
      <c r="I169" s="114">
        <f t="shared" ref="I169:I172" si="27">H169/6</f>
        <v>0.20822916666666669</v>
      </c>
    </row>
    <row r="170" spans="1:9" ht="16.5" thickBot="1">
      <c r="B170" s="14" t="s">
        <v>55</v>
      </c>
      <c r="C170" s="16">
        <f>0.75/C165</f>
        <v>0.1875</v>
      </c>
      <c r="D170" s="16">
        <f t="shared" ref="D170" si="28">D162/D165</f>
        <v>0.1875</v>
      </c>
      <c r="E170" s="16">
        <f>1/E165</f>
        <v>0.1875</v>
      </c>
      <c r="F170" s="16">
        <f>0.6/F165</f>
        <v>0.18749999999999997</v>
      </c>
      <c r="G170" s="16">
        <f>1.5/G165</f>
        <v>0.1875</v>
      </c>
      <c r="H170" s="109">
        <f t="shared" ref="H170" si="29">SUM(C170:G170)</f>
        <v>0.9375</v>
      </c>
      <c r="I170" s="114">
        <f t="shared" si="27"/>
        <v>0.15625</v>
      </c>
    </row>
    <row r="171" spans="1:9" ht="16.5" thickBot="1">
      <c r="B171" s="14" t="s">
        <v>50</v>
      </c>
      <c r="C171" s="19">
        <f>1.25/C165</f>
        <v>0.3125</v>
      </c>
      <c r="D171" s="19">
        <f t="shared" ref="D171" si="30">D163/D165</f>
        <v>0.3125</v>
      </c>
      <c r="E171" s="19">
        <f>1.67/E165</f>
        <v>0.31312499999999999</v>
      </c>
      <c r="F171" s="19">
        <f>1/F165</f>
        <v>0.3125</v>
      </c>
      <c r="G171" s="19">
        <f>2.5/G165</f>
        <v>0.3125</v>
      </c>
      <c r="H171" s="109">
        <f>SUM(C171:G171)</f>
        <v>1.5631249999999999</v>
      </c>
      <c r="I171" s="114">
        <f>H171/6</f>
        <v>0.26052083333333331</v>
      </c>
    </row>
    <row r="172" spans="1:9" ht="16.5" thickBot="1">
      <c r="B172" s="14" t="s">
        <v>51</v>
      </c>
      <c r="C172" s="19">
        <f>0.5/C165</f>
        <v>0.125</v>
      </c>
      <c r="D172" s="19">
        <f t="shared" ref="D172" si="31">D164/D165</f>
        <v>0.125</v>
      </c>
      <c r="E172" s="19">
        <f>0.67/E165</f>
        <v>0.12562500000000001</v>
      </c>
      <c r="F172" s="19">
        <f>0.4/F165</f>
        <v>0.125</v>
      </c>
      <c r="G172" s="19">
        <f>1/G165</f>
        <v>0.125</v>
      </c>
      <c r="H172" s="109">
        <f>SUM(C172:G172)</f>
        <v>0.62562499999999999</v>
      </c>
      <c r="I172" s="114">
        <f t="shared" si="27"/>
        <v>0.10427083333333333</v>
      </c>
    </row>
    <row r="173" spans="1:9" ht="15.75" thickBot="1">
      <c r="B173" s="4" t="s">
        <v>56</v>
      </c>
    </row>
    <row r="174" spans="1:9" ht="16.5" thickBot="1">
      <c r="B174" s="11" t="s">
        <v>41</v>
      </c>
      <c r="C174" s="11" t="s">
        <v>47</v>
      </c>
      <c r="D174" s="14" t="s">
        <v>57</v>
      </c>
      <c r="E174" s="14" t="s">
        <v>49</v>
      </c>
      <c r="F174" s="14" t="s">
        <v>58</v>
      </c>
      <c r="G174" s="14" t="s">
        <v>59</v>
      </c>
    </row>
    <row r="175" spans="1:9" ht="32.25" thickBot="1">
      <c r="A175" s="3" t="s">
        <v>19</v>
      </c>
      <c r="B175" s="14" t="s">
        <v>47</v>
      </c>
      <c r="C175" s="29">
        <f>3/3</f>
        <v>1</v>
      </c>
      <c r="D175" s="16">
        <f>3/5</f>
        <v>0.6</v>
      </c>
      <c r="E175" s="19">
        <f>3/2</f>
        <v>1.5</v>
      </c>
      <c r="F175" s="19">
        <f>3/4</f>
        <v>0.75</v>
      </c>
      <c r="G175" s="16">
        <f>3/3</f>
        <v>1</v>
      </c>
    </row>
    <row r="176" spans="1:9" ht="16.5" thickBot="1">
      <c r="A176" s="3" t="s">
        <v>21</v>
      </c>
      <c r="B176" s="14" t="s">
        <v>57</v>
      </c>
      <c r="C176" s="19">
        <f>5/3</f>
        <v>1.6666666666666667</v>
      </c>
      <c r="D176" s="16">
        <f>5/5</f>
        <v>1</v>
      </c>
      <c r="E176" s="19">
        <f>5/2</f>
        <v>2.5</v>
      </c>
      <c r="F176" s="19">
        <f>5/4</f>
        <v>1.25</v>
      </c>
      <c r="G176" s="19">
        <f>5/3</f>
        <v>1.6666666666666667</v>
      </c>
    </row>
    <row r="177" spans="1:9" ht="16.5" thickBot="1">
      <c r="A177" s="3" t="s">
        <v>23</v>
      </c>
      <c r="B177" s="14" t="s">
        <v>49</v>
      </c>
      <c r="C177" s="19">
        <f>2/3</f>
        <v>0.66666666666666663</v>
      </c>
      <c r="D177" s="16">
        <f>2/5</f>
        <v>0.4</v>
      </c>
      <c r="E177" s="16">
        <f>2/2</f>
        <v>1</v>
      </c>
      <c r="F177" s="19">
        <f>2/4</f>
        <v>0.5</v>
      </c>
      <c r="G177" s="19">
        <f>2/3</f>
        <v>0.66666666666666663</v>
      </c>
    </row>
    <row r="178" spans="1:9" ht="16.5" thickBot="1">
      <c r="A178" s="3" t="s">
        <v>25</v>
      </c>
      <c r="B178" s="14" t="s">
        <v>58</v>
      </c>
      <c r="C178" s="19">
        <f>4/3</f>
        <v>1.3333333333333333</v>
      </c>
      <c r="D178" s="16">
        <f>4/5</f>
        <v>0.8</v>
      </c>
      <c r="E178" s="19">
        <f>4/2</f>
        <v>2</v>
      </c>
      <c r="F178" s="16">
        <f>4/4</f>
        <v>1</v>
      </c>
      <c r="G178" s="19">
        <f>4/3</f>
        <v>1.3333333333333333</v>
      </c>
    </row>
    <row r="179" spans="1:9" ht="16.5" thickBot="1">
      <c r="A179" s="3" t="s">
        <v>27</v>
      </c>
      <c r="B179" s="14" t="s">
        <v>59</v>
      </c>
      <c r="C179" s="16">
        <f>3/3</f>
        <v>1</v>
      </c>
      <c r="D179" s="16">
        <f>3/5</f>
        <v>0.6</v>
      </c>
      <c r="E179" s="19">
        <f>3/2</f>
        <v>1.5</v>
      </c>
      <c r="F179" s="19">
        <f>3/4</f>
        <v>0.75</v>
      </c>
      <c r="G179" s="17">
        <f>3/3</f>
        <v>1</v>
      </c>
    </row>
    <row r="180" spans="1:9" ht="16.5" thickBot="1">
      <c r="B180" s="25" t="s">
        <v>44</v>
      </c>
      <c r="C180" s="26">
        <f>SUM(C174:C179)</f>
        <v>5.666666666666667</v>
      </c>
      <c r="D180" s="27">
        <f>SUM(D174:D179)</f>
        <v>3.4</v>
      </c>
      <c r="E180" s="27">
        <f>SUM(E175:E179)</f>
        <v>8.5</v>
      </c>
      <c r="F180" s="26">
        <f>SUM(F175:F179)</f>
        <v>4.25</v>
      </c>
      <c r="G180" s="26">
        <f>SUM(G175:G179)</f>
        <v>5.666666666666667</v>
      </c>
    </row>
    <row r="181" spans="1:9" ht="15.75">
      <c r="B181" s="111"/>
      <c r="C181" s="112"/>
      <c r="D181" s="113"/>
      <c r="E181" s="113"/>
      <c r="F181" s="112"/>
      <c r="G181" s="112"/>
    </row>
    <row r="182" spans="1:9" ht="15.75" thickBot="1"/>
    <row r="183" spans="1:9" ht="16.5" thickBot="1">
      <c r="B183" s="11" t="s">
        <v>41</v>
      </c>
      <c r="C183" s="11" t="s">
        <v>47</v>
      </c>
      <c r="D183" s="14" t="s">
        <v>57</v>
      </c>
      <c r="E183" s="14" t="s">
        <v>49</v>
      </c>
      <c r="F183" s="14" t="s">
        <v>58</v>
      </c>
      <c r="G183" s="14" t="s">
        <v>59</v>
      </c>
      <c r="H183" s="109" t="s">
        <v>449</v>
      </c>
      <c r="I183" s="109" t="s">
        <v>448</v>
      </c>
    </row>
    <row r="184" spans="1:9" ht="16.5" thickBot="1">
      <c r="B184" s="14" t="s">
        <v>47</v>
      </c>
      <c r="C184" s="110">
        <f>C175/C180</f>
        <v>0.1764705882352941</v>
      </c>
      <c r="D184" s="110">
        <f t="shared" ref="D184:G184" si="32">D175/D180</f>
        <v>0.17647058823529413</v>
      </c>
      <c r="E184" s="110">
        <f t="shared" si="32"/>
        <v>0.17647058823529413</v>
      </c>
      <c r="F184" s="110">
        <f t="shared" si="32"/>
        <v>0.17647058823529413</v>
      </c>
      <c r="G184" s="19">
        <f t="shared" si="32"/>
        <v>0.1764705882352941</v>
      </c>
      <c r="H184" s="114">
        <f>SUM(C184:G184)</f>
        <v>0.88235294117647056</v>
      </c>
      <c r="I184" s="114">
        <f>H184/6</f>
        <v>0.14705882352941177</v>
      </c>
    </row>
    <row r="185" spans="1:9" ht="16.5" thickBot="1">
      <c r="B185" s="14" t="s">
        <v>57</v>
      </c>
      <c r="C185" s="19">
        <f>C175/C180</f>
        <v>0.1764705882352941</v>
      </c>
      <c r="D185" s="19">
        <f t="shared" ref="D185:G185" si="33">D175/D180</f>
        <v>0.17647058823529413</v>
      </c>
      <c r="E185" s="19">
        <f t="shared" si="33"/>
        <v>0.17647058823529413</v>
      </c>
      <c r="F185" s="19">
        <f t="shared" si="33"/>
        <v>0.17647058823529413</v>
      </c>
      <c r="G185" s="19">
        <f t="shared" si="33"/>
        <v>0.1764705882352941</v>
      </c>
      <c r="H185" s="114">
        <f t="shared" ref="H185:H188" si="34">SUM(C185:G185)</f>
        <v>0.88235294117647056</v>
      </c>
      <c r="I185" s="114">
        <f t="shared" ref="I185:I188" si="35">H185/6</f>
        <v>0.14705882352941177</v>
      </c>
    </row>
    <row r="186" spans="1:9" ht="16.5" thickBot="1">
      <c r="B186" s="14" t="s">
        <v>49</v>
      </c>
      <c r="C186" s="19">
        <f>C177/C180</f>
        <v>0.1176470588235294</v>
      </c>
      <c r="D186" s="19">
        <f t="shared" ref="D186:F186" si="36">D177/D180</f>
        <v>0.11764705882352942</v>
      </c>
      <c r="E186" s="19">
        <f t="shared" si="36"/>
        <v>0.11764705882352941</v>
      </c>
      <c r="F186" s="19">
        <f t="shared" si="36"/>
        <v>0.11764705882352941</v>
      </c>
      <c r="G186" s="19">
        <f>G177/G180</f>
        <v>0.1176470588235294</v>
      </c>
      <c r="H186" s="114">
        <f t="shared" si="34"/>
        <v>0.58823529411764708</v>
      </c>
      <c r="I186" s="114">
        <f t="shared" si="35"/>
        <v>9.8039215686274508E-2</v>
      </c>
    </row>
    <row r="187" spans="1:9" ht="16.5" thickBot="1">
      <c r="B187" s="14" t="s">
        <v>58</v>
      </c>
      <c r="C187" s="19">
        <f>C178/C180</f>
        <v>0.23529411764705879</v>
      </c>
      <c r="D187" s="19">
        <f t="shared" ref="D187:F187" si="37">D178/D180</f>
        <v>0.23529411764705885</v>
      </c>
      <c r="E187" s="19">
        <f t="shared" si="37"/>
        <v>0.23529411764705882</v>
      </c>
      <c r="F187" s="19">
        <f t="shared" si="37"/>
        <v>0.23529411764705882</v>
      </c>
      <c r="G187" s="19">
        <f>G178/G180</f>
        <v>0.23529411764705879</v>
      </c>
      <c r="H187" s="114">
        <f t="shared" si="34"/>
        <v>1.1764705882352942</v>
      </c>
      <c r="I187" s="114">
        <f t="shared" si="35"/>
        <v>0.19607843137254902</v>
      </c>
    </row>
    <row r="188" spans="1:9" ht="16.5" thickBot="1">
      <c r="B188" s="14" t="s">
        <v>59</v>
      </c>
      <c r="C188" s="19">
        <f>C179/C180</f>
        <v>0.1764705882352941</v>
      </c>
      <c r="D188" s="19">
        <f t="shared" ref="D188:F188" si="38">D179/D180</f>
        <v>0.17647058823529413</v>
      </c>
      <c r="E188" s="19">
        <f t="shared" si="38"/>
        <v>0.17647058823529413</v>
      </c>
      <c r="F188" s="19">
        <f t="shared" si="38"/>
        <v>0.17647058823529413</v>
      </c>
      <c r="G188" s="19">
        <f>G179/G180</f>
        <v>0.1764705882352941</v>
      </c>
      <c r="H188" s="114">
        <f t="shared" si="34"/>
        <v>0.88235294117647056</v>
      </c>
      <c r="I188" s="114">
        <f t="shared" si="35"/>
        <v>0.14705882352941177</v>
      </c>
    </row>
    <row r="191" spans="1:9" ht="15.75" thickBot="1">
      <c r="B191" s="4" t="s">
        <v>63</v>
      </c>
    </row>
    <row r="192" spans="1:9" ht="16.5" thickBot="1">
      <c r="B192" s="11" t="s">
        <v>41</v>
      </c>
      <c r="C192" s="14" t="s">
        <v>60</v>
      </c>
      <c r="D192" s="14" t="s">
        <v>61</v>
      </c>
      <c r="E192" s="14" t="s">
        <v>62</v>
      </c>
      <c r="F192" s="14" t="s">
        <v>50</v>
      </c>
      <c r="G192" s="14" t="s">
        <v>59</v>
      </c>
    </row>
    <row r="193" spans="1:9" ht="32.25" thickBot="1">
      <c r="A193" s="3" t="s">
        <v>19</v>
      </c>
      <c r="B193" s="14" t="s">
        <v>60</v>
      </c>
      <c r="C193" s="29">
        <f>2/2</f>
        <v>1</v>
      </c>
      <c r="D193" s="29">
        <f>2/2</f>
        <v>1</v>
      </c>
      <c r="E193" s="19">
        <f>2/4</f>
        <v>0.5</v>
      </c>
      <c r="F193" s="19">
        <f>2/5</f>
        <v>0.4</v>
      </c>
      <c r="G193" s="19">
        <f>2/3</f>
        <v>0.66666666666666663</v>
      </c>
    </row>
    <row r="194" spans="1:9" ht="16.5" thickBot="1">
      <c r="A194" s="3" t="s">
        <v>21</v>
      </c>
      <c r="B194" s="14" t="s">
        <v>61</v>
      </c>
      <c r="C194" s="17">
        <f>2/2</f>
        <v>1</v>
      </c>
      <c r="D194" s="17">
        <f>2/2</f>
        <v>1</v>
      </c>
      <c r="E194" s="19">
        <f>2/4</f>
        <v>0.5</v>
      </c>
      <c r="F194" s="19">
        <f>2/5</f>
        <v>0.4</v>
      </c>
      <c r="G194" s="19">
        <f>2/3</f>
        <v>0.66666666666666663</v>
      </c>
    </row>
    <row r="195" spans="1:9" ht="16.5" thickBot="1">
      <c r="A195" s="3" t="s">
        <v>23</v>
      </c>
      <c r="B195" s="14" t="s">
        <v>62</v>
      </c>
      <c r="C195" s="17">
        <f>4/2</f>
        <v>2</v>
      </c>
      <c r="D195" s="17">
        <f>4/2</f>
        <v>2</v>
      </c>
      <c r="E195" s="16">
        <f>4/4</f>
        <v>1</v>
      </c>
      <c r="F195" s="19">
        <f>4/5</f>
        <v>0.8</v>
      </c>
      <c r="G195" s="19">
        <f>4/3</f>
        <v>1.3333333333333333</v>
      </c>
    </row>
    <row r="196" spans="1:9" ht="16.5" thickBot="1">
      <c r="A196" s="3" t="s">
        <v>25</v>
      </c>
      <c r="B196" s="14" t="s">
        <v>50</v>
      </c>
      <c r="C196" s="19">
        <f>5/2</f>
        <v>2.5</v>
      </c>
      <c r="D196" s="19">
        <f>5/2</f>
        <v>2.5</v>
      </c>
      <c r="E196" s="19">
        <f>5/4</f>
        <v>1.25</v>
      </c>
      <c r="F196" s="16">
        <f>5/5</f>
        <v>1</v>
      </c>
      <c r="G196" s="19">
        <f>5/3</f>
        <v>1.6666666666666667</v>
      </c>
    </row>
    <row r="197" spans="1:9" ht="16.5" thickBot="1">
      <c r="A197" s="3" t="s">
        <v>27</v>
      </c>
      <c r="B197" s="14" t="s">
        <v>59</v>
      </c>
      <c r="C197" s="16">
        <f>3/2</f>
        <v>1.5</v>
      </c>
      <c r="D197" s="16">
        <f>3/2</f>
        <v>1.5</v>
      </c>
      <c r="E197" s="19">
        <f>3/4</f>
        <v>0.75</v>
      </c>
      <c r="F197" s="19">
        <f>3/5</f>
        <v>0.6</v>
      </c>
      <c r="G197" s="17">
        <f>3/3</f>
        <v>1</v>
      </c>
    </row>
    <row r="198" spans="1:9" ht="16.5" thickBot="1">
      <c r="B198" s="25" t="s">
        <v>44</v>
      </c>
      <c r="C198" s="26">
        <f>SUM(C192:C197)</f>
        <v>8</v>
      </c>
      <c r="D198" s="26">
        <f t="shared" ref="D198:G198" si="39">SUM(D192:D197)</f>
        <v>8</v>
      </c>
      <c r="E198" s="26">
        <f t="shared" si="39"/>
        <v>4</v>
      </c>
      <c r="F198" s="26">
        <f t="shared" si="39"/>
        <v>3.2</v>
      </c>
      <c r="G198" s="26">
        <f t="shared" si="39"/>
        <v>5.333333333333333</v>
      </c>
    </row>
    <row r="199" spans="1:9" ht="16.5" thickBot="1">
      <c r="B199" s="111"/>
      <c r="C199" s="112"/>
      <c r="D199" s="112"/>
      <c r="E199" s="112"/>
      <c r="F199" s="112"/>
      <c r="G199" s="112"/>
    </row>
    <row r="200" spans="1:9" ht="16.5" thickBot="1">
      <c r="B200" s="11" t="s">
        <v>41</v>
      </c>
      <c r="C200" s="14" t="s">
        <v>60</v>
      </c>
      <c r="D200" s="14" t="s">
        <v>61</v>
      </c>
      <c r="E200" s="14" t="s">
        <v>62</v>
      </c>
      <c r="F200" s="14" t="s">
        <v>50</v>
      </c>
      <c r="G200" s="14" t="s">
        <v>59</v>
      </c>
      <c r="H200" s="109" t="s">
        <v>449</v>
      </c>
      <c r="I200" s="109"/>
    </row>
    <row r="201" spans="1:9" ht="16.5" thickBot="1">
      <c r="B201" s="14" t="s">
        <v>60</v>
      </c>
      <c r="C201" s="16">
        <f>C193/C198</f>
        <v>0.125</v>
      </c>
      <c r="D201" s="16">
        <f t="shared" ref="D201:F201" si="40">D193/D198</f>
        <v>0.125</v>
      </c>
      <c r="E201" s="16">
        <f t="shared" si="40"/>
        <v>0.125</v>
      </c>
      <c r="F201" s="16">
        <f t="shared" si="40"/>
        <v>0.125</v>
      </c>
      <c r="G201" s="16">
        <f>G193/G198</f>
        <v>0.125</v>
      </c>
      <c r="H201" s="109">
        <f>SUM(C201:G201)</f>
        <v>0.625</v>
      </c>
      <c r="I201" s="114">
        <f>H201/6</f>
        <v>0.10416666666666667</v>
      </c>
    </row>
    <row r="202" spans="1:9" ht="16.5" thickBot="1">
      <c r="B202" s="14" t="s">
        <v>61</v>
      </c>
      <c r="C202" s="16">
        <f>C194/C198</f>
        <v>0.125</v>
      </c>
      <c r="D202" s="16">
        <f t="shared" ref="D202:G202" si="41">D194/D198</f>
        <v>0.125</v>
      </c>
      <c r="E202" s="16">
        <f t="shared" si="41"/>
        <v>0.125</v>
      </c>
      <c r="F202" s="16">
        <f t="shared" si="41"/>
        <v>0.125</v>
      </c>
      <c r="G202" s="16">
        <f t="shared" si="41"/>
        <v>0.125</v>
      </c>
      <c r="H202" s="109">
        <f t="shared" ref="H202:H205" si="42">SUM(C202:G202)</f>
        <v>0.625</v>
      </c>
      <c r="I202" s="114">
        <f t="shared" ref="I202:I205" si="43">H202/6</f>
        <v>0.10416666666666667</v>
      </c>
    </row>
    <row r="203" spans="1:9" ht="16.5" thickBot="1">
      <c r="B203" s="14" t="s">
        <v>62</v>
      </c>
      <c r="C203" s="16">
        <f>C195/C198</f>
        <v>0.25</v>
      </c>
      <c r="D203" s="16">
        <f t="shared" ref="D203:G203" si="44">D195/D198</f>
        <v>0.25</v>
      </c>
      <c r="E203" s="16">
        <f t="shared" si="44"/>
        <v>0.25</v>
      </c>
      <c r="F203" s="16">
        <f t="shared" si="44"/>
        <v>0.25</v>
      </c>
      <c r="G203" s="16">
        <f t="shared" si="44"/>
        <v>0.25</v>
      </c>
      <c r="H203" s="109">
        <f t="shared" si="42"/>
        <v>1.25</v>
      </c>
      <c r="I203" s="114">
        <f t="shared" si="43"/>
        <v>0.20833333333333334</v>
      </c>
    </row>
    <row r="204" spans="1:9" ht="16.5" thickBot="1">
      <c r="B204" s="14" t="s">
        <v>50</v>
      </c>
      <c r="C204" s="16">
        <f>C196/C198</f>
        <v>0.3125</v>
      </c>
      <c r="D204" s="16">
        <f t="shared" ref="D204:G204" si="45">D196/D198</f>
        <v>0.3125</v>
      </c>
      <c r="E204" s="16">
        <f t="shared" si="45"/>
        <v>0.3125</v>
      </c>
      <c r="F204" s="16">
        <f t="shared" si="45"/>
        <v>0.3125</v>
      </c>
      <c r="G204" s="16">
        <f t="shared" si="45"/>
        <v>0.31250000000000006</v>
      </c>
      <c r="H204" s="109">
        <f t="shared" si="42"/>
        <v>1.5625</v>
      </c>
      <c r="I204" s="114">
        <f t="shared" si="43"/>
        <v>0.26041666666666669</v>
      </c>
    </row>
    <row r="205" spans="1:9" ht="16.5" thickBot="1">
      <c r="B205" s="14" t="s">
        <v>59</v>
      </c>
      <c r="C205" s="16">
        <f>C197/C198</f>
        <v>0.1875</v>
      </c>
      <c r="D205" s="16">
        <f t="shared" ref="D205:G205" si="46">D197/D198</f>
        <v>0.1875</v>
      </c>
      <c r="E205" s="16">
        <f t="shared" si="46"/>
        <v>0.1875</v>
      </c>
      <c r="F205" s="16">
        <f t="shared" si="46"/>
        <v>0.18749999999999997</v>
      </c>
      <c r="G205" s="16">
        <f t="shared" si="46"/>
        <v>0.1875</v>
      </c>
      <c r="H205" s="109">
        <f t="shared" si="42"/>
        <v>0.9375</v>
      </c>
      <c r="I205" s="114">
        <f t="shared" si="43"/>
        <v>0.15625</v>
      </c>
    </row>
    <row r="207" spans="1:9" ht="15.75" thickBot="1">
      <c r="B207" s="4" t="s">
        <v>64</v>
      </c>
    </row>
    <row r="208" spans="1:9" ht="16.5" thickBot="1">
      <c r="B208" s="11" t="s">
        <v>41</v>
      </c>
      <c r="C208" s="14" t="s">
        <v>52</v>
      </c>
      <c r="D208" s="14" t="s">
        <v>57</v>
      </c>
      <c r="E208" s="14" t="s">
        <v>62</v>
      </c>
      <c r="F208" s="14" t="s">
        <v>53</v>
      </c>
      <c r="G208" s="14" t="s">
        <v>51</v>
      </c>
    </row>
    <row r="209" spans="1:9" ht="32.25" thickBot="1">
      <c r="A209" s="3" t="s">
        <v>19</v>
      </c>
      <c r="B209" s="14" t="s">
        <v>52</v>
      </c>
      <c r="C209" s="29">
        <f>4/4</f>
        <v>1</v>
      </c>
      <c r="D209" s="29">
        <f>4/5</f>
        <v>0.8</v>
      </c>
      <c r="E209" s="19">
        <f>4/4</f>
        <v>1</v>
      </c>
      <c r="F209" s="19">
        <f>4/3</f>
        <v>1.3333333333333333</v>
      </c>
      <c r="G209" s="19">
        <f>4/2</f>
        <v>2</v>
      </c>
    </row>
    <row r="210" spans="1:9" ht="16.5" thickBot="1">
      <c r="A210" s="3" t="s">
        <v>21</v>
      </c>
      <c r="B210" s="14" t="s">
        <v>57</v>
      </c>
      <c r="C210" s="19">
        <f>5/4</f>
        <v>1.25</v>
      </c>
      <c r="D210" s="17">
        <f>5/5</f>
        <v>1</v>
      </c>
      <c r="E210" s="19">
        <f>5/4</f>
        <v>1.25</v>
      </c>
      <c r="F210" s="19">
        <f>5/3</f>
        <v>1.6666666666666667</v>
      </c>
      <c r="G210" s="19">
        <f>5/2</f>
        <v>2.5</v>
      </c>
    </row>
    <row r="211" spans="1:9" ht="16.5" thickBot="1">
      <c r="A211" s="3" t="s">
        <v>23</v>
      </c>
      <c r="B211" s="14" t="s">
        <v>62</v>
      </c>
      <c r="C211" s="17">
        <f>4/4</f>
        <v>1</v>
      </c>
      <c r="D211" s="19">
        <f>4/5</f>
        <v>0.8</v>
      </c>
      <c r="E211" s="16">
        <f>4/4</f>
        <v>1</v>
      </c>
      <c r="F211" s="19">
        <f>4/3</f>
        <v>1.3333333333333333</v>
      </c>
      <c r="G211" s="19">
        <f>4/2</f>
        <v>2</v>
      </c>
    </row>
    <row r="212" spans="1:9" ht="16.5" thickBot="1">
      <c r="A212" s="3" t="s">
        <v>25</v>
      </c>
      <c r="B212" s="14" t="s">
        <v>53</v>
      </c>
      <c r="C212" s="19">
        <f>3/4</f>
        <v>0.75</v>
      </c>
      <c r="D212" s="19">
        <f>3/5</f>
        <v>0.6</v>
      </c>
      <c r="E212" s="19">
        <f>3/4</f>
        <v>0.75</v>
      </c>
      <c r="F212" s="16">
        <f>3/3</f>
        <v>1</v>
      </c>
      <c r="G212" s="19">
        <f>3/2</f>
        <v>1.5</v>
      </c>
    </row>
    <row r="213" spans="1:9" ht="16.5" thickBot="1">
      <c r="A213" s="3" t="s">
        <v>27</v>
      </c>
      <c r="B213" s="14" t="s">
        <v>51</v>
      </c>
      <c r="C213" s="16">
        <f>2/4</f>
        <v>0.5</v>
      </c>
      <c r="D213" s="16">
        <f>2/5</f>
        <v>0.4</v>
      </c>
      <c r="E213" s="19">
        <f>2/4</f>
        <v>0.5</v>
      </c>
      <c r="F213" s="19">
        <f>2/3</f>
        <v>0.66666666666666663</v>
      </c>
      <c r="G213" s="17">
        <f>2/2</f>
        <v>1</v>
      </c>
    </row>
    <row r="214" spans="1:9" ht="16.5" thickBot="1">
      <c r="B214" s="25" t="s">
        <v>44</v>
      </c>
      <c r="C214" s="26">
        <f>SUM(C208:C213)</f>
        <v>4.5</v>
      </c>
      <c r="D214" s="26">
        <f t="shared" ref="D214:G214" si="47">SUM(D208:D213)</f>
        <v>3.6</v>
      </c>
      <c r="E214" s="26">
        <f t="shared" si="47"/>
        <v>4.5</v>
      </c>
      <c r="F214" s="26">
        <f t="shared" si="47"/>
        <v>6</v>
      </c>
      <c r="G214" s="26">
        <f t="shared" si="47"/>
        <v>9</v>
      </c>
    </row>
    <row r="215" spans="1:9" ht="16.5" thickBot="1">
      <c r="B215" s="111"/>
      <c r="C215" s="112"/>
      <c r="D215" s="112"/>
      <c r="E215" s="112"/>
      <c r="F215" s="112"/>
      <c r="G215" s="112"/>
    </row>
    <row r="216" spans="1:9" ht="16.5" thickBot="1">
      <c r="B216" s="11" t="s">
        <v>41</v>
      </c>
      <c r="C216" s="14" t="s">
        <v>52</v>
      </c>
      <c r="D216" s="14" t="s">
        <v>57</v>
      </c>
      <c r="E216" s="14" t="s">
        <v>62</v>
      </c>
      <c r="F216" s="14" t="s">
        <v>53</v>
      </c>
      <c r="G216" s="14" t="s">
        <v>51</v>
      </c>
      <c r="H216" s="109"/>
      <c r="I216" s="109"/>
    </row>
    <row r="217" spans="1:9" ht="16.5" thickBot="1">
      <c r="B217" s="14" t="s">
        <v>52</v>
      </c>
      <c r="C217" s="19">
        <f>C209/C214</f>
        <v>0.22222222222222221</v>
      </c>
      <c r="D217" s="19">
        <f t="shared" ref="D217:G217" si="48">D209/D214</f>
        <v>0.22222222222222224</v>
      </c>
      <c r="E217" s="19">
        <f t="shared" si="48"/>
        <v>0.22222222222222221</v>
      </c>
      <c r="F217" s="19">
        <f t="shared" si="48"/>
        <v>0.22222222222222221</v>
      </c>
      <c r="G217" s="19">
        <f t="shared" si="48"/>
        <v>0.22222222222222221</v>
      </c>
      <c r="H217" s="114">
        <f>SUM(C217:G217)</f>
        <v>1.1111111111111112</v>
      </c>
      <c r="I217" s="114">
        <f>H217/6</f>
        <v>0.1851851851851852</v>
      </c>
    </row>
    <row r="218" spans="1:9" ht="16.5" thickBot="1">
      <c r="B218" s="14" t="s">
        <v>57</v>
      </c>
      <c r="C218" s="19">
        <f>C210/C214</f>
        <v>0.27777777777777779</v>
      </c>
      <c r="D218" s="19">
        <f t="shared" ref="D218:G218" si="49">D210/D214</f>
        <v>0.27777777777777779</v>
      </c>
      <c r="E218" s="19">
        <f t="shared" si="49"/>
        <v>0.27777777777777779</v>
      </c>
      <c r="F218" s="19">
        <f t="shared" si="49"/>
        <v>0.27777777777777779</v>
      </c>
      <c r="G218" s="19">
        <f t="shared" si="49"/>
        <v>0.27777777777777779</v>
      </c>
      <c r="H218" s="114">
        <f t="shared" ref="H218:H221" si="50">SUM(C218:G218)</f>
        <v>1.3888888888888888</v>
      </c>
      <c r="I218" s="114">
        <f t="shared" ref="I218:I221" si="51">H218/6</f>
        <v>0.23148148148148148</v>
      </c>
    </row>
    <row r="219" spans="1:9" ht="16.5" thickBot="1">
      <c r="B219" s="14" t="s">
        <v>62</v>
      </c>
      <c r="C219" s="19">
        <f>C211/C214</f>
        <v>0.22222222222222221</v>
      </c>
      <c r="D219" s="19">
        <f t="shared" ref="D219:G219" si="52">D211/D214</f>
        <v>0.22222222222222224</v>
      </c>
      <c r="E219" s="19">
        <f t="shared" si="52"/>
        <v>0.22222222222222221</v>
      </c>
      <c r="F219" s="19">
        <f t="shared" si="52"/>
        <v>0.22222222222222221</v>
      </c>
      <c r="G219" s="19">
        <f t="shared" si="52"/>
        <v>0.22222222222222221</v>
      </c>
      <c r="H219" s="114">
        <f t="shared" si="50"/>
        <v>1.1111111111111112</v>
      </c>
      <c r="I219" s="114">
        <f t="shared" si="51"/>
        <v>0.1851851851851852</v>
      </c>
    </row>
    <row r="220" spans="1:9" ht="16.5" thickBot="1">
      <c r="B220" s="14" t="s">
        <v>53</v>
      </c>
      <c r="C220" s="19">
        <f>C212/C214</f>
        <v>0.16666666666666666</v>
      </c>
      <c r="D220" s="19">
        <f t="shared" ref="D220:G220" si="53">D212/D214</f>
        <v>0.16666666666666666</v>
      </c>
      <c r="E220" s="19">
        <f t="shared" si="53"/>
        <v>0.16666666666666666</v>
      </c>
      <c r="F220" s="19">
        <f t="shared" si="53"/>
        <v>0.16666666666666666</v>
      </c>
      <c r="G220" s="19">
        <f t="shared" si="53"/>
        <v>0.16666666666666666</v>
      </c>
      <c r="H220" s="114">
        <f t="shared" si="50"/>
        <v>0.83333333333333326</v>
      </c>
      <c r="I220" s="114">
        <f t="shared" si="51"/>
        <v>0.13888888888888887</v>
      </c>
    </row>
    <row r="221" spans="1:9" ht="16.5" thickBot="1">
      <c r="B221" s="14" t="s">
        <v>51</v>
      </c>
      <c r="C221" s="19">
        <f>C213/C214</f>
        <v>0.1111111111111111</v>
      </c>
      <c r="D221" s="19">
        <f t="shared" ref="D221:G221" si="54">D213/D214</f>
        <v>0.11111111111111112</v>
      </c>
      <c r="E221" s="19">
        <f t="shared" si="54"/>
        <v>0.1111111111111111</v>
      </c>
      <c r="F221" s="19">
        <f t="shared" si="54"/>
        <v>0.1111111111111111</v>
      </c>
      <c r="G221" s="19">
        <f t="shared" si="54"/>
        <v>0.1111111111111111</v>
      </c>
      <c r="H221" s="114">
        <f t="shared" si="50"/>
        <v>0.55555555555555558</v>
      </c>
      <c r="I221" s="114">
        <f t="shared" si="51"/>
        <v>9.2592592592592601E-2</v>
      </c>
    </row>
    <row r="223" spans="1:9" ht="15.75" thickBot="1">
      <c r="B223" s="4" t="s">
        <v>462</v>
      </c>
    </row>
    <row r="224" spans="1:9" ht="16.5" thickBot="1">
      <c r="B224" s="11" t="s">
        <v>41</v>
      </c>
      <c r="C224" s="14" t="s">
        <v>52</v>
      </c>
      <c r="D224" s="14" t="s">
        <v>57</v>
      </c>
      <c r="E224" s="14" t="s">
        <v>62</v>
      </c>
      <c r="F224" s="14" t="s">
        <v>66</v>
      </c>
      <c r="G224" s="14" t="s">
        <v>59</v>
      </c>
    </row>
    <row r="225" spans="1:10" ht="32.25" thickBot="1">
      <c r="A225" s="3" t="s">
        <v>19</v>
      </c>
      <c r="B225" s="14" t="s">
        <v>52</v>
      </c>
      <c r="C225" s="16">
        <f>4/4</f>
        <v>1</v>
      </c>
      <c r="D225" s="16">
        <f>4/5</f>
        <v>0.8</v>
      </c>
      <c r="E225" s="16">
        <f t="shared" ref="E225" si="55">4/4</f>
        <v>1</v>
      </c>
      <c r="F225" s="16">
        <f>4/2</f>
        <v>2</v>
      </c>
      <c r="G225" s="19">
        <f>4/3</f>
        <v>1.3333333333333333</v>
      </c>
    </row>
    <row r="226" spans="1:10" ht="16.5" thickBot="1">
      <c r="A226" s="3" t="s">
        <v>21</v>
      </c>
      <c r="B226" s="14" t="s">
        <v>57</v>
      </c>
      <c r="C226" s="19">
        <f>5/4</f>
        <v>1.25</v>
      </c>
      <c r="D226" s="17">
        <f>5/5</f>
        <v>1</v>
      </c>
      <c r="E226" s="19">
        <f>5/4</f>
        <v>1.25</v>
      </c>
      <c r="F226" s="19">
        <f>5/2</f>
        <v>2.5</v>
      </c>
      <c r="G226" s="19">
        <f>5/3</f>
        <v>1.6666666666666667</v>
      </c>
    </row>
    <row r="227" spans="1:10" ht="16.5" thickBot="1">
      <c r="A227" s="3" t="s">
        <v>23</v>
      </c>
      <c r="B227" s="14" t="s">
        <v>62</v>
      </c>
      <c r="C227" s="17">
        <f>4/4</f>
        <v>1</v>
      </c>
      <c r="D227" s="19">
        <f>4/5</f>
        <v>0.8</v>
      </c>
      <c r="E227" s="16">
        <f>4/4</f>
        <v>1</v>
      </c>
      <c r="F227" s="19">
        <f>4/2</f>
        <v>2</v>
      </c>
      <c r="G227" s="19">
        <f>4/3</f>
        <v>1.3333333333333333</v>
      </c>
    </row>
    <row r="228" spans="1:10" ht="16.5" thickBot="1">
      <c r="A228" s="3" t="s">
        <v>25</v>
      </c>
      <c r="B228" s="14" t="s">
        <v>66</v>
      </c>
      <c r="C228" s="19">
        <f>2/4</f>
        <v>0.5</v>
      </c>
      <c r="D228" s="19">
        <f>2/5</f>
        <v>0.4</v>
      </c>
      <c r="E228" s="19">
        <f>2/4</f>
        <v>0.5</v>
      </c>
      <c r="F228" s="16">
        <f>2/2</f>
        <v>1</v>
      </c>
      <c r="G228" s="19">
        <f>2/3</f>
        <v>0.66666666666666663</v>
      </c>
    </row>
    <row r="229" spans="1:10" ht="16.5" thickBot="1">
      <c r="A229" s="3" t="s">
        <v>27</v>
      </c>
      <c r="B229" s="14" t="s">
        <v>59</v>
      </c>
      <c r="C229" s="16">
        <f>3/4</f>
        <v>0.75</v>
      </c>
      <c r="D229" s="16">
        <f>3/5</f>
        <v>0.6</v>
      </c>
      <c r="E229" s="19">
        <f>3/4</f>
        <v>0.75</v>
      </c>
      <c r="F229" s="19">
        <f>3/2</f>
        <v>1.5</v>
      </c>
      <c r="G229" s="17">
        <f>3/3</f>
        <v>1</v>
      </c>
    </row>
    <row r="230" spans="1:10" ht="16.5" thickBot="1">
      <c r="B230" s="25" t="s">
        <v>44</v>
      </c>
      <c r="C230" s="26">
        <f>SUM(C224:C229)</f>
        <v>4.5</v>
      </c>
      <c r="D230" s="26">
        <f t="shared" ref="D230:G230" si="56">SUM(D224:D229)</f>
        <v>3.6</v>
      </c>
      <c r="E230" s="26">
        <f t="shared" si="56"/>
        <v>4.5</v>
      </c>
      <c r="F230" s="26">
        <f t="shared" si="56"/>
        <v>9</v>
      </c>
      <c r="G230" s="26">
        <f t="shared" si="56"/>
        <v>6</v>
      </c>
    </row>
    <row r="231" spans="1:10" ht="15.75" thickBot="1"/>
    <row r="232" spans="1:10" ht="16.5" thickBot="1">
      <c r="B232" s="11" t="s">
        <v>41</v>
      </c>
      <c r="C232" s="14" t="s">
        <v>52</v>
      </c>
      <c r="D232" s="14" t="s">
        <v>57</v>
      </c>
      <c r="E232" s="14" t="s">
        <v>62</v>
      </c>
      <c r="F232" s="14" t="s">
        <v>66</v>
      </c>
      <c r="G232" s="14" t="s">
        <v>59</v>
      </c>
      <c r="H232" s="109"/>
      <c r="I232" s="109"/>
    </row>
    <row r="233" spans="1:10" ht="16.5" thickBot="1">
      <c r="B233" s="14" t="s">
        <v>52</v>
      </c>
      <c r="C233" s="18">
        <f>C225/C230</f>
        <v>0.22222222222222221</v>
      </c>
      <c r="D233" s="18">
        <f t="shared" ref="D233:G233" si="57">D225/D230</f>
        <v>0.22222222222222224</v>
      </c>
      <c r="E233" s="18">
        <f t="shared" si="57"/>
        <v>0.22222222222222221</v>
      </c>
      <c r="F233" s="18">
        <f t="shared" si="57"/>
        <v>0.22222222222222221</v>
      </c>
      <c r="G233" s="18">
        <f t="shared" si="57"/>
        <v>0.22222222222222221</v>
      </c>
      <c r="H233" s="117">
        <f>SUM(C233:G233)</f>
        <v>1.1111111111111112</v>
      </c>
      <c r="I233" s="114">
        <f>H233/6</f>
        <v>0.1851851851851852</v>
      </c>
    </row>
    <row r="234" spans="1:10" ht="16.5" thickBot="1">
      <c r="B234" s="14" t="s">
        <v>57</v>
      </c>
      <c r="C234" s="18">
        <f>C226/C230</f>
        <v>0.27777777777777779</v>
      </c>
      <c r="D234" s="18">
        <f t="shared" ref="D234:G234" si="58">D226/D230</f>
        <v>0.27777777777777779</v>
      </c>
      <c r="E234" s="18">
        <f t="shared" si="58"/>
        <v>0.27777777777777779</v>
      </c>
      <c r="F234" s="18">
        <f t="shared" si="58"/>
        <v>0.27777777777777779</v>
      </c>
      <c r="G234" s="18">
        <f t="shared" si="58"/>
        <v>0.27777777777777779</v>
      </c>
      <c r="H234" s="117">
        <f t="shared" ref="H234:H237" si="59">SUM(C234:G234)</f>
        <v>1.3888888888888888</v>
      </c>
      <c r="I234" s="114">
        <f t="shared" ref="I234:I237" si="60">H234/6</f>
        <v>0.23148148148148148</v>
      </c>
    </row>
    <row r="235" spans="1:10" ht="16.5" thickBot="1">
      <c r="B235" s="14" t="s">
        <v>62</v>
      </c>
      <c r="C235" s="18">
        <f>C227/C230</f>
        <v>0.22222222222222221</v>
      </c>
      <c r="D235" s="18">
        <f t="shared" ref="D235:G235" si="61">D227/D230</f>
        <v>0.22222222222222224</v>
      </c>
      <c r="E235" s="18">
        <f t="shared" si="61"/>
        <v>0.22222222222222221</v>
      </c>
      <c r="F235" s="18">
        <f t="shared" si="61"/>
        <v>0.22222222222222221</v>
      </c>
      <c r="G235" s="18">
        <f t="shared" si="61"/>
        <v>0.22222222222222221</v>
      </c>
      <c r="H235" s="117">
        <f t="shared" si="59"/>
        <v>1.1111111111111112</v>
      </c>
      <c r="I235" s="114">
        <f t="shared" si="60"/>
        <v>0.1851851851851852</v>
      </c>
    </row>
    <row r="236" spans="1:10" ht="16.5" thickBot="1">
      <c r="B236" s="14" t="s">
        <v>66</v>
      </c>
      <c r="C236" s="18">
        <f>C228/C230</f>
        <v>0.1111111111111111</v>
      </c>
      <c r="D236" s="18">
        <f t="shared" ref="D236:G236" si="62">D228/D230</f>
        <v>0.11111111111111112</v>
      </c>
      <c r="E236" s="18">
        <f t="shared" si="62"/>
        <v>0.1111111111111111</v>
      </c>
      <c r="F236" s="18">
        <f t="shared" si="62"/>
        <v>0.1111111111111111</v>
      </c>
      <c r="G236" s="18">
        <f t="shared" si="62"/>
        <v>0.1111111111111111</v>
      </c>
      <c r="H236" s="117">
        <f t="shared" si="59"/>
        <v>0.55555555555555558</v>
      </c>
      <c r="I236" s="114">
        <f t="shared" si="60"/>
        <v>9.2592592592592601E-2</v>
      </c>
    </row>
    <row r="237" spans="1:10" ht="16.5" thickBot="1">
      <c r="B237" s="14" t="s">
        <v>59</v>
      </c>
      <c r="C237" s="18">
        <f>C229/C230</f>
        <v>0.16666666666666666</v>
      </c>
      <c r="D237" s="18">
        <f t="shared" ref="D237:G237" si="63">D229/D230</f>
        <v>0.16666666666666666</v>
      </c>
      <c r="E237" s="18">
        <f t="shared" si="63"/>
        <v>0.16666666666666666</v>
      </c>
      <c r="F237" s="18">
        <f t="shared" si="63"/>
        <v>0.16666666666666666</v>
      </c>
      <c r="G237" s="18">
        <f t="shared" si="63"/>
        <v>0.16666666666666666</v>
      </c>
      <c r="H237" s="117">
        <f t="shared" si="59"/>
        <v>0.83333333333333326</v>
      </c>
      <c r="I237" s="114">
        <f t="shared" si="60"/>
        <v>0.13888888888888887</v>
      </c>
    </row>
    <row r="239" spans="1:10" ht="15.75" thickBot="1"/>
    <row r="240" spans="1:10" ht="16.5" thickBot="1">
      <c r="B240" s="11" t="s">
        <v>41</v>
      </c>
      <c r="C240" s="14" t="s">
        <v>451</v>
      </c>
      <c r="D240" s="14" t="s">
        <v>452</v>
      </c>
      <c r="E240" s="14" t="s">
        <v>453</v>
      </c>
      <c r="F240" s="14" t="s">
        <v>454</v>
      </c>
      <c r="G240" s="14" t="s">
        <v>455</v>
      </c>
      <c r="H240" s="116" t="s">
        <v>14</v>
      </c>
      <c r="I240" s="4" t="s">
        <v>463</v>
      </c>
      <c r="J240" s="4" t="s">
        <v>192</v>
      </c>
    </row>
    <row r="241" spans="1:10" ht="16.5" thickBot="1">
      <c r="B241" s="11" t="s">
        <v>461</v>
      </c>
      <c r="C241" s="118">
        <v>0.19</v>
      </c>
      <c r="D241" s="118">
        <v>0.04</v>
      </c>
      <c r="E241" s="118">
        <v>0.35</v>
      </c>
      <c r="F241" s="118">
        <v>0.12</v>
      </c>
      <c r="G241" s="118">
        <v>0.04</v>
      </c>
      <c r="H241" s="119">
        <v>0.27</v>
      </c>
    </row>
    <row r="242" spans="1:10" ht="32.25" thickBot="1">
      <c r="A242" s="3" t="s">
        <v>19</v>
      </c>
      <c r="B242" s="14" t="s">
        <v>456</v>
      </c>
      <c r="C242" s="19">
        <v>0.16</v>
      </c>
      <c r="D242" s="19">
        <v>0.21</v>
      </c>
      <c r="E242" s="19">
        <v>0.15</v>
      </c>
      <c r="F242" s="19">
        <v>0.1</v>
      </c>
      <c r="G242" s="19">
        <v>0.19</v>
      </c>
      <c r="H242" s="114">
        <v>0.19</v>
      </c>
      <c r="I242" s="115">
        <f>(C241*C242)+(D241*D242)+(E241*E242)+(F241*F242)+(G241*G242)+(H241*H242)</f>
        <v>0.16219999999999998</v>
      </c>
      <c r="J242" s="4">
        <v>3</v>
      </c>
    </row>
    <row r="243" spans="1:10" ht="16.5" thickBot="1">
      <c r="A243" s="3" t="s">
        <v>21</v>
      </c>
      <c r="B243" s="14" t="s">
        <v>457</v>
      </c>
      <c r="C243" s="19">
        <v>0.25</v>
      </c>
      <c r="D243" s="19">
        <v>0.21</v>
      </c>
      <c r="E243" s="19">
        <v>0.15</v>
      </c>
      <c r="F243" s="19">
        <v>0.1</v>
      </c>
      <c r="G243" s="19">
        <v>0.23</v>
      </c>
      <c r="H243" s="114">
        <v>0.23</v>
      </c>
      <c r="I243" s="115">
        <f>(C241*C243)+(D241*D243)+(E241*E243)+(F241*F243)+(G241*G243)+(H241*H243)</f>
        <v>0.19170000000000001</v>
      </c>
      <c r="J243" s="4">
        <v>2</v>
      </c>
    </row>
    <row r="244" spans="1:10" ht="16.5" thickBot="1">
      <c r="A244" s="3" t="s">
        <v>23</v>
      </c>
      <c r="B244" s="14" t="s">
        <v>458</v>
      </c>
      <c r="C244" s="19">
        <v>0.13</v>
      </c>
      <c r="D244" s="19">
        <v>0.16</v>
      </c>
      <c r="E244" s="19">
        <v>0.1</v>
      </c>
      <c r="F244" s="19">
        <v>0.21</v>
      </c>
      <c r="G244" s="19">
        <v>0.19</v>
      </c>
      <c r="H244" s="114">
        <v>0.19</v>
      </c>
      <c r="I244" s="115">
        <f>(C241*C244)+(D241*D244)+(E241*E244)+(F241*F244)+(G241*G244)+(H241*H244)</f>
        <v>0.1502</v>
      </c>
      <c r="J244" s="4">
        <v>4</v>
      </c>
    </row>
    <row r="245" spans="1:10" ht="16.5" thickBot="1">
      <c r="A245" s="3" t="s">
        <v>25</v>
      </c>
      <c r="B245" s="14" t="s">
        <v>459</v>
      </c>
      <c r="C245" s="19">
        <v>0.31</v>
      </c>
      <c r="D245" s="19">
        <v>0.26</v>
      </c>
      <c r="E245" s="19">
        <v>0.2</v>
      </c>
      <c r="F245" s="19">
        <v>0.26</v>
      </c>
      <c r="G245" s="19">
        <v>0.14000000000000001</v>
      </c>
      <c r="H245" s="114">
        <v>0.09</v>
      </c>
      <c r="I245" s="115">
        <f>(C241*C245)+(D241*D245)+(E241*E245)+(F241*F245)+(G241*G245)+(H241*H245)</f>
        <v>0.20039999999999997</v>
      </c>
      <c r="J245" s="4">
        <v>1</v>
      </c>
    </row>
    <row r="246" spans="1:10" ht="16.5" thickBot="1">
      <c r="A246" s="3" t="s">
        <v>27</v>
      </c>
      <c r="B246" s="14" t="s">
        <v>460</v>
      </c>
      <c r="C246" s="19">
        <v>0.13</v>
      </c>
      <c r="D246" s="19">
        <v>0.1</v>
      </c>
      <c r="E246" s="19">
        <v>0.15</v>
      </c>
      <c r="F246" s="19">
        <v>0.16</v>
      </c>
      <c r="G246" s="19">
        <v>0.09</v>
      </c>
      <c r="H246" s="114">
        <v>0.14000000000000001</v>
      </c>
      <c r="I246" s="115">
        <f>(C241*C246)+(D241*D246)+(E241*E246)+(F241*F246)+(G241*G246)+(H241*H246)</f>
        <v>0.14180000000000001</v>
      </c>
      <c r="J246" s="4">
        <v>5</v>
      </c>
    </row>
  </sheetData>
  <mergeCells count="6">
    <mergeCell ref="B1:M1"/>
    <mergeCell ref="B2:M2"/>
    <mergeCell ref="B6:C6"/>
    <mergeCell ref="B14:C14"/>
    <mergeCell ref="B16:C16"/>
    <mergeCell ref="B23:C23"/>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Sheet1</vt:lpstr>
      <vt:lpstr>Sheet2</vt:lpstr>
      <vt:lpstr>Sheet3</vt:lpstr>
      <vt:lpstr>Sheet4</vt:lpstr>
      <vt:lpstr>Sheet5</vt:lpstr>
      <vt:lpstr>Sheet1 (2)</vt:lpstr>
      <vt:lpstr>Sheet3!_GoBack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Puspasari</cp:lastModifiedBy>
  <dcterms:created xsi:type="dcterms:W3CDTF">2019-06-14T12:10:20Z</dcterms:created>
  <dcterms:modified xsi:type="dcterms:W3CDTF">2019-07-01T09:18:10Z</dcterms:modified>
</cp:coreProperties>
</file>