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498c457eda7df6/CEPAL- EE Col/Archivos de Modelación/"/>
    </mc:Choice>
  </mc:AlternateContent>
  <xr:revisionPtr revIDLastSave="285" documentId="13_ncr:1_{662819E5-4D78-4402-90DF-93B3E8D98A3E}" xr6:coauthVersionLast="47" xr6:coauthVersionMax="47" xr10:uidLastSave="{202CE8E4-F31F-416F-A425-6C238F21D2EE}"/>
  <bookViews>
    <workbookView xWindow="-120" yWindow="-120" windowWidth="29040" windowHeight="15840" xr2:uid="{31BBF228-93F8-46B4-82F0-95F4311C218F}"/>
  </bookViews>
  <sheets>
    <sheet name="2019" sheetId="3" r:id="rId1"/>
    <sheet name="Hoja2" sheetId="5" r:id="rId2"/>
    <sheet name="2018" sheetId="2" r:id="rId3"/>
    <sheet name="2017" sheetId="1" r:id="rId4"/>
    <sheet name="Hoja1" sheetId="4" r:id="rId5"/>
  </sheets>
  <definedNames>
    <definedName name="_xlnm._FilterDatabase" localSheetId="3" hidden="1">'2017'!$A$1:$AD$86</definedName>
    <definedName name="_xlnm._FilterDatabase" localSheetId="2" hidden="1">'2018'!$A$1:$AD$102</definedName>
    <definedName name="_xlnm._FilterDatabase" localSheetId="0" hidden="1">'2019'!$B$1:$AN$128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2" i="3"/>
  <c r="U3" i="3"/>
  <c r="V3" i="3"/>
  <c r="X4" i="3"/>
  <c r="Y4" i="3"/>
  <c r="U4" i="3"/>
  <c r="V4" i="3"/>
  <c r="X5" i="3"/>
  <c r="Y5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X76" i="3"/>
  <c r="Y76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U88" i="3"/>
  <c r="V88" i="3"/>
  <c r="U89" i="3"/>
  <c r="V89" i="3"/>
  <c r="U90" i="3"/>
  <c r="V90" i="3"/>
  <c r="U91" i="3"/>
  <c r="V91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99" i="3"/>
  <c r="V99" i="3"/>
  <c r="U100" i="3"/>
  <c r="V100" i="3"/>
  <c r="U101" i="3"/>
  <c r="V101" i="3"/>
  <c r="U102" i="3"/>
  <c r="V102" i="3"/>
  <c r="U103" i="3"/>
  <c r="V103" i="3"/>
  <c r="U104" i="3"/>
  <c r="V104" i="3"/>
  <c r="U105" i="3"/>
  <c r="V105" i="3"/>
  <c r="U106" i="3"/>
  <c r="V106" i="3"/>
  <c r="U107" i="3"/>
  <c r="V107" i="3"/>
  <c r="U108" i="3"/>
  <c r="V108" i="3"/>
  <c r="U109" i="3"/>
  <c r="V109" i="3"/>
  <c r="U110" i="3"/>
  <c r="V110" i="3"/>
  <c r="U111" i="3"/>
  <c r="V111" i="3"/>
  <c r="X112" i="3"/>
  <c r="Y112" i="3"/>
  <c r="U112" i="3"/>
  <c r="V112" i="3"/>
  <c r="U113" i="3"/>
  <c r="V113" i="3"/>
  <c r="U114" i="3"/>
  <c r="V114" i="3"/>
  <c r="U115" i="3"/>
  <c r="V115" i="3"/>
  <c r="U116" i="3"/>
  <c r="V116" i="3"/>
  <c r="X117" i="3"/>
  <c r="Y117" i="3"/>
  <c r="U117" i="3"/>
  <c r="V117" i="3"/>
  <c r="U118" i="3"/>
  <c r="V118" i="3"/>
  <c r="U119" i="3"/>
  <c r="V119" i="3"/>
  <c r="U120" i="3"/>
  <c r="V120" i="3"/>
  <c r="U121" i="3"/>
  <c r="V121" i="3"/>
  <c r="U122" i="3"/>
  <c r="V122" i="3"/>
  <c r="U123" i="3"/>
  <c r="V123" i="3"/>
  <c r="U124" i="3"/>
  <c r="V124" i="3"/>
  <c r="U125" i="3"/>
  <c r="V125" i="3"/>
  <c r="U126" i="3"/>
  <c r="V126" i="3"/>
  <c r="U127" i="3"/>
  <c r="V127" i="3"/>
  <c r="X2" i="3"/>
  <c r="Y2" i="3"/>
  <c r="U2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2" i="3"/>
  <c r="AC127" i="3"/>
  <c r="AD127" i="3"/>
  <c r="W127" i="3"/>
  <c r="X127" i="3"/>
  <c r="Y127" i="3"/>
  <c r="Z127" i="3"/>
  <c r="T127" i="3"/>
  <c r="AC126" i="3"/>
  <c r="AD126" i="3"/>
  <c r="W126" i="3"/>
  <c r="X126" i="3"/>
  <c r="Y126" i="3"/>
  <c r="Z126" i="3"/>
  <c r="T126" i="3"/>
  <c r="AC125" i="3"/>
  <c r="AD125" i="3"/>
  <c r="AF125" i="3"/>
  <c r="W125" i="3"/>
  <c r="X125" i="3"/>
  <c r="Y125" i="3"/>
  <c r="Z125" i="3"/>
  <c r="T125" i="3"/>
  <c r="AC124" i="3"/>
  <c r="AD124" i="3"/>
  <c r="AF124" i="3"/>
  <c r="W124" i="3"/>
  <c r="X124" i="3"/>
  <c r="Y124" i="3"/>
  <c r="Z124" i="3"/>
  <c r="T124" i="3"/>
  <c r="AC123" i="3"/>
  <c r="AD123" i="3"/>
  <c r="W123" i="3"/>
  <c r="X123" i="3"/>
  <c r="Y123" i="3"/>
  <c r="Z123" i="3"/>
  <c r="T123" i="3"/>
  <c r="AC122" i="3"/>
  <c r="AD122" i="3"/>
  <c r="W122" i="3"/>
  <c r="X122" i="3"/>
  <c r="Y122" i="3"/>
  <c r="Z122" i="3"/>
  <c r="T122" i="3"/>
  <c r="AC121" i="3"/>
  <c r="AD121" i="3"/>
  <c r="AF121" i="3"/>
  <c r="W121" i="3"/>
  <c r="X121" i="3"/>
  <c r="Y121" i="3"/>
  <c r="Z121" i="3"/>
  <c r="T121" i="3"/>
  <c r="AC120" i="3"/>
  <c r="AD120" i="3"/>
  <c r="AF120" i="3"/>
  <c r="W120" i="3"/>
  <c r="X120" i="3"/>
  <c r="Y120" i="3"/>
  <c r="Z120" i="3"/>
  <c r="T120" i="3"/>
  <c r="AC119" i="3"/>
  <c r="AD119" i="3"/>
  <c r="W119" i="3"/>
  <c r="X119" i="3"/>
  <c r="Y119" i="3"/>
  <c r="Z119" i="3"/>
  <c r="T119" i="3"/>
  <c r="AC118" i="3"/>
  <c r="AD118" i="3"/>
  <c r="W118" i="3"/>
  <c r="X118" i="3"/>
  <c r="Y118" i="3"/>
  <c r="Z118" i="3"/>
  <c r="T118" i="3"/>
  <c r="AC116" i="3"/>
  <c r="AD116" i="3"/>
  <c r="AF116" i="3"/>
  <c r="W116" i="3"/>
  <c r="X116" i="3"/>
  <c r="Y116" i="3"/>
  <c r="Z116" i="3"/>
  <c r="T116" i="3"/>
  <c r="AC115" i="3"/>
  <c r="AD115" i="3"/>
  <c r="W115" i="3"/>
  <c r="X115" i="3"/>
  <c r="Y115" i="3"/>
  <c r="Z115" i="3"/>
  <c r="T115" i="3"/>
  <c r="AC114" i="3"/>
  <c r="AD114" i="3"/>
  <c r="W114" i="3"/>
  <c r="X114" i="3"/>
  <c r="Y114" i="3"/>
  <c r="Z114" i="3"/>
  <c r="T114" i="3"/>
  <c r="AC113" i="3"/>
  <c r="AD113" i="3"/>
  <c r="W113" i="3"/>
  <c r="X113" i="3"/>
  <c r="Y113" i="3"/>
  <c r="Z113" i="3"/>
  <c r="T113" i="3"/>
  <c r="W112" i="3"/>
  <c r="AC111" i="3"/>
  <c r="AD111" i="3"/>
  <c r="AF111" i="3"/>
  <c r="W111" i="3"/>
  <c r="X111" i="3"/>
  <c r="Y111" i="3"/>
  <c r="Z111" i="3"/>
  <c r="T111" i="3"/>
  <c r="AC110" i="3"/>
  <c r="AD110" i="3"/>
  <c r="W110" i="3"/>
  <c r="X110" i="3"/>
  <c r="Y110" i="3"/>
  <c r="Z110" i="3"/>
  <c r="T110" i="3"/>
  <c r="AC109" i="3"/>
  <c r="AD109" i="3"/>
  <c r="AE109" i="3"/>
  <c r="W109" i="3"/>
  <c r="X109" i="3"/>
  <c r="Y109" i="3"/>
  <c r="Z109" i="3"/>
  <c r="T109" i="3"/>
  <c r="AC108" i="3"/>
  <c r="AD108" i="3"/>
  <c r="AF108" i="3"/>
  <c r="W108" i="3"/>
  <c r="X108" i="3"/>
  <c r="Y108" i="3"/>
  <c r="Z108" i="3"/>
  <c r="T108" i="3"/>
  <c r="AC107" i="3"/>
  <c r="AD107" i="3"/>
  <c r="AF107" i="3"/>
  <c r="W107" i="3"/>
  <c r="X107" i="3"/>
  <c r="Y107" i="3"/>
  <c r="Z107" i="3"/>
  <c r="T107" i="3"/>
  <c r="AC106" i="3"/>
  <c r="AD106" i="3"/>
  <c r="W106" i="3"/>
  <c r="X106" i="3"/>
  <c r="Y106" i="3"/>
  <c r="Z106" i="3"/>
  <c r="T106" i="3"/>
  <c r="AC105" i="3"/>
  <c r="AD105" i="3"/>
  <c r="W105" i="3"/>
  <c r="X105" i="3"/>
  <c r="Y105" i="3"/>
  <c r="Z105" i="3"/>
  <c r="T105" i="3"/>
  <c r="AC104" i="3"/>
  <c r="AD104" i="3"/>
  <c r="AF104" i="3"/>
  <c r="W104" i="3"/>
  <c r="X104" i="3"/>
  <c r="Y104" i="3"/>
  <c r="Z104" i="3"/>
  <c r="T104" i="3"/>
  <c r="AC103" i="3"/>
  <c r="AD103" i="3"/>
  <c r="AF103" i="3"/>
  <c r="W103" i="3"/>
  <c r="X103" i="3"/>
  <c r="Y103" i="3"/>
  <c r="Z103" i="3"/>
  <c r="T103" i="3"/>
  <c r="AC102" i="3"/>
  <c r="AD102" i="3"/>
  <c r="W102" i="3"/>
  <c r="X102" i="3"/>
  <c r="Y102" i="3"/>
  <c r="Z102" i="3"/>
  <c r="T102" i="3"/>
  <c r="AC101" i="3"/>
  <c r="AD101" i="3"/>
  <c r="AE101" i="3"/>
  <c r="W101" i="3"/>
  <c r="X101" i="3"/>
  <c r="Y101" i="3"/>
  <c r="Z101" i="3"/>
  <c r="T101" i="3"/>
  <c r="AC100" i="3"/>
  <c r="AD100" i="3"/>
  <c r="AF100" i="3"/>
  <c r="W100" i="3"/>
  <c r="X100" i="3"/>
  <c r="Y100" i="3"/>
  <c r="Z100" i="3"/>
  <c r="T100" i="3"/>
  <c r="AC99" i="3"/>
  <c r="AD99" i="3"/>
  <c r="AF99" i="3"/>
  <c r="W99" i="3"/>
  <c r="X99" i="3"/>
  <c r="Y99" i="3"/>
  <c r="Z99" i="3"/>
  <c r="T99" i="3"/>
  <c r="AC98" i="3"/>
  <c r="AD98" i="3"/>
  <c r="W98" i="3"/>
  <c r="X98" i="3"/>
  <c r="Y98" i="3"/>
  <c r="Z98" i="3"/>
  <c r="T98" i="3"/>
  <c r="AC97" i="3"/>
  <c r="AD97" i="3"/>
  <c r="AE97" i="3"/>
  <c r="W97" i="3"/>
  <c r="X97" i="3"/>
  <c r="Y97" i="3"/>
  <c r="Z97" i="3"/>
  <c r="T97" i="3"/>
  <c r="AC96" i="3"/>
  <c r="AD96" i="3"/>
  <c r="W96" i="3"/>
  <c r="X96" i="3"/>
  <c r="Y96" i="3"/>
  <c r="Z96" i="3"/>
  <c r="T96" i="3"/>
  <c r="AC95" i="3"/>
  <c r="AD95" i="3"/>
  <c r="AE95" i="3"/>
  <c r="W95" i="3"/>
  <c r="X95" i="3"/>
  <c r="Y95" i="3"/>
  <c r="Z95" i="3"/>
  <c r="T95" i="3"/>
  <c r="AC94" i="3"/>
  <c r="AD94" i="3"/>
  <c r="W94" i="3"/>
  <c r="X94" i="3"/>
  <c r="Y94" i="3"/>
  <c r="Z94" i="3"/>
  <c r="T94" i="3"/>
  <c r="AC93" i="3"/>
  <c r="AD93" i="3"/>
  <c r="AE93" i="3"/>
  <c r="W93" i="3"/>
  <c r="X93" i="3"/>
  <c r="Y93" i="3"/>
  <c r="Z93" i="3"/>
  <c r="T93" i="3"/>
  <c r="AC92" i="3"/>
  <c r="AD92" i="3"/>
  <c r="W92" i="3"/>
  <c r="X92" i="3"/>
  <c r="Y92" i="3"/>
  <c r="Z92" i="3"/>
  <c r="T92" i="3"/>
  <c r="AC91" i="3"/>
  <c r="AD91" i="3"/>
  <c r="W91" i="3"/>
  <c r="X91" i="3"/>
  <c r="Y91" i="3"/>
  <c r="Z91" i="3"/>
  <c r="T91" i="3"/>
  <c r="AC90" i="3"/>
  <c r="AD90" i="3"/>
  <c r="W90" i="3"/>
  <c r="X90" i="3"/>
  <c r="Y90" i="3"/>
  <c r="Z90" i="3"/>
  <c r="T90" i="3"/>
  <c r="AC89" i="3"/>
  <c r="AD89" i="3"/>
  <c r="W89" i="3"/>
  <c r="X89" i="3"/>
  <c r="Y89" i="3"/>
  <c r="Z89" i="3"/>
  <c r="T89" i="3"/>
  <c r="AC88" i="3"/>
  <c r="AD88" i="3"/>
  <c r="W88" i="3"/>
  <c r="X88" i="3"/>
  <c r="Y88" i="3"/>
  <c r="Z88" i="3"/>
  <c r="T88" i="3"/>
  <c r="AC87" i="3"/>
  <c r="AD87" i="3"/>
  <c r="AE87" i="3"/>
  <c r="W87" i="3"/>
  <c r="X87" i="3"/>
  <c r="Y87" i="3"/>
  <c r="Z87" i="3"/>
  <c r="T87" i="3"/>
  <c r="AC86" i="3"/>
  <c r="AD86" i="3"/>
  <c r="W86" i="3"/>
  <c r="X86" i="3"/>
  <c r="Y86" i="3"/>
  <c r="Z86" i="3"/>
  <c r="T86" i="3"/>
  <c r="AC85" i="3"/>
  <c r="AD85" i="3"/>
  <c r="AE85" i="3"/>
  <c r="W85" i="3"/>
  <c r="X85" i="3"/>
  <c r="Y85" i="3"/>
  <c r="Z85" i="3"/>
  <c r="T85" i="3"/>
  <c r="AC84" i="3"/>
  <c r="AD84" i="3"/>
  <c r="AE84" i="3"/>
  <c r="W84" i="3"/>
  <c r="X84" i="3"/>
  <c r="Y84" i="3"/>
  <c r="Z84" i="3"/>
  <c r="T84" i="3"/>
  <c r="AC83" i="3"/>
  <c r="AD83" i="3"/>
  <c r="W83" i="3"/>
  <c r="X83" i="3"/>
  <c r="Y83" i="3"/>
  <c r="Z83" i="3"/>
  <c r="T83" i="3"/>
  <c r="AC82" i="3"/>
  <c r="AD82" i="3"/>
  <c r="W82" i="3"/>
  <c r="X82" i="3"/>
  <c r="Y82" i="3"/>
  <c r="Z82" i="3"/>
  <c r="T82" i="3"/>
  <c r="AC81" i="3"/>
  <c r="AD81" i="3"/>
  <c r="W81" i="3"/>
  <c r="X81" i="3"/>
  <c r="Y81" i="3"/>
  <c r="Z81" i="3"/>
  <c r="T81" i="3"/>
  <c r="AC80" i="3"/>
  <c r="AD80" i="3"/>
  <c r="W80" i="3"/>
  <c r="X80" i="3"/>
  <c r="Y80" i="3"/>
  <c r="Z80" i="3"/>
  <c r="T80" i="3"/>
  <c r="AC79" i="3"/>
  <c r="AD79" i="3"/>
  <c r="W79" i="3"/>
  <c r="X79" i="3"/>
  <c r="Y79" i="3"/>
  <c r="Z79" i="3"/>
  <c r="T79" i="3"/>
  <c r="AC78" i="3"/>
  <c r="AD78" i="3"/>
  <c r="W78" i="3"/>
  <c r="X78" i="3"/>
  <c r="Y78" i="3"/>
  <c r="Z78" i="3"/>
  <c r="T78" i="3"/>
  <c r="AC77" i="3"/>
  <c r="AD77" i="3"/>
  <c r="AE77" i="3"/>
  <c r="W77" i="3"/>
  <c r="X77" i="3"/>
  <c r="Y77" i="3"/>
  <c r="Z77" i="3"/>
  <c r="T77" i="3"/>
  <c r="AC75" i="3"/>
  <c r="AD75" i="3"/>
  <c r="AF75" i="3"/>
  <c r="W75" i="3"/>
  <c r="X75" i="3"/>
  <c r="Y75" i="3"/>
  <c r="Z75" i="3"/>
  <c r="T75" i="3"/>
  <c r="AC74" i="3"/>
  <c r="AD74" i="3"/>
  <c r="AF74" i="3"/>
  <c r="W74" i="3"/>
  <c r="X74" i="3"/>
  <c r="Y74" i="3"/>
  <c r="Z74" i="3"/>
  <c r="T74" i="3"/>
  <c r="AC73" i="3"/>
  <c r="AD73" i="3"/>
  <c r="AF73" i="3"/>
  <c r="W73" i="3"/>
  <c r="X73" i="3"/>
  <c r="Y73" i="3"/>
  <c r="Z73" i="3"/>
  <c r="T73" i="3"/>
  <c r="AC72" i="3"/>
  <c r="AD72" i="3"/>
  <c r="AF72" i="3"/>
  <c r="W72" i="3"/>
  <c r="X72" i="3"/>
  <c r="Y72" i="3"/>
  <c r="Z72" i="3"/>
  <c r="T72" i="3"/>
  <c r="AC71" i="3"/>
  <c r="AD71" i="3"/>
  <c r="AF71" i="3"/>
  <c r="W71" i="3"/>
  <c r="X71" i="3"/>
  <c r="Y71" i="3"/>
  <c r="Z71" i="3"/>
  <c r="T71" i="3"/>
  <c r="AC70" i="3"/>
  <c r="AD70" i="3"/>
  <c r="AF70" i="3"/>
  <c r="W70" i="3"/>
  <c r="X70" i="3"/>
  <c r="Y70" i="3"/>
  <c r="Z70" i="3"/>
  <c r="T70" i="3"/>
  <c r="AC69" i="3"/>
  <c r="AD69" i="3"/>
  <c r="AF69" i="3"/>
  <c r="W69" i="3"/>
  <c r="X69" i="3"/>
  <c r="Y69" i="3"/>
  <c r="Z69" i="3"/>
  <c r="T69" i="3"/>
  <c r="AC68" i="3"/>
  <c r="AD68" i="3"/>
  <c r="AF68" i="3"/>
  <c r="W68" i="3"/>
  <c r="X68" i="3"/>
  <c r="Y68" i="3"/>
  <c r="Z68" i="3"/>
  <c r="T68" i="3"/>
  <c r="AC67" i="3"/>
  <c r="AD67" i="3"/>
  <c r="AF67" i="3"/>
  <c r="W67" i="3"/>
  <c r="X67" i="3"/>
  <c r="Y67" i="3"/>
  <c r="Z67" i="3"/>
  <c r="T67" i="3"/>
  <c r="AC66" i="3"/>
  <c r="AD66" i="3"/>
  <c r="AF66" i="3"/>
  <c r="W66" i="3"/>
  <c r="X66" i="3"/>
  <c r="Y66" i="3"/>
  <c r="Z66" i="3"/>
  <c r="T66" i="3"/>
  <c r="AC65" i="3"/>
  <c r="AD65" i="3"/>
  <c r="AF65" i="3"/>
  <c r="W65" i="3"/>
  <c r="X65" i="3"/>
  <c r="Y65" i="3"/>
  <c r="Z65" i="3"/>
  <c r="T65" i="3"/>
  <c r="AC64" i="3"/>
  <c r="AD64" i="3"/>
  <c r="AF64" i="3"/>
  <c r="W64" i="3"/>
  <c r="X64" i="3"/>
  <c r="Y64" i="3"/>
  <c r="Z64" i="3"/>
  <c r="T64" i="3"/>
  <c r="AC63" i="3"/>
  <c r="AD63" i="3"/>
  <c r="AF63" i="3"/>
  <c r="W63" i="3"/>
  <c r="X63" i="3"/>
  <c r="Y63" i="3"/>
  <c r="Z63" i="3"/>
  <c r="T63" i="3"/>
  <c r="AC62" i="3"/>
  <c r="AD62" i="3"/>
  <c r="AF62" i="3"/>
  <c r="W62" i="3"/>
  <c r="X62" i="3"/>
  <c r="Y62" i="3"/>
  <c r="Z62" i="3"/>
  <c r="T62" i="3"/>
  <c r="AC61" i="3"/>
  <c r="AD61" i="3"/>
  <c r="AF61" i="3"/>
  <c r="W61" i="3"/>
  <c r="X61" i="3"/>
  <c r="Y61" i="3"/>
  <c r="Z61" i="3"/>
  <c r="T61" i="3"/>
  <c r="AC60" i="3"/>
  <c r="AD60" i="3"/>
  <c r="AF60" i="3"/>
  <c r="W60" i="3"/>
  <c r="X60" i="3"/>
  <c r="Y60" i="3"/>
  <c r="Z60" i="3"/>
  <c r="T60" i="3"/>
  <c r="AC59" i="3"/>
  <c r="AD59" i="3"/>
  <c r="AF59" i="3"/>
  <c r="W59" i="3"/>
  <c r="X59" i="3"/>
  <c r="Y59" i="3"/>
  <c r="Z59" i="3"/>
  <c r="T59" i="3"/>
  <c r="AC58" i="3"/>
  <c r="AD58" i="3"/>
  <c r="AF58" i="3"/>
  <c r="W58" i="3"/>
  <c r="X58" i="3"/>
  <c r="Y58" i="3"/>
  <c r="Z58" i="3"/>
  <c r="T58" i="3"/>
  <c r="AC57" i="3"/>
  <c r="AD57" i="3"/>
  <c r="AF57" i="3"/>
  <c r="W57" i="3"/>
  <c r="X57" i="3"/>
  <c r="Y57" i="3"/>
  <c r="Z57" i="3"/>
  <c r="T57" i="3"/>
  <c r="AC56" i="3"/>
  <c r="AD56" i="3"/>
  <c r="AF56" i="3"/>
  <c r="W56" i="3"/>
  <c r="X56" i="3"/>
  <c r="Y56" i="3"/>
  <c r="Z56" i="3"/>
  <c r="T56" i="3"/>
  <c r="AC55" i="3"/>
  <c r="AD55" i="3"/>
  <c r="AF55" i="3"/>
  <c r="W55" i="3"/>
  <c r="X55" i="3"/>
  <c r="Y55" i="3"/>
  <c r="Z55" i="3"/>
  <c r="T55" i="3"/>
  <c r="AC54" i="3"/>
  <c r="AD54" i="3"/>
  <c r="AF54" i="3"/>
  <c r="W54" i="3"/>
  <c r="X54" i="3"/>
  <c r="Y54" i="3"/>
  <c r="Z54" i="3"/>
  <c r="T54" i="3"/>
  <c r="AC53" i="3"/>
  <c r="AD53" i="3"/>
  <c r="AF53" i="3"/>
  <c r="W53" i="3"/>
  <c r="X53" i="3"/>
  <c r="Y53" i="3"/>
  <c r="Z53" i="3"/>
  <c r="T53" i="3"/>
  <c r="AC52" i="3"/>
  <c r="AD52" i="3"/>
  <c r="AF52" i="3"/>
  <c r="W52" i="3"/>
  <c r="X52" i="3"/>
  <c r="Y52" i="3"/>
  <c r="Z52" i="3"/>
  <c r="T52" i="3"/>
  <c r="AC51" i="3"/>
  <c r="AD51" i="3"/>
  <c r="AF51" i="3"/>
  <c r="W51" i="3"/>
  <c r="X51" i="3"/>
  <c r="Y51" i="3"/>
  <c r="Z51" i="3"/>
  <c r="T51" i="3"/>
  <c r="AC50" i="3"/>
  <c r="AD50" i="3"/>
  <c r="AF50" i="3"/>
  <c r="W50" i="3"/>
  <c r="X50" i="3"/>
  <c r="Y50" i="3"/>
  <c r="Z50" i="3"/>
  <c r="T50" i="3"/>
  <c r="AC49" i="3"/>
  <c r="AD49" i="3"/>
  <c r="AF49" i="3"/>
  <c r="W49" i="3"/>
  <c r="X49" i="3"/>
  <c r="Y49" i="3"/>
  <c r="Z49" i="3"/>
  <c r="T49" i="3"/>
  <c r="AC48" i="3"/>
  <c r="AD48" i="3"/>
  <c r="AF48" i="3"/>
  <c r="W48" i="3"/>
  <c r="X48" i="3"/>
  <c r="Y48" i="3"/>
  <c r="Z48" i="3"/>
  <c r="T48" i="3"/>
  <c r="AC47" i="3"/>
  <c r="AD47" i="3"/>
  <c r="R47" i="3"/>
  <c r="AE47" i="3"/>
  <c r="W47" i="3"/>
  <c r="X47" i="3"/>
  <c r="Y47" i="3"/>
  <c r="T47" i="3"/>
  <c r="AC46" i="3"/>
  <c r="AD46" i="3"/>
  <c r="W46" i="3"/>
  <c r="X46" i="3"/>
  <c r="Y46" i="3"/>
  <c r="Z46" i="3"/>
  <c r="T46" i="3"/>
  <c r="AC45" i="3"/>
  <c r="AD45" i="3"/>
  <c r="AE45" i="3"/>
  <c r="W45" i="3"/>
  <c r="X45" i="3"/>
  <c r="Y45" i="3"/>
  <c r="Z45" i="3"/>
  <c r="T45" i="3"/>
  <c r="AC44" i="3"/>
  <c r="AD44" i="3"/>
  <c r="AE44" i="3"/>
  <c r="W44" i="3"/>
  <c r="X44" i="3"/>
  <c r="Y44" i="3"/>
  <c r="Z44" i="3"/>
  <c r="T44" i="3"/>
  <c r="AC43" i="3"/>
  <c r="AD43" i="3"/>
  <c r="AE43" i="3"/>
  <c r="W43" i="3"/>
  <c r="X43" i="3"/>
  <c r="Y43" i="3"/>
  <c r="Z43" i="3"/>
  <c r="T43" i="3"/>
  <c r="AC42" i="3"/>
  <c r="AD42" i="3"/>
  <c r="W42" i="3"/>
  <c r="X42" i="3"/>
  <c r="Y42" i="3"/>
  <c r="Z42" i="3"/>
  <c r="T42" i="3"/>
  <c r="AC41" i="3"/>
  <c r="AD41" i="3"/>
  <c r="AE41" i="3"/>
  <c r="W41" i="3"/>
  <c r="X41" i="3"/>
  <c r="Y41" i="3"/>
  <c r="Z41" i="3"/>
  <c r="T41" i="3"/>
  <c r="AC40" i="3"/>
  <c r="AD40" i="3"/>
  <c r="AE40" i="3"/>
  <c r="W40" i="3"/>
  <c r="X40" i="3"/>
  <c r="Y40" i="3"/>
  <c r="Z40" i="3"/>
  <c r="T40" i="3"/>
  <c r="AC39" i="3"/>
  <c r="AD39" i="3"/>
  <c r="AE39" i="3"/>
  <c r="W39" i="3"/>
  <c r="X39" i="3"/>
  <c r="Y39" i="3"/>
  <c r="Z39" i="3"/>
  <c r="T39" i="3"/>
  <c r="AC38" i="3"/>
  <c r="AD38" i="3"/>
  <c r="AF38" i="3"/>
  <c r="W38" i="3"/>
  <c r="X38" i="3"/>
  <c r="Y38" i="3"/>
  <c r="Z38" i="3"/>
  <c r="T38" i="3"/>
  <c r="AC37" i="3"/>
  <c r="AD37" i="3"/>
  <c r="AE37" i="3"/>
  <c r="W37" i="3"/>
  <c r="X37" i="3"/>
  <c r="Y37" i="3"/>
  <c r="Z37" i="3"/>
  <c r="T37" i="3"/>
  <c r="AC36" i="3"/>
  <c r="AD36" i="3"/>
  <c r="AE36" i="3"/>
  <c r="W36" i="3"/>
  <c r="X36" i="3"/>
  <c r="Y36" i="3"/>
  <c r="Z36" i="3"/>
  <c r="T36" i="3"/>
  <c r="AC35" i="3"/>
  <c r="AD35" i="3"/>
  <c r="W35" i="3"/>
  <c r="X35" i="3"/>
  <c r="Y35" i="3"/>
  <c r="Z35" i="3"/>
  <c r="T35" i="3"/>
  <c r="AC34" i="3"/>
  <c r="AD34" i="3"/>
  <c r="AF34" i="3"/>
  <c r="W34" i="3"/>
  <c r="X34" i="3"/>
  <c r="Y34" i="3"/>
  <c r="Z34" i="3"/>
  <c r="T34" i="3"/>
  <c r="AC33" i="3"/>
  <c r="AD33" i="3"/>
  <c r="AE33" i="3"/>
  <c r="W33" i="3"/>
  <c r="X33" i="3"/>
  <c r="Y33" i="3"/>
  <c r="Z33" i="3"/>
  <c r="T33" i="3"/>
  <c r="AC32" i="3"/>
  <c r="AD32" i="3"/>
  <c r="AE32" i="3"/>
  <c r="W32" i="3"/>
  <c r="X32" i="3"/>
  <c r="Y32" i="3"/>
  <c r="Z32" i="3"/>
  <c r="T32" i="3"/>
  <c r="AC31" i="3"/>
  <c r="AD31" i="3"/>
  <c r="W31" i="3"/>
  <c r="X31" i="3"/>
  <c r="Y31" i="3"/>
  <c r="Z31" i="3"/>
  <c r="T31" i="3"/>
  <c r="AC30" i="3"/>
  <c r="AD30" i="3"/>
  <c r="AF30" i="3"/>
  <c r="W30" i="3"/>
  <c r="X30" i="3"/>
  <c r="Y30" i="3"/>
  <c r="Z30" i="3"/>
  <c r="T30" i="3"/>
  <c r="AC29" i="3"/>
  <c r="AD29" i="3"/>
  <c r="W29" i="3"/>
  <c r="X29" i="3"/>
  <c r="Y29" i="3"/>
  <c r="Z29" i="3"/>
  <c r="T29" i="3"/>
  <c r="AC28" i="3"/>
  <c r="AD28" i="3"/>
  <c r="AE28" i="3"/>
  <c r="W28" i="3"/>
  <c r="X28" i="3"/>
  <c r="Y28" i="3"/>
  <c r="Z28" i="3"/>
  <c r="T28" i="3"/>
  <c r="AC27" i="3"/>
  <c r="AD27" i="3"/>
  <c r="W27" i="3"/>
  <c r="X27" i="3"/>
  <c r="Y27" i="3"/>
  <c r="Z27" i="3"/>
  <c r="T27" i="3"/>
  <c r="AC26" i="3"/>
  <c r="AD26" i="3"/>
  <c r="W26" i="3"/>
  <c r="X26" i="3"/>
  <c r="Y26" i="3"/>
  <c r="Z26" i="3"/>
  <c r="T26" i="3"/>
  <c r="AC25" i="3"/>
  <c r="AD25" i="3"/>
  <c r="W25" i="3"/>
  <c r="X25" i="3"/>
  <c r="Y25" i="3"/>
  <c r="Z25" i="3"/>
  <c r="T25" i="3"/>
  <c r="AC24" i="3"/>
  <c r="AD24" i="3"/>
  <c r="W24" i="3"/>
  <c r="X24" i="3"/>
  <c r="Y24" i="3"/>
  <c r="Z24" i="3"/>
  <c r="T24" i="3"/>
  <c r="AC23" i="3"/>
  <c r="AD23" i="3"/>
  <c r="AF23" i="3"/>
  <c r="W23" i="3"/>
  <c r="X23" i="3"/>
  <c r="Y23" i="3"/>
  <c r="Z23" i="3"/>
  <c r="T23" i="3"/>
  <c r="AC22" i="3"/>
  <c r="AD22" i="3"/>
  <c r="W22" i="3"/>
  <c r="X22" i="3"/>
  <c r="Y22" i="3"/>
  <c r="Z22" i="3"/>
  <c r="T22" i="3"/>
  <c r="AC21" i="3"/>
  <c r="AD21" i="3"/>
  <c r="W21" i="3"/>
  <c r="X21" i="3"/>
  <c r="Y21" i="3"/>
  <c r="Z21" i="3"/>
  <c r="T21" i="3"/>
  <c r="AC20" i="3"/>
  <c r="AD20" i="3"/>
  <c r="W20" i="3"/>
  <c r="X20" i="3"/>
  <c r="Y20" i="3"/>
  <c r="Z20" i="3"/>
  <c r="T20" i="3"/>
  <c r="AC19" i="3"/>
  <c r="AD19" i="3"/>
  <c r="W19" i="3"/>
  <c r="X19" i="3"/>
  <c r="Y19" i="3"/>
  <c r="Z19" i="3"/>
  <c r="T19" i="3"/>
  <c r="AC18" i="3"/>
  <c r="AD18" i="3"/>
  <c r="W18" i="3"/>
  <c r="X18" i="3"/>
  <c r="Y18" i="3"/>
  <c r="Z18" i="3"/>
  <c r="T18" i="3"/>
  <c r="AC17" i="3"/>
  <c r="AD17" i="3"/>
  <c r="W17" i="3"/>
  <c r="X17" i="3"/>
  <c r="Y17" i="3"/>
  <c r="Z17" i="3"/>
  <c r="T17" i="3"/>
  <c r="AC16" i="3"/>
  <c r="AD16" i="3"/>
  <c r="W16" i="3"/>
  <c r="X16" i="3"/>
  <c r="Y16" i="3"/>
  <c r="Z16" i="3"/>
  <c r="T16" i="3"/>
  <c r="AC15" i="3"/>
  <c r="AD15" i="3"/>
  <c r="W15" i="3"/>
  <c r="X15" i="3"/>
  <c r="Y15" i="3"/>
  <c r="Z15" i="3"/>
  <c r="T15" i="3"/>
  <c r="AC14" i="3"/>
  <c r="AD14" i="3"/>
  <c r="W14" i="3"/>
  <c r="X14" i="3"/>
  <c r="Y14" i="3"/>
  <c r="Z14" i="3"/>
  <c r="T14" i="3"/>
  <c r="AC13" i="3"/>
  <c r="AD13" i="3"/>
  <c r="W13" i="3"/>
  <c r="X13" i="3"/>
  <c r="Y13" i="3"/>
  <c r="Z13" i="3"/>
  <c r="T13" i="3"/>
  <c r="AC12" i="3"/>
  <c r="AD12" i="3"/>
  <c r="W12" i="3"/>
  <c r="X12" i="3"/>
  <c r="Y12" i="3"/>
  <c r="Z12" i="3"/>
  <c r="T12" i="3"/>
  <c r="AC11" i="3"/>
  <c r="AD11" i="3"/>
  <c r="AF11" i="3"/>
  <c r="W11" i="3"/>
  <c r="X11" i="3"/>
  <c r="Y11" i="3"/>
  <c r="Z11" i="3"/>
  <c r="T11" i="3"/>
  <c r="AC10" i="3"/>
  <c r="AD10" i="3"/>
  <c r="W10" i="3"/>
  <c r="X10" i="3"/>
  <c r="Y10" i="3"/>
  <c r="Z10" i="3"/>
  <c r="T10" i="3"/>
  <c r="AC9" i="3"/>
  <c r="AD9" i="3"/>
  <c r="W9" i="3"/>
  <c r="X9" i="3"/>
  <c r="Y9" i="3"/>
  <c r="Z9" i="3"/>
  <c r="T9" i="3"/>
  <c r="AC8" i="3"/>
  <c r="AD8" i="3"/>
  <c r="W8" i="3"/>
  <c r="X8" i="3"/>
  <c r="Y8" i="3"/>
  <c r="Z8" i="3"/>
  <c r="T8" i="3"/>
  <c r="AC7" i="3"/>
  <c r="AD7" i="3"/>
  <c r="AF7" i="3"/>
  <c r="W7" i="3"/>
  <c r="X7" i="3"/>
  <c r="Y7" i="3"/>
  <c r="Z7" i="3"/>
  <c r="T7" i="3"/>
  <c r="AC6" i="3"/>
  <c r="AD6" i="3"/>
  <c r="W6" i="3"/>
  <c r="X6" i="3"/>
  <c r="Y6" i="3"/>
  <c r="Z6" i="3"/>
  <c r="T6" i="3"/>
  <c r="AC3" i="3"/>
  <c r="AD3" i="3"/>
  <c r="W3" i="3"/>
  <c r="X3" i="3"/>
  <c r="Y3" i="3"/>
  <c r="Z3" i="3"/>
  <c r="T3" i="3"/>
  <c r="Z2" i="3"/>
  <c r="U100" i="2"/>
  <c r="V100" i="2"/>
  <c r="K100" i="2"/>
  <c r="W100" i="2"/>
  <c r="N100" i="2"/>
  <c r="O100" i="2"/>
  <c r="P100" i="2"/>
  <c r="Q100" i="2"/>
  <c r="U99" i="2"/>
  <c r="V99" i="2"/>
  <c r="W99" i="2"/>
  <c r="N99" i="2"/>
  <c r="O99" i="2"/>
  <c r="P99" i="2"/>
  <c r="Q99" i="2"/>
  <c r="R99" i="2"/>
  <c r="M99" i="2"/>
  <c r="P98" i="2"/>
  <c r="Q98" i="2"/>
  <c r="N98" i="2"/>
  <c r="U97" i="2"/>
  <c r="V97" i="2"/>
  <c r="X97" i="2"/>
  <c r="N97" i="2"/>
  <c r="O97" i="2"/>
  <c r="P97" i="2"/>
  <c r="Q97" i="2"/>
  <c r="R97" i="2"/>
  <c r="M97" i="2"/>
  <c r="U96" i="2"/>
  <c r="V96" i="2"/>
  <c r="N96" i="2"/>
  <c r="O96" i="2"/>
  <c r="P96" i="2"/>
  <c r="Q96" i="2"/>
  <c r="R96" i="2"/>
  <c r="M96" i="2"/>
  <c r="P95" i="2"/>
  <c r="Q95" i="2"/>
  <c r="U94" i="2"/>
  <c r="V94" i="2"/>
  <c r="N94" i="2"/>
  <c r="O94" i="2"/>
  <c r="P94" i="2"/>
  <c r="Q94" i="2"/>
  <c r="R94" i="2"/>
  <c r="M94" i="2"/>
  <c r="U93" i="2"/>
  <c r="V93" i="2"/>
  <c r="X93" i="2"/>
  <c r="N93" i="2"/>
  <c r="O93" i="2"/>
  <c r="P93" i="2"/>
  <c r="Q93" i="2"/>
  <c r="R93" i="2"/>
  <c r="M93" i="2"/>
  <c r="U92" i="2"/>
  <c r="V92" i="2"/>
  <c r="N92" i="2"/>
  <c r="O92" i="2"/>
  <c r="P92" i="2"/>
  <c r="Q92" i="2"/>
  <c r="R92" i="2"/>
  <c r="M92" i="2"/>
  <c r="U91" i="2"/>
  <c r="V91" i="2"/>
  <c r="X91" i="2"/>
  <c r="N91" i="2"/>
  <c r="O91" i="2"/>
  <c r="P91" i="2"/>
  <c r="Q91" i="2"/>
  <c r="R91" i="2"/>
  <c r="M91" i="2"/>
  <c r="U90" i="2"/>
  <c r="V90" i="2"/>
  <c r="W90" i="2"/>
  <c r="N90" i="2"/>
  <c r="O90" i="2"/>
  <c r="P90" i="2"/>
  <c r="Q90" i="2"/>
  <c r="R90" i="2"/>
  <c r="M90" i="2"/>
  <c r="U89" i="2"/>
  <c r="V89" i="2"/>
  <c r="X89" i="2"/>
  <c r="N89" i="2"/>
  <c r="O89" i="2"/>
  <c r="P89" i="2"/>
  <c r="Q89" i="2"/>
  <c r="R89" i="2"/>
  <c r="M89" i="2"/>
  <c r="U88" i="2"/>
  <c r="V88" i="2"/>
  <c r="N88" i="2"/>
  <c r="O88" i="2"/>
  <c r="P88" i="2"/>
  <c r="Q88" i="2"/>
  <c r="R88" i="2"/>
  <c r="M88" i="2"/>
  <c r="P87" i="2"/>
  <c r="Q87" i="2"/>
  <c r="U86" i="2"/>
  <c r="V86" i="2"/>
  <c r="X86" i="2"/>
  <c r="N86" i="2"/>
  <c r="O86" i="2"/>
  <c r="P86" i="2"/>
  <c r="Q86" i="2"/>
  <c r="R86" i="2"/>
  <c r="M86" i="2"/>
  <c r="U85" i="2"/>
  <c r="V85" i="2"/>
  <c r="N85" i="2"/>
  <c r="O85" i="2"/>
  <c r="P85" i="2"/>
  <c r="Q85" i="2"/>
  <c r="R85" i="2"/>
  <c r="M85" i="2"/>
  <c r="U84" i="2"/>
  <c r="V84" i="2"/>
  <c r="X84" i="2"/>
  <c r="N84" i="2"/>
  <c r="O84" i="2"/>
  <c r="P84" i="2"/>
  <c r="Q84" i="2"/>
  <c r="R84" i="2"/>
  <c r="M84" i="2"/>
  <c r="U83" i="2"/>
  <c r="V83" i="2"/>
  <c r="N83" i="2"/>
  <c r="O83" i="2"/>
  <c r="P83" i="2"/>
  <c r="Q83" i="2"/>
  <c r="R83" i="2"/>
  <c r="M83" i="2"/>
  <c r="P82" i="2"/>
  <c r="Q82" i="2"/>
  <c r="U81" i="2"/>
  <c r="V81" i="2"/>
  <c r="N81" i="2"/>
  <c r="O81" i="2"/>
  <c r="P81" i="2"/>
  <c r="Q81" i="2"/>
  <c r="R81" i="2"/>
  <c r="M81" i="2"/>
  <c r="U80" i="2"/>
  <c r="V80" i="2"/>
  <c r="X80" i="2"/>
  <c r="N80" i="2"/>
  <c r="O80" i="2"/>
  <c r="P80" i="2"/>
  <c r="Q80" i="2"/>
  <c r="R80" i="2"/>
  <c r="M80" i="2"/>
  <c r="U79" i="2"/>
  <c r="V79" i="2"/>
  <c r="N79" i="2"/>
  <c r="O79" i="2"/>
  <c r="P79" i="2"/>
  <c r="Q79" i="2"/>
  <c r="R79" i="2"/>
  <c r="M79" i="2"/>
  <c r="U78" i="2"/>
  <c r="V78" i="2"/>
  <c r="X78" i="2"/>
  <c r="N78" i="2"/>
  <c r="O78" i="2"/>
  <c r="P78" i="2"/>
  <c r="Q78" i="2"/>
  <c r="R78" i="2"/>
  <c r="M78" i="2"/>
  <c r="U77" i="2"/>
  <c r="V77" i="2"/>
  <c r="W77" i="2"/>
  <c r="N77" i="2"/>
  <c r="O77" i="2"/>
  <c r="P77" i="2"/>
  <c r="Q77" i="2"/>
  <c r="R77" i="2"/>
  <c r="M77" i="2"/>
  <c r="U76" i="2"/>
  <c r="V76" i="2"/>
  <c r="X76" i="2"/>
  <c r="N76" i="2"/>
  <c r="O76" i="2"/>
  <c r="P76" i="2"/>
  <c r="Q76" i="2"/>
  <c r="R76" i="2"/>
  <c r="M76" i="2"/>
  <c r="U75" i="2"/>
  <c r="V75" i="2"/>
  <c r="N75" i="2"/>
  <c r="O75" i="2"/>
  <c r="P75" i="2"/>
  <c r="Q75" i="2"/>
  <c r="R75" i="2"/>
  <c r="M75" i="2"/>
  <c r="U74" i="2"/>
  <c r="V74" i="2"/>
  <c r="X74" i="2"/>
  <c r="N74" i="2"/>
  <c r="O74" i="2"/>
  <c r="P74" i="2"/>
  <c r="Q74" i="2"/>
  <c r="R74" i="2"/>
  <c r="M74" i="2"/>
  <c r="P73" i="2"/>
  <c r="Q73" i="2"/>
  <c r="U72" i="2"/>
  <c r="V72" i="2"/>
  <c r="N72" i="2"/>
  <c r="O72" i="2"/>
  <c r="P72" i="2"/>
  <c r="Q72" i="2"/>
  <c r="R72" i="2"/>
  <c r="M72" i="2"/>
  <c r="U71" i="2"/>
  <c r="V71" i="2"/>
  <c r="W71" i="2"/>
  <c r="N71" i="2"/>
  <c r="O71" i="2"/>
  <c r="P71" i="2"/>
  <c r="Q71" i="2"/>
  <c r="R71" i="2"/>
  <c r="M71" i="2"/>
  <c r="U70" i="2"/>
  <c r="V70" i="2"/>
  <c r="N70" i="2"/>
  <c r="O70" i="2"/>
  <c r="P70" i="2"/>
  <c r="Q70" i="2"/>
  <c r="R70" i="2"/>
  <c r="M70" i="2"/>
  <c r="U69" i="2"/>
  <c r="V69" i="2"/>
  <c r="N69" i="2"/>
  <c r="O69" i="2"/>
  <c r="P69" i="2"/>
  <c r="Q69" i="2"/>
  <c r="R69" i="2"/>
  <c r="M69" i="2"/>
  <c r="U68" i="2"/>
  <c r="V68" i="2"/>
  <c r="N68" i="2"/>
  <c r="O68" i="2"/>
  <c r="P68" i="2"/>
  <c r="Q68" i="2"/>
  <c r="R68" i="2"/>
  <c r="M68" i="2"/>
  <c r="U67" i="2"/>
  <c r="V67" i="2"/>
  <c r="X67" i="2"/>
  <c r="N67" i="2"/>
  <c r="O67" i="2"/>
  <c r="P67" i="2"/>
  <c r="Q67" i="2"/>
  <c r="R67" i="2"/>
  <c r="M67" i="2"/>
  <c r="U66" i="2"/>
  <c r="V66" i="2"/>
  <c r="N66" i="2"/>
  <c r="O66" i="2"/>
  <c r="P66" i="2"/>
  <c r="Q66" i="2"/>
  <c r="R66" i="2"/>
  <c r="M66" i="2"/>
  <c r="U65" i="2"/>
  <c r="V65" i="2"/>
  <c r="N65" i="2"/>
  <c r="O65" i="2"/>
  <c r="P65" i="2"/>
  <c r="Q65" i="2"/>
  <c r="R65" i="2"/>
  <c r="M65" i="2"/>
  <c r="U64" i="2"/>
  <c r="V64" i="2"/>
  <c r="N64" i="2"/>
  <c r="O64" i="2"/>
  <c r="P64" i="2"/>
  <c r="Q64" i="2"/>
  <c r="R64" i="2"/>
  <c r="M64" i="2"/>
  <c r="U63" i="2"/>
  <c r="V63" i="2"/>
  <c r="X63" i="2"/>
  <c r="N63" i="2"/>
  <c r="O63" i="2"/>
  <c r="P63" i="2"/>
  <c r="Q63" i="2"/>
  <c r="R63" i="2"/>
  <c r="M63" i="2"/>
  <c r="U62" i="2"/>
  <c r="V62" i="2"/>
  <c r="N62" i="2"/>
  <c r="O62" i="2"/>
  <c r="P62" i="2"/>
  <c r="Q62" i="2"/>
  <c r="R62" i="2"/>
  <c r="M62" i="2"/>
  <c r="U61" i="2"/>
  <c r="V61" i="2"/>
  <c r="N61" i="2"/>
  <c r="O61" i="2"/>
  <c r="P61" i="2"/>
  <c r="Q61" i="2"/>
  <c r="R61" i="2"/>
  <c r="M61" i="2"/>
  <c r="U60" i="2"/>
  <c r="V60" i="2"/>
  <c r="W60" i="2"/>
  <c r="N60" i="2"/>
  <c r="O60" i="2"/>
  <c r="P60" i="2"/>
  <c r="Q60" i="2"/>
  <c r="R60" i="2"/>
  <c r="M60" i="2"/>
  <c r="U59" i="2"/>
  <c r="V59" i="2"/>
  <c r="X59" i="2"/>
  <c r="N59" i="2"/>
  <c r="O59" i="2"/>
  <c r="P59" i="2"/>
  <c r="Q59" i="2"/>
  <c r="R59" i="2"/>
  <c r="M59" i="2"/>
  <c r="U58" i="2"/>
  <c r="V58" i="2"/>
  <c r="N58" i="2"/>
  <c r="O58" i="2"/>
  <c r="P58" i="2"/>
  <c r="Q58" i="2"/>
  <c r="R58" i="2"/>
  <c r="M58" i="2"/>
  <c r="U57" i="2"/>
  <c r="V57" i="2"/>
  <c r="N57" i="2"/>
  <c r="O57" i="2"/>
  <c r="P57" i="2"/>
  <c r="Q57" i="2"/>
  <c r="R57" i="2"/>
  <c r="M57" i="2"/>
  <c r="U56" i="2"/>
  <c r="V56" i="2"/>
  <c r="W56" i="2"/>
  <c r="N56" i="2"/>
  <c r="O56" i="2"/>
  <c r="P56" i="2"/>
  <c r="Q56" i="2"/>
  <c r="R56" i="2"/>
  <c r="M56" i="2"/>
  <c r="U55" i="2"/>
  <c r="V55" i="2"/>
  <c r="X55" i="2"/>
  <c r="N55" i="2"/>
  <c r="O55" i="2"/>
  <c r="P55" i="2"/>
  <c r="Q55" i="2"/>
  <c r="R55" i="2"/>
  <c r="M55" i="2"/>
  <c r="U54" i="2"/>
  <c r="V54" i="2"/>
  <c r="N54" i="2"/>
  <c r="O54" i="2"/>
  <c r="P54" i="2"/>
  <c r="Q54" i="2"/>
  <c r="R54" i="2"/>
  <c r="M54" i="2"/>
  <c r="P53" i="2"/>
  <c r="Q53" i="2"/>
  <c r="R53" i="2"/>
  <c r="U52" i="2"/>
  <c r="V52" i="2"/>
  <c r="N52" i="2"/>
  <c r="O52" i="2"/>
  <c r="P52" i="2"/>
  <c r="Q52" i="2"/>
  <c r="R52" i="2"/>
  <c r="M52" i="2"/>
  <c r="U51" i="2"/>
  <c r="V51" i="2"/>
  <c r="N51" i="2"/>
  <c r="O51" i="2"/>
  <c r="P51" i="2"/>
  <c r="Q51" i="2"/>
  <c r="R51" i="2"/>
  <c r="M51" i="2"/>
  <c r="U50" i="2"/>
  <c r="V50" i="2"/>
  <c r="X50" i="2"/>
  <c r="N50" i="2"/>
  <c r="O50" i="2"/>
  <c r="P50" i="2"/>
  <c r="Q50" i="2"/>
  <c r="R50" i="2"/>
  <c r="M50" i="2"/>
  <c r="U49" i="2"/>
  <c r="V49" i="2"/>
  <c r="N49" i="2"/>
  <c r="O49" i="2"/>
  <c r="P49" i="2"/>
  <c r="Q49" i="2"/>
  <c r="R49" i="2"/>
  <c r="M49" i="2"/>
  <c r="U48" i="2"/>
  <c r="V48" i="2"/>
  <c r="N48" i="2"/>
  <c r="O48" i="2"/>
  <c r="P48" i="2"/>
  <c r="Q48" i="2"/>
  <c r="R48" i="2"/>
  <c r="M48" i="2"/>
  <c r="U47" i="2"/>
  <c r="V47" i="2"/>
  <c r="W47" i="2"/>
  <c r="N47" i="2"/>
  <c r="O47" i="2"/>
  <c r="P47" i="2"/>
  <c r="Q47" i="2"/>
  <c r="R47" i="2"/>
  <c r="M47" i="2"/>
  <c r="U46" i="2"/>
  <c r="V46" i="2"/>
  <c r="N46" i="2"/>
  <c r="O46" i="2"/>
  <c r="P46" i="2"/>
  <c r="Q46" i="2"/>
  <c r="R46" i="2"/>
  <c r="M46" i="2"/>
  <c r="U45" i="2"/>
  <c r="V45" i="2"/>
  <c r="N45" i="2"/>
  <c r="O45" i="2"/>
  <c r="P45" i="2"/>
  <c r="Q45" i="2"/>
  <c r="R45" i="2"/>
  <c r="M45" i="2"/>
  <c r="U44" i="2"/>
  <c r="V44" i="2"/>
  <c r="W44" i="2"/>
  <c r="N44" i="2"/>
  <c r="O44" i="2"/>
  <c r="P44" i="2"/>
  <c r="Q44" i="2"/>
  <c r="R44" i="2"/>
  <c r="M44" i="2"/>
  <c r="U43" i="2"/>
  <c r="V43" i="2"/>
  <c r="N43" i="2"/>
  <c r="O43" i="2"/>
  <c r="P43" i="2"/>
  <c r="Q43" i="2"/>
  <c r="R43" i="2"/>
  <c r="M43" i="2"/>
  <c r="U42" i="2"/>
  <c r="V42" i="2"/>
  <c r="W42" i="2"/>
  <c r="N42" i="2"/>
  <c r="O42" i="2"/>
  <c r="P42" i="2"/>
  <c r="Q42" i="2"/>
  <c r="R42" i="2"/>
  <c r="M42" i="2"/>
  <c r="U41" i="2"/>
  <c r="V41" i="2"/>
  <c r="W41" i="2"/>
  <c r="N41" i="2"/>
  <c r="O41" i="2"/>
  <c r="P41" i="2"/>
  <c r="Q41" i="2"/>
  <c r="R41" i="2"/>
  <c r="M41" i="2"/>
  <c r="U40" i="2"/>
  <c r="V40" i="2"/>
  <c r="W40" i="2"/>
  <c r="N40" i="2"/>
  <c r="O40" i="2"/>
  <c r="P40" i="2"/>
  <c r="Q40" i="2"/>
  <c r="R40" i="2"/>
  <c r="M40" i="2"/>
  <c r="U39" i="2"/>
  <c r="V39" i="2"/>
  <c r="N39" i="2"/>
  <c r="O39" i="2"/>
  <c r="P39" i="2"/>
  <c r="Q39" i="2"/>
  <c r="R39" i="2"/>
  <c r="M39" i="2"/>
  <c r="U38" i="2"/>
  <c r="V38" i="2"/>
  <c r="X38" i="2"/>
  <c r="N38" i="2"/>
  <c r="O38" i="2"/>
  <c r="P38" i="2"/>
  <c r="Q38" i="2"/>
  <c r="R38" i="2"/>
  <c r="M38" i="2"/>
  <c r="U37" i="2"/>
  <c r="V37" i="2"/>
  <c r="X37" i="2"/>
  <c r="N37" i="2"/>
  <c r="O37" i="2"/>
  <c r="P37" i="2"/>
  <c r="Q37" i="2"/>
  <c r="R37" i="2"/>
  <c r="M37" i="2"/>
  <c r="U36" i="2"/>
  <c r="V36" i="2"/>
  <c r="W36" i="2"/>
  <c r="N36" i="2"/>
  <c r="O36" i="2"/>
  <c r="P36" i="2"/>
  <c r="Q36" i="2"/>
  <c r="R36" i="2"/>
  <c r="M36" i="2"/>
  <c r="U35" i="2"/>
  <c r="V35" i="2"/>
  <c r="N35" i="2"/>
  <c r="O35" i="2"/>
  <c r="P35" i="2"/>
  <c r="Q35" i="2"/>
  <c r="R35" i="2"/>
  <c r="M35" i="2"/>
  <c r="U34" i="2"/>
  <c r="V34" i="2"/>
  <c r="N34" i="2"/>
  <c r="O34" i="2"/>
  <c r="P34" i="2"/>
  <c r="Q34" i="2"/>
  <c r="R34" i="2"/>
  <c r="M34" i="2"/>
  <c r="U33" i="2"/>
  <c r="V33" i="2"/>
  <c r="X33" i="2"/>
  <c r="N33" i="2"/>
  <c r="O33" i="2"/>
  <c r="P33" i="2"/>
  <c r="Q33" i="2"/>
  <c r="R33" i="2"/>
  <c r="M33" i="2"/>
  <c r="U32" i="2"/>
  <c r="V32" i="2"/>
  <c r="W32" i="2"/>
  <c r="N32" i="2"/>
  <c r="O32" i="2"/>
  <c r="P32" i="2"/>
  <c r="Q32" i="2"/>
  <c r="R32" i="2"/>
  <c r="M32" i="2"/>
  <c r="U31" i="2"/>
  <c r="V31" i="2"/>
  <c r="W31" i="2"/>
  <c r="N31" i="2"/>
  <c r="O31" i="2"/>
  <c r="P31" i="2"/>
  <c r="Q31" i="2"/>
  <c r="R31" i="2"/>
  <c r="M31" i="2"/>
  <c r="U30" i="2"/>
  <c r="V30" i="2"/>
  <c r="X30" i="2"/>
  <c r="N30" i="2"/>
  <c r="O30" i="2"/>
  <c r="P30" i="2"/>
  <c r="Q30" i="2"/>
  <c r="R30" i="2"/>
  <c r="M30" i="2"/>
  <c r="U29" i="2"/>
  <c r="V29" i="2"/>
  <c r="X29" i="2"/>
  <c r="N29" i="2"/>
  <c r="O29" i="2"/>
  <c r="P29" i="2"/>
  <c r="Q29" i="2"/>
  <c r="R29" i="2"/>
  <c r="M29" i="2"/>
  <c r="U28" i="2"/>
  <c r="V28" i="2"/>
  <c r="N28" i="2"/>
  <c r="O28" i="2"/>
  <c r="P28" i="2"/>
  <c r="Q28" i="2"/>
  <c r="R28" i="2"/>
  <c r="M28" i="2"/>
  <c r="U27" i="2"/>
  <c r="V27" i="2"/>
  <c r="N27" i="2"/>
  <c r="O27" i="2"/>
  <c r="P27" i="2"/>
  <c r="Q27" i="2"/>
  <c r="R27" i="2"/>
  <c r="M27" i="2"/>
  <c r="U26" i="2"/>
  <c r="V26" i="2"/>
  <c r="W26" i="2"/>
  <c r="N26" i="2"/>
  <c r="O26" i="2"/>
  <c r="P26" i="2"/>
  <c r="Q26" i="2"/>
  <c r="R26" i="2"/>
  <c r="M26" i="2"/>
  <c r="U25" i="2"/>
  <c r="V25" i="2"/>
  <c r="W25" i="2"/>
  <c r="N25" i="2"/>
  <c r="O25" i="2"/>
  <c r="P25" i="2"/>
  <c r="Q25" i="2"/>
  <c r="R25" i="2"/>
  <c r="M25" i="2"/>
  <c r="U24" i="2"/>
  <c r="V24" i="2"/>
  <c r="W24" i="2"/>
  <c r="N24" i="2"/>
  <c r="O24" i="2"/>
  <c r="P24" i="2"/>
  <c r="Q24" i="2"/>
  <c r="R24" i="2"/>
  <c r="M24" i="2"/>
  <c r="U23" i="2"/>
  <c r="V23" i="2"/>
  <c r="N23" i="2"/>
  <c r="O23" i="2"/>
  <c r="P23" i="2"/>
  <c r="Q23" i="2"/>
  <c r="R23" i="2"/>
  <c r="M23" i="2"/>
  <c r="U22" i="2"/>
  <c r="V22" i="2"/>
  <c r="N22" i="2"/>
  <c r="O22" i="2"/>
  <c r="P22" i="2"/>
  <c r="Q22" i="2"/>
  <c r="R22" i="2"/>
  <c r="M22" i="2"/>
  <c r="U21" i="2"/>
  <c r="V21" i="2"/>
  <c r="X21" i="2"/>
  <c r="N21" i="2"/>
  <c r="O21" i="2"/>
  <c r="P21" i="2"/>
  <c r="Q21" i="2"/>
  <c r="R21" i="2"/>
  <c r="M21" i="2"/>
  <c r="U20" i="2"/>
  <c r="V20" i="2"/>
  <c r="W20" i="2"/>
  <c r="N20" i="2"/>
  <c r="O20" i="2"/>
  <c r="P20" i="2"/>
  <c r="Q20" i="2"/>
  <c r="R20" i="2"/>
  <c r="M20" i="2"/>
  <c r="U19" i="2"/>
  <c r="V19" i="2"/>
  <c r="N19" i="2"/>
  <c r="O19" i="2"/>
  <c r="P19" i="2"/>
  <c r="Q19" i="2"/>
  <c r="R19" i="2"/>
  <c r="M19" i="2"/>
  <c r="U18" i="2"/>
  <c r="V18" i="2"/>
  <c r="N18" i="2"/>
  <c r="O18" i="2"/>
  <c r="P18" i="2"/>
  <c r="Q18" i="2"/>
  <c r="R18" i="2"/>
  <c r="M18" i="2"/>
  <c r="U17" i="2"/>
  <c r="V17" i="2"/>
  <c r="X17" i="2"/>
  <c r="N17" i="2"/>
  <c r="O17" i="2"/>
  <c r="P17" i="2"/>
  <c r="Q17" i="2"/>
  <c r="R17" i="2"/>
  <c r="M17" i="2"/>
  <c r="U16" i="2"/>
  <c r="V16" i="2"/>
  <c r="W16" i="2"/>
  <c r="N16" i="2"/>
  <c r="O16" i="2"/>
  <c r="P16" i="2"/>
  <c r="Q16" i="2"/>
  <c r="R16" i="2"/>
  <c r="M16" i="2"/>
  <c r="U15" i="2"/>
  <c r="V15" i="2"/>
  <c r="W15" i="2"/>
  <c r="N15" i="2"/>
  <c r="O15" i="2"/>
  <c r="P15" i="2"/>
  <c r="Q15" i="2"/>
  <c r="R15" i="2"/>
  <c r="M15" i="2"/>
  <c r="U14" i="2"/>
  <c r="V14" i="2"/>
  <c r="N14" i="2"/>
  <c r="O14" i="2"/>
  <c r="P14" i="2"/>
  <c r="Q14" i="2"/>
  <c r="R14" i="2"/>
  <c r="M14" i="2"/>
  <c r="U13" i="2"/>
  <c r="V13" i="2"/>
  <c r="N13" i="2"/>
  <c r="O13" i="2"/>
  <c r="P13" i="2"/>
  <c r="Q13" i="2"/>
  <c r="R13" i="2"/>
  <c r="M13" i="2"/>
  <c r="U12" i="2"/>
  <c r="V12" i="2"/>
  <c r="W12" i="2"/>
  <c r="N12" i="2"/>
  <c r="O12" i="2"/>
  <c r="P12" i="2"/>
  <c r="Q12" i="2"/>
  <c r="R12" i="2"/>
  <c r="M12" i="2"/>
  <c r="U11" i="2"/>
  <c r="V11" i="2"/>
  <c r="N11" i="2"/>
  <c r="O11" i="2"/>
  <c r="P11" i="2"/>
  <c r="Q11" i="2"/>
  <c r="R11" i="2"/>
  <c r="M11" i="2"/>
  <c r="U10" i="2"/>
  <c r="V10" i="2"/>
  <c r="W10" i="2"/>
  <c r="N10" i="2"/>
  <c r="O10" i="2"/>
  <c r="P10" i="2"/>
  <c r="Q10" i="2"/>
  <c r="R10" i="2"/>
  <c r="M10" i="2"/>
  <c r="U9" i="2"/>
  <c r="V9" i="2"/>
  <c r="N9" i="2"/>
  <c r="O9" i="2"/>
  <c r="P9" i="2"/>
  <c r="Q9" i="2"/>
  <c r="R9" i="2"/>
  <c r="M9" i="2"/>
  <c r="U8" i="2"/>
  <c r="V8" i="2"/>
  <c r="N8" i="2"/>
  <c r="O8" i="2"/>
  <c r="P8" i="2"/>
  <c r="Q8" i="2"/>
  <c r="R8" i="2"/>
  <c r="M8" i="2"/>
  <c r="U7" i="2"/>
  <c r="V7" i="2"/>
  <c r="N7" i="2"/>
  <c r="O7" i="2"/>
  <c r="P7" i="2"/>
  <c r="Q7" i="2"/>
  <c r="R7" i="2"/>
  <c r="M7" i="2"/>
  <c r="U6" i="2"/>
  <c r="V6" i="2"/>
  <c r="N6" i="2"/>
  <c r="O6" i="2"/>
  <c r="P6" i="2"/>
  <c r="Q6" i="2"/>
  <c r="R6" i="2"/>
  <c r="M6" i="2"/>
  <c r="U5" i="2"/>
  <c r="V5" i="2"/>
  <c r="N5" i="2"/>
  <c r="O5" i="2"/>
  <c r="P5" i="2"/>
  <c r="Q5" i="2"/>
  <c r="R5" i="2"/>
  <c r="M5" i="2"/>
  <c r="P4" i="2"/>
  <c r="Q4" i="2"/>
  <c r="U3" i="2"/>
  <c r="V3" i="2"/>
  <c r="N3" i="2"/>
  <c r="O3" i="2"/>
  <c r="P3" i="2"/>
  <c r="Q3" i="2"/>
  <c r="R3" i="2"/>
  <c r="M3" i="2"/>
  <c r="P2" i="2"/>
  <c r="Q2" i="2"/>
  <c r="U84" i="1"/>
  <c r="V84" i="1"/>
  <c r="N84" i="1"/>
  <c r="O84" i="1"/>
  <c r="P84" i="1"/>
  <c r="Q84" i="1"/>
  <c r="R84" i="1"/>
  <c r="M84" i="1"/>
  <c r="U83" i="1"/>
  <c r="V83" i="1"/>
  <c r="W83" i="1"/>
  <c r="N83" i="1"/>
  <c r="O83" i="1"/>
  <c r="P83" i="1"/>
  <c r="Q83" i="1"/>
  <c r="R83" i="1"/>
  <c r="M83" i="1"/>
  <c r="U82" i="1"/>
  <c r="V82" i="1"/>
  <c r="N82" i="1"/>
  <c r="O82" i="1"/>
  <c r="P82" i="1"/>
  <c r="Q82" i="1"/>
  <c r="R82" i="1"/>
  <c r="M82" i="1"/>
  <c r="U81" i="1"/>
  <c r="V81" i="1"/>
  <c r="N81" i="1"/>
  <c r="O81" i="1"/>
  <c r="P81" i="1"/>
  <c r="Q81" i="1"/>
  <c r="R81" i="1"/>
  <c r="M81" i="1"/>
  <c r="U80" i="1"/>
  <c r="V80" i="1"/>
  <c r="N80" i="1"/>
  <c r="O80" i="1"/>
  <c r="P80" i="1"/>
  <c r="Q80" i="1"/>
  <c r="R80" i="1"/>
  <c r="M80" i="1"/>
  <c r="U79" i="1"/>
  <c r="V79" i="1"/>
  <c r="W79" i="1"/>
  <c r="N79" i="1"/>
  <c r="O79" i="1"/>
  <c r="P79" i="1"/>
  <c r="Q79" i="1"/>
  <c r="R79" i="1"/>
  <c r="M79" i="1"/>
  <c r="U78" i="1"/>
  <c r="V78" i="1"/>
  <c r="N78" i="1"/>
  <c r="O78" i="1"/>
  <c r="P78" i="1"/>
  <c r="Q78" i="1"/>
  <c r="R78" i="1"/>
  <c r="M78" i="1"/>
  <c r="U77" i="1"/>
  <c r="V77" i="1"/>
  <c r="N77" i="1"/>
  <c r="O77" i="1"/>
  <c r="P77" i="1"/>
  <c r="Q77" i="1"/>
  <c r="R77" i="1"/>
  <c r="M77" i="1"/>
  <c r="U76" i="1"/>
  <c r="V76" i="1"/>
  <c r="N76" i="1"/>
  <c r="O76" i="1"/>
  <c r="P76" i="1"/>
  <c r="Q76" i="1"/>
  <c r="R76" i="1"/>
  <c r="M76" i="1"/>
  <c r="U75" i="1"/>
  <c r="V75" i="1"/>
  <c r="W75" i="1"/>
  <c r="N75" i="1"/>
  <c r="O75" i="1"/>
  <c r="P75" i="1"/>
  <c r="Q75" i="1"/>
  <c r="R75" i="1"/>
  <c r="M75" i="1"/>
  <c r="U74" i="1"/>
  <c r="V74" i="1"/>
  <c r="N74" i="1"/>
  <c r="O74" i="1"/>
  <c r="P74" i="1"/>
  <c r="Q74" i="1"/>
  <c r="R74" i="1"/>
  <c r="M74" i="1"/>
  <c r="U73" i="1"/>
  <c r="V73" i="1"/>
  <c r="N73" i="1"/>
  <c r="O73" i="1"/>
  <c r="P73" i="1"/>
  <c r="Q73" i="1"/>
  <c r="R73" i="1"/>
  <c r="M73" i="1"/>
  <c r="U72" i="1"/>
  <c r="V72" i="1"/>
  <c r="N72" i="1"/>
  <c r="O72" i="1"/>
  <c r="P72" i="1"/>
  <c r="Q72" i="1"/>
  <c r="R72" i="1"/>
  <c r="M72" i="1"/>
  <c r="U71" i="1"/>
  <c r="V71" i="1"/>
  <c r="W71" i="1"/>
  <c r="N71" i="1"/>
  <c r="O71" i="1"/>
  <c r="P71" i="1"/>
  <c r="Q71" i="1"/>
  <c r="R71" i="1"/>
  <c r="M71" i="1"/>
  <c r="U70" i="1"/>
  <c r="V70" i="1"/>
  <c r="N70" i="1"/>
  <c r="O70" i="1"/>
  <c r="P70" i="1"/>
  <c r="Q70" i="1"/>
  <c r="R70" i="1"/>
  <c r="M70" i="1"/>
  <c r="U69" i="1"/>
  <c r="V69" i="1"/>
  <c r="N69" i="1"/>
  <c r="O69" i="1"/>
  <c r="P69" i="1"/>
  <c r="Q69" i="1"/>
  <c r="R69" i="1"/>
  <c r="M69" i="1"/>
  <c r="U68" i="1"/>
  <c r="V68" i="1"/>
  <c r="N68" i="1"/>
  <c r="O68" i="1"/>
  <c r="P68" i="1"/>
  <c r="Q68" i="1"/>
  <c r="R68" i="1"/>
  <c r="M68" i="1"/>
  <c r="U67" i="1"/>
  <c r="V67" i="1"/>
  <c r="W67" i="1"/>
  <c r="N67" i="1"/>
  <c r="O67" i="1"/>
  <c r="P67" i="1"/>
  <c r="Q67" i="1"/>
  <c r="R67" i="1"/>
  <c r="M67" i="1"/>
  <c r="U66" i="1"/>
  <c r="V66" i="1"/>
  <c r="N66" i="1"/>
  <c r="O66" i="1"/>
  <c r="P66" i="1"/>
  <c r="Q66" i="1"/>
  <c r="R66" i="1"/>
  <c r="M66" i="1"/>
  <c r="U65" i="1"/>
  <c r="V65" i="1"/>
  <c r="N65" i="1"/>
  <c r="O65" i="1"/>
  <c r="P65" i="1"/>
  <c r="Q65" i="1"/>
  <c r="R65" i="1"/>
  <c r="M65" i="1"/>
  <c r="U64" i="1"/>
  <c r="V64" i="1"/>
  <c r="N64" i="1"/>
  <c r="O64" i="1"/>
  <c r="P64" i="1"/>
  <c r="Q64" i="1"/>
  <c r="R64" i="1"/>
  <c r="M64" i="1"/>
  <c r="U63" i="1"/>
  <c r="V63" i="1"/>
  <c r="W63" i="1"/>
  <c r="N63" i="1"/>
  <c r="O63" i="1"/>
  <c r="P63" i="1"/>
  <c r="Q63" i="1"/>
  <c r="R63" i="1"/>
  <c r="M63" i="1"/>
  <c r="U62" i="1"/>
  <c r="V62" i="1"/>
  <c r="N62" i="1"/>
  <c r="O62" i="1"/>
  <c r="P62" i="1"/>
  <c r="Q62" i="1"/>
  <c r="R62" i="1"/>
  <c r="M62" i="1"/>
  <c r="U61" i="1"/>
  <c r="V61" i="1"/>
  <c r="N61" i="1"/>
  <c r="O61" i="1"/>
  <c r="P61" i="1"/>
  <c r="Q61" i="1"/>
  <c r="R61" i="1"/>
  <c r="M61" i="1"/>
  <c r="U60" i="1"/>
  <c r="V60" i="1"/>
  <c r="N60" i="1"/>
  <c r="O60" i="1"/>
  <c r="P60" i="1"/>
  <c r="Q60" i="1"/>
  <c r="R60" i="1"/>
  <c r="M60" i="1"/>
  <c r="U59" i="1"/>
  <c r="V59" i="1"/>
  <c r="W59" i="1"/>
  <c r="N59" i="1"/>
  <c r="O59" i="1"/>
  <c r="P59" i="1"/>
  <c r="Q59" i="1"/>
  <c r="R59" i="1"/>
  <c r="M59" i="1"/>
  <c r="U58" i="1"/>
  <c r="V58" i="1"/>
  <c r="N58" i="1"/>
  <c r="O58" i="1"/>
  <c r="P58" i="1"/>
  <c r="Q58" i="1"/>
  <c r="R58" i="1"/>
  <c r="M58" i="1"/>
  <c r="P57" i="1"/>
  <c r="Q57" i="1"/>
  <c r="U56" i="1"/>
  <c r="V56" i="1"/>
  <c r="N56" i="1"/>
  <c r="O56" i="1"/>
  <c r="P56" i="1"/>
  <c r="Q56" i="1"/>
  <c r="R56" i="1"/>
  <c r="M56" i="1"/>
  <c r="U55" i="1"/>
  <c r="V55" i="1"/>
  <c r="K55" i="1"/>
  <c r="W55" i="1"/>
  <c r="N55" i="1"/>
  <c r="O55" i="1"/>
  <c r="P55" i="1"/>
  <c r="Q55" i="1"/>
  <c r="R55" i="1"/>
  <c r="U54" i="1"/>
  <c r="V54" i="1"/>
  <c r="N54" i="1"/>
  <c r="O54" i="1"/>
  <c r="P54" i="1"/>
  <c r="Q54" i="1"/>
  <c r="R54" i="1"/>
  <c r="M54" i="1"/>
  <c r="U53" i="1"/>
  <c r="V53" i="1"/>
  <c r="W53" i="1"/>
  <c r="N53" i="1"/>
  <c r="O53" i="1"/>
  <c r="P53" i="1"/>
  <c r="Q53" i="1"/>
  <c r="R53" i="1"/>
  <c r="M53" i="1"/>
  <c r="U52" i="1"/>
  <c r="V52" i="1"/>
  <c r="N52" i="1"/>
  <c r="O52" i="1"/>
  <c r="P52" i="1"/>
  <c r="Q52" i="1"/>
  <c r="R52" i="1"/>
  <c r="M52" i="1"/>
  <c r="U51" i="1"/>
  <c r="V51" i="1"/>
  <c r="N51" i="1"/>
  <c r="O51" i="1"/>
  <c r="P51" i="1"/>
  <c r="Q51" i="1"/>
  <c r="R51" i="1"/>
  <c r="M51" i="1"/>
  <c r="P50" i="1"/>
  <c r="Q50" i="1"/>
  <c r="U49" i="1"/>
  <c r="V49" i="1"/>
  <c r="N49" i="1"/>
  <c r="O49" i="1"/>
  <c r="P49" i="1"/>
  <c r="Q49" i="1"/>
  <c r="R49" i="1"/>
  <c r="M49" i="1"/>
  <c r="U48" i="1"/>
  <c r="V48" i="1"/>
  <c r="N48" i="1"/>
  <c r="O48" i="1"/>
  <c r="P48" i="1"/>
  <c r="Q48" i="1"/>
  <c r="R48" i="1"/>
  <c r="M48" i="1"/>
  <c r="U47" i="1"/>
  <c r="V47" i="1"/>
  <c r="W47" i="1"/>
  <c r="N47" i="1"/>
  <c r="O47" i="1"/>
  <c r="P47" i="1"/>
  <c r="Q47" i="1"/>
  <c r="R47" i="1"/>
  <c r="M47" i="1"/>
  <c r="U46" i="1"/>
  <c r="V46" i="1"/>
  <c r="N46" i="1"/>
  <c r="O46" i="1"/>
  <c r="P46" i="1"/>
  <c r="Q46" i="1"/>
  <c r="R46" i="1"/>
  <c r="M46" i="1"/>
  <c r="U45" i="1"/>
  <c r="V45" i="1"/>
  <c r="N45" i="1"/>
  <c r="O45" i="1"/>
  <c r="P45" i="1"/>
  <c r="Q45" i="1"/>
  <c r="R45" i="1"/>
  <c r="M45" i="1"/>
  <c r="U44" i="1"/>
  <c r="V44" i="1"/>
  <c r="N44" i="1"/>
  <c r="O44" i="1"/>
  <c r="P44" i="1"/>
  <c r="Q44" i="1"/>
  <c r="R44" i="1"/>
  <c r="M44" i="1"/>
  <c r="U43" i="1"/>
  <c r="V43" i="1"/>
  <c r="W43" i="1"/>
  <c r="N43" i="1"/>
  <c r="O43" i="1"/>
  <c r="P43" i="1"/>
  <c r="Q43" i="1"/>
  <c r="R43" i="1"/>
  <c r="M43" i="1"/>
  <c r="U42" i="1"/>
  <c r="V42" i="1"/>
  <c r="N42" i="1"/>
  <c r="O42" i="1"/>
  <c r="P42" i="1"/>
  <c r="Q42" i="1"/>
  <c r="R42" i="1"/>
  <c r="M42" i="1"/>
  <c r="U41" i="1"/>
  <c r="V41" i="1"/>
  <c r="N41" i="1"/>
  <c r="O41" i="1"/>
  <c r="P41" i="1"/>
  <c r="Q41" i="1"/>
  <c r="R41" i="1"/>
  <c r="M41" i="1"/>
  <c r="U40" i="1"/>
  <c r="V40" i="1"/>
  <c r="N40" i="1"/>
  <c r="O40" i="1"/>
  <c r="P40" i="1"/>
  <c r="Q40" i="1"/>
  <c r="R40" i="1"/>
  <c r="M40" i="1"/>
  <c r="U39" i="1"/>
  <c r="V39" i="1"/>
  <c r="N39" i="1"/>
  <c r="O39" i="1"/>
  <c r="P39" i="1"/>
  <c r="Q39" i="1"/>
  <c r="R39" i="1"/>
  <c r="M39" i="1"/>
  <c r="U38" i="1"/>
  <c r="V38" i="1"/>
  <c r="N38" i="1"/>
  <c r="O38" i="1"/>
  <c r="P38" i="1"/>
  <c r="Q38" i="1"/>
  <c r="R38" i="1"/>
  <c r="M38" i="1"/>
  <c r="U37" i="1"/>
  <c r="V37" i="1"/>
  <c r="N37" i="1"/>
  <c r="O37" i="1"/>
  <c r="P37" i="1"/>
  <c r="Q37" i="1"/>
  <c r="R37" i="1"/>
  <c r="M37" i="1"/>
  <c r="U36" i="1"/>
  <c r="V36" i="1"/>
  <c r="N36" i="1"/>
  <c r="O36" i="1"/>
  <c r="P36" i="1"/>
  <c r="Q36" i="1"/>
  <c r="R36" i="1"/>
  <c r="M36" i="1"/>
  <c r="U35" i="1"/>
  <c r="V35" i="1"/>
  <c r="W35" i="1"/>
  <c r="N35" i="1"/>
  <c r="O35" i="1"/>
  <c r="P35" i="1"/>
  <c r="Q35" i="1"/>
  <c r="R35" i="1"/>
  <c r="M35" i="1"/>
  <c r="U34" i="1"/>
  <c r="V34" i="1"/>
  <c r="N34" i="1"/>
  <c r="O34" i="1"/>
  <c r="P34" i="1"/>
  <c r="Q34" i="1"/>
  <c r="R34" i="1"/>
  <c r="M34" i="1"/>
  <c r="U33" i="1"/>
  <c r="V33" i="1"/>
  <c r="N33" i="1"/>
  <c r="O33" i="1"/>
  <c r="P33" i="1"/>
  <c r="Q33" i="1"/>
  <c r="R33" i="1"/>
  <c r="M33" i="1"/>
  <c r="U32" i="1"/>
  <c r="V32" i="1"/>
  <c r="N32" i="1"/>
  <c r="O32" i="1"/>
  <c r="P32" i="1"/>
  <c r="Q32" i="1"/>
  <c r="R32" i="1"/>
  <c r="M32" i="1"/>
  <c r="U31" i="1"/>
  <c r="V31" i="1"/>
  <c r="W31" i="1"/>
  <c r="N31" i="1"/>
  <c r="O31" i="1"/>
  <c r="P31" i="1"/>
  <c r="Q31" i="1"/>
  <c r="R31" i="1"/>
  <c r="M31" i="1"/>
  <c r="U30" i="1"/>
  <c r="V30" i="1"/>
  <c r="W30" i="1"/>
  <c r="N30" i="1"/>
  <c r="O30" i="1"/>
  <c r="P30" i="1"/>
  <c r="Q30" i="1"/>
  <c r="R30" i="1"/>
  <c r="M30" i="1"/>
  <c r="U29" i="1"/>
  <c r="V29" i="1"/>
  <c r="N29" i="1"/>
  <c r="O29" i="1"/>
  <c r="P29" i="1"/>
  <c r="Q29" i="1"/>
  <c r="R29" i="1"/>
  <c r="M29" i="1"/>
  <c r="U28" i="1"/>
  <c r="V28" i="1"/>
  <c r="N28" i="1"/>
  <c r="O28" i="1"/>
  <c r="P28" i="1"/>
  <c r="Q28" i="1"/>
  <c r="R28" i="1"/>
  <c r="M28" i="1"/>
  <c r="U27" i="1"/>
  <c r="V27" i="1"/>
  <c r="N27" i="1"/>
  <c r="O27" i="1"/>
  <c r="P27" i="1"/>
  <c r="Q27" i="1"/>
  <c r="R27" i="1"/>
  <c r="M27" i="1"/>
  <c r="U26" i="1"/>
  <c r="V26" i="1"/>
  <c r="W26" i="1"/>
  <c r="N26" i="1"/>
  <c r="O26" i="1"/>
  <c r="P26" i="1"/>
  <c r="Q26" i="1"/>
  <c r="R26" i="1"/>
  <c r="M26" i="1"/>
  <c r="U25" i="1"/>
  <c r="V25" i="1"/>
  <c r="N25" i="1"/>
  <c r="O25" i="1"/>
  <c r="P25" i="1"/>
  <c r="Q25" i="1"/>
  <c r="R25" i="1"/>
  <c r="M25" i="1"/>
  <c r="U24" i="1"/>
  <c r="V24" i="1"/>
  <c r="N24" i="1"/>
  <c r="O24" i="1"/>
  <c r="P24" i="1"/>
  <c r="Q24" i="1"/>
  <c r="R24" i="1"/>
  <c r="M24" i="1"/>
  <c r="U23" i="1"/>
  <c r="V23" i="1"/>
  <c r="X23" i="1"/>
  <c r="N23" i="1"/>
  <c r="O23" i="1"/>
  <c r="P23" i="1"/>
  <c r="Q23" i="1"/>
  <c r="R23" i="1"/>
  <c r="M23" i="1"/>
  <c r="U22" i="1"/>
  <c r="V22" i="1"/>
  <c r="W22" i="1"/>
  <c r="N22" i="1"/>
  <c r="O22" i="1"/>
  <c r="P22" i="1"/>
  <c r="Q22" i="1"/>
  <c r="R22" i="1"/>
  <c r="M22" i="1"/>
  <c r="U21" i="1"/>
  <c r="V21" i="1"/>
  <c r="N21" i="1"/>
  <c r="O21" i="1"/>
  <c r="P21" i="1"/>
  <c r="Q21" i="1"/>
  <c r="R21" i="1"/>
  <c r="M21" i="1"/>
  <c r="U20" i="1"/>
  <c r="V20" i="1"/>
  <c r="N20" i="1"/>
  <c r="O20" i="1"/>
  <c r="P20" i="1"/>
  <c r="Q20" i="1"/>
  <c r="R20" i="1"/>
  <c r="M20" i="1"/>
  <c r="U19" i="1"/>
  <c r="V19" i="1"/>
  <c r="N19" i="1"/>
  <c r="O19" i="1"/>
  <c r="P19" i="1"/>
  <c r="Q19" i="1"/>
  <c r="R19" i="1"/>
  <c r="M19" i="1"/>
  <c r="U18" i="1"/>
  <c r="V18" i="1"/>
  <c r="W18" i="1"/>
  <c r="N18" i="1"/>
  <c r="O18" i="1"/>
  <c r="P18" i="1"/>
  <c r="Q18" i="1"/>
  <c r="R18" i="1"/>
  <c r="M18" i="1"/>
  <c r="U17" i="1"/>
  <c r="V17" i="1"/>
  <c r="N17" i="1"/>
  <c r="O17" i="1"/>
  <c r="P17" i="1"/>
  <c r="Q17" i="1"/>
  <c r="R17" i="1"/>
  <c r="M17" i="1"/>
  <c r="U16" i="1"/>
  <c r="V16" i="1"/>
  <c r="N16" i="1"/>
  <c r="O16" i="1"/>
  <c r="P16" i="1"/>
  <c r="Q16" i="1"/>
  <c r="R16" i="1"/>
  <c r="M16" i="1"/>
  <c r="U15" i="1"/>
  <c r="V15" i="1"/>
  <c r="N15" i="1"/>
  <c r="O15" i="1"/>
  <c r="P15" i="1"/>
  <c r="Q15" i="1"/>
  <c r="R15" i="1"/>
  <c r="M15" i="1"/>
  <c r="U14" i="1"/>
  <c r="V14" i="1"/>
  <c r="N14" i="1"/>
  <c r="O14" i="1"/>
  <c r="P14" i="1"/>
  <c r="Q14" i="1"/>
  <c r="R14" i="1"/>
  <c r="M14" i="1"/>
  <c r="U13" i="1"/>
  <c r="V13" i="1"/>
  <c r="N13" i="1"/>
  <c r="O13" i="1"/>
  <c r="P13" i="1"/>
  <c r="Q13" i="1"/>
  <c r="R13" i="1"/>
  <c r="M13" i="1"/>
  <c r="U12" i="1"/>
  <c r="V12" i="1"/>
  <c r="N12" i="1"/>
  <c r="O12" i="1"/>
  <c r="P12" i="1"/>
  <c r="Q12" i="1"/>
  <c r="R12" i="1"/>
  <c r="M12" i="1"/>
  <c r="U11" i="1"/>
  <c r="V11" i="1"/>
  <c r="N11" i="1"/>
  <c r="O11" i="1"/>
  <c r="P11" i="1"/>
  <c r="Q11" i="1"/>
  <c r="R11" i="1"/>
  <c r="M11" i="1"/>
  <c r="U10" i="1"/>
  <c r="V10" i="1"/>
  <c r="X10" i="1"/>
  <c r="N10" i="1"/>
  <c r="O10" i="1"/>
  <c r="P10" i="1"/>
  <c r="Q10" i="1"/>
  <c r="R10" i="1"/>
  <c r="M10" i="1"/>
  <c r="U9" i="1"/>
  <c r="V9" i="1"/>
  <c r="W9" i="1"/>
  <c r="N9" i="1"/>
  <c r="O9" i="1"/>
  <c r="P9" i="1"/>
  <c r="Q9" i="1"/>
  <c r="R9" i="1"/>
  <c r="M9" i="1"/>
  <c r="U8" i="1"/>
  <c r="V8" i="1"/>
  <c r="N8" i="1"/>
  <c r="O8" i="1"/>
  <c r="P8" i="1"/>
  <c r="Q8" i="1"/>
  <c r="R8" i="1"/>
  <c r="M8" i="1"/>
  <c r="P7" i="1"/>
  <c r="Q7" i="1"/>
  <c r="U6" i="1"/>
  <c r="V6" i="1"/>
  <c r="K6" i="1"/>
  <c r="W6" i="1"/>
  <c r="N6" i="1"/>
  <c r="O6" i="1"/>
  <c r="P6" i="1"/>
  <c r="Q6" i="1"/>
  <c r="U5" i="1"/>
  <c r="V5" i="1"/>
  <c r="N5" i="1"/>
  <c r="O5" i="1"/>
  <c r="P5" i="1"/>
  <c r="Q5" i="1"/>
  <c r="R5" i="1"/>
  <c r="M5" i="1"/>
  <c r="P4" i="1"/>
  <c r="Q4" i="1"/>
  <c r="U3" i="1"/>
  <c r="V3" i="1"/>
  <c r="W3" i="1"/>
  <c r="N3" i="1"/>
  <c r="O3" i="1"/>
  <c r="P3" i="1"/>
  <c r="Q3" i="1"/>
  <c r="R3" i="1"/>
  <c r="M3" i="1"/>
  <c r="U2" i="1"/>
  <c r="V2" i="1"/>
  <c r="W2" i="1"/>
  <c r="N2" i="1"/>
  <c r="O2" i="1"/>
  <c r="P2" i="1"/>
  <c r="Q2" i="1"/>
  <c r="R2" i="1"/>
  <c r="M2" i="1"/>
  <c r="X71" i="2"/>
  <c r="X65" i="2"/>
  <c r="W65" i="2"/>
  <c r="X45" i="2"/>
  <c r="W45" i="2"/>
  <c r="W67" i="2"/>
  <c r="W84" i="2"/>
  <c r="W63" i="2"/>
  <c r="AE50" i="3"/>
  <c r="Z117" i="3"/>
  <c r="X8" i="2"/>
  <c r="W8" i="2"/>
  <c r="R82" i="2"/>
  <c r="N82" i="2"/>
  <c r="W48" i="2"/>
  <c r="X48" i="2"/>
  <c r="W81" i="2"/>
  <c r="X81" i="2"/>
  <c r="W9" i="2"/>
  <c r="X9" i="2"/>
  <c r="W94" i="2"/>
  <c r="X94" i="2"/>
  <c r="W52" i="2"/>
  <c r="X52" i="2"/>
  <c r="R87" i="2"/>
  <c r="N87" i="2"/>
  <c r="O87" i="2"/>
  <c r="R95" i="2"/>
  <c r="N95" i="2"/>
  <c r="X13" i="2"/>
  <c r="W13" i="2"/>
  <c r="X49" i="2"/>
  <c r="W49" i="2"/>
  <c r="X69" i="2"/>
  <c r="W69" i="2"/>
  <c r="X46" i="2"/>
  <c r="W46" i="2"/>
  <c r="X14" i="2"/>
  <c r="W14" i="2"/>
  <c r="W28" i="2"/>
  <c r="X28" i="2"/>
  <c r="X57" i="2"/>
  <c r="W57" i="2"/>
  <c r="X61" i="2"/>
  <c r="W61" i="2"/>
  <c r="X25" i="2"/>
  <c r="W30" i="2"/>
  <c r="X41" i="2"/>
  <c r="W59" i="2"/>
  <c r="W78" i="2"/>
  <c r="N53" i="2"/>
  <c r="X90" i="2"/>
  <c r="X12" i="2"/>
  <c r="X26" i="2"/>
  <c r="X42" i="2"/>
  <c r="X44" i="2"/>
  <c r="X77" i="2"/>
  <c r="W86" i="2"/>
  <c r="W50" i="2"/>
  <c r="X56" i="2"/>
  <c r="X10" i="2"/>
  <c r="W29" i="2"/>
  <c r="AE46" i="3"/>
  <c r="AF46" i="3"/>
  <c r="AE122" i="3"/>
  <c r="AF122" i="3"/>
  <c r="AE89" i="3"/>
  <c r="AF89" i="3"/>
  <c r="AE74" i="3"/>
  <c r="AE58" i="3"/>
  <c r="AE66" i="3"/>
  <c r="AE88" i="3"/>
  <c r="AF88" i="3"/>
  <c r="AE91" i="3"/>
  <c r="AF91" i="3"/>
  <c r="AE126" i="3"/>
  <c r="AF126" i="3"/>
  <c r="AF29" i="3"/>
  <c r="AE29" i="3"/>
  <c r="AE79" i="3"/>
  <c r="AF79" i="3"/>
  <c r="AE92" i="3"/>
  <c r="AF92" i="3"/>
  <c r="AE105" i="3"/>
  <c r="AF105" i="3"/>
  <c r="AE83" i="3"/>
  <c r="AF83" i="3"/>
  <c r="AE42" i="3"/>
  <c r="AF42" i="3"/>
  <c r="AE96" i="3"/>
  <c r="AF96" i="3"/>
  <c r="AF19" i="3"/>
  <c r="AE19" i="3"/>
  <c r="AF15" i="3"/>
  <c r="AE15" i="3"/>
  <c r="AE80" i="3"/>
  <c r="AF80" i="3"/>
  <c r="AE27" i="3"/>
  <c r="AF27" i="3"/>
  <c r="AE81" i="3"/>
  <c r="AF81" i="3"/>
  <c r="AE118" i="3"/>
  <c r="AF118" i="3"/>
  <c r="Z5" i="3"/>
  <c r="S5" i="3"/>
  <c r="AF44" i="3"/>
  <c r="AE62" i="3"/>
  <c r="AE70" i="3"/>
  <c r="AE54" i="3"/>
  <c r="AE23" i="3"/>
  <c r="AF95" i="3"/>
  <c r="AF37" i="3"/>
  <c r="AF45" i="3"/>
  <c r="AF77" i="3"/>
  <c r="AF84" i="3"/>
  <c r="AF101" i="3"/>
  <c r="AF109" i="3"/>
  <c r="S2" i="3"/>
  <c r="AB2" i="3"/>
  <c r="Z76" i="3"/>
  <c r="AF85" i="3"/>
  <c r="AF87" i="3"/>
  <c r="X30" i="1"/>
  <c r="X26" i="1"/>
  <c r="AE20" i="3"/>
  <c r="AF20" i="3"/>
  <c r="AF25" i="3"/>
  <c r="AE25" i="3"/>
  <c r="AF31" i="3"/>
  <c r="AE31" i="3"/>
  <c r="AE8" i="3"/>
  <c r="AF8" i="3"/>
  <c r="AF17" i="3"/>
  <c r="AE17" i="3"/>
  <c r="AE24" i="3"/>
  <c r="AF24" i="3"/>
  <c r="AF9" i="3"/>
  <c r="AE9" i="3"/>
  <c r="AF22" i="3"/>
  <c r="AE22" i="3"/>
  <c r="Z4" i="3"/>
  <c r="AE6" i="3"/>
  <c r="AF6" i="3"/>
  <c r="AF10" i="3"/>
  <c r="AE10" i="3"/>
  <c r="AE12" i="3"/>
  <c r="AF12" i="3"/>
  <c r="AF14" i="3"/>
  <c r="AE14" i="3"/>
  <c r="W76" i="3"/>
  <c r="S76" i="3"/>
  <c r="AA76" i="3"/>
  <c r="AF3" i="3"/>
  <c r="AE3" i="3"/>
  <c r="AF21" i="3"/>
  <c r="AE21" i="3"/>
  <c r="AF13" i="3"/>
  <c r="AE13" i="3"/>
  <c r="AE16" i="3"/>
  <c r="AF16" i="3"/>
  <c r="AF26" i="3"/>
  <c r="AE26" i="3"/>
  <c r="AE35" i="3"/>
  <c r="AF35" i="3"/>
  <c r="AF18" i="3"/>
  <c r="AE18" i="3"/>
  <c r="AE7" i="3"/>
  <c r="AE11" i="3"/>
  <c r="AF106" i="3"/>
  <c r="AE106" i="3"/>
  <c r="AF113" i="3"/>
  <c r="AE113" i="3"/>
  <c r="AF28" i="3"/>
  <c r="AF43" i="3"/>
  <c r="AE49" i="3"/>
  <c r="AE53" i="3"/>
  <c r="AE57" i="3"/>
  <c r="AE61" i="3"/>
  <c r="AE65" i="3"/>
  <c r="AE69" i="3"/>
  <c r="AE73" i="3"/>
  <c r="AF98" i="3"/>
  <c r="AE98" i="3"/>
  <c r="AF115" i="3"/>
  <c r="AE115" i="3"/>
  <c r="AF119" i="3"/>
  <c r="AE119" i="3"/>
  <c r="AE30" i="3"/>
  <c r="AE38" i="3"/>
  <c r="AF39" i="3"/>
  <c r="AF40" i="3"/>
  <c r="AF41" i="3"/>
  <c r="AE48" i="3"/>
  <c r="AE52" i="3"/>
  <c r="AE56" i="3"/>
  <c r="AE60" i="3"/>
  <c r="AE64" i="3"/>
  <c r="AE68" i="3"/>
  <c r="AE72" i="3"/>
  <c r="AF90" i="3"/>
  <c r="AE90" i="3"/>
  <c r="AF110" i="3"/>
  <c r="AE110" i="3"/>
  <c r="S112" i="3"/>
  <c r="AA112" i="3"/>
  <c r="AE34" i="3"/>
  <c r="AF36" i="3"/>
  <c r="AF86" i="3"/>
  <c r="AE86" i="3"/>
  <c r="AF97" i="3"/>
  <c r="AF123" i="3"/>
  <c r="AE123" i="3"/>
  <c r="AF94" i="3"/>
  <c r="AE94" i="3"/>
  <c r="AF32" i="3"/>
  <c r="AF33" i="3"/>
  <c r="AE51" i="3"/>
  <c r="AE55" i="3"/>
  <c r="AE59" i="3"/>
  <c r="AE63" i="3"/>
  <c r="AE67" i="3"/>
  <c r="AE71" i="3"/>
  <c r="AE75" i="3"/>
  <c r="AF82" i="3"/>
  <c r="AE82" i="3"/>
  <c r="AF93" i="3"/>
  <c r="AF102" i="3"/>
  <c r="AE102" i="3"/>
  <c r="AF114" i="3"/>
  <c r="AE114" i="3"/>
  <c r="AF78" i="3"/>
  <c r="AE78" i="3"/>
  <c r="AE116" i="3"/>
  <c r="Z47" i="3"/>
  <c r="W117" i="3"/>
  <c r="S117" i="3"/>
  <c r="AA117" i="3"/>
  <c r="AF127" i="3"/>
  <c r="AE127" i="3"/>
  <c r="AF47" i="3"/>
  <c r="AE99" i="3"/>
  <c r="AE103" i="3"/>
  <c r="AE107" i="3"/>
  <c r="AE111" i="3"/>
  <c r="Z112" i="3"/>
  <c r="AE120" i="3"/>
  <c r="AE124" i="3"/>
  <c r="AE100" i="3"/>
  <c r="AE104" i="3"/>
  <c r="AE108" i="3"/>
  <c r="AE121" i="3"/>
  <c r="AE125" i="3"/>
  <c r="X22" i="2"/>
  <c r="W22" i="2"/>
  <c r="W43" i="2"/>
  <c r="X43" i="2"/>
  <c r="X3" i="2"/>
  <c r="W3" i="2"/>
  <c r="W35" i="2"/>
  <c r="X35" i="2"/>
  <c r="X64" i="2"/>
  <c r="W64" i="2"/>
  <c r="N2" i="2"/>
  <c r="R2" i="2"/>
  <c r="W11" i="2"/>
  <c r="X11" i="2"/>
  <c r="X6" i="2"/>
  <c r="W6" i="2"/>
  <c r="N4" i="2"/>
  <c r="R4" i="2"/>
  <c r="W19" i="2"/>
  <c r="X19" i="2"/>
  <c r="X72" i="2"/>
  <c r="W72" i="2"/>
  <c r="X34" i="2"/>
  <c r="W34" i="2"/>
  <c r="X18" i="2"/>
  <c r="W18" i="2"/>
  <c r="N73" i="2"/>
  <c r="R73" i="2"/>
  <c r="W27" i="2"/>
  <c r="X27" i="2"/>
  <c r="W23" i="2"/>
  <c r="X23" i="2"/>
  <c r="W39" i="2"/>
  <c r="X39" i="2"/>
  <c r="W7" i="2"/>
  <c r="X7" i="2"/>
  <c r="X5" i="2"/>
  <c r="W5" i="2"/>
  <c r="X31" i="2"/>
  <c r="X47" i="2"/>
  <c r="X58" i="2"/>
  <c r="W58" i="2"/>
  <c r="X79" i="2"/>
  <c r="W79" i="2"/>
  <c r="X83" i="2"/>
  <c r="W83" i="2"/>
  <c r="W91" i="2"/>
  <c r="W97" i="2"/>
  <c r="X16" i="2"/>
  <c r="W17" i="2"/>
  <c r="X32" i="2"/>
  <c r="W33" i="2"/>
  <c r="X70" i="2"/>
  <c r="W70" i="2"/>
  <c r="X75" i="2"/>
  <c r="W75" i="2"/>
  <c r="X99" i="2"/>
  <c r="X62" i="2"/>
  <c r="W62" i="2"/>
  <c r="X66" i="2"/>
  <c r="W66" i="2"/>
  <c r="X85" i="2"/>
  <c r="W85" i="2"/>
  <c r="O98" i="2"/>
  <c r="L98" i="2"/>
  <c r="R100" i="2"/>
  <c r="K101" i="2"/>
  <c r="X100" i="2"/>
  <c r="M100" i="2"/>
  <c r="X20" i="2"/>
  <c r="W21" i="2"/>
  <c r="X36" i="2"/>
  <c r="W37" i="2"/>
  <c r="W38" i="2"/>
  <c r="W55" i="2"/>
  <c r="R98" i="2"/>
  <c r="X68" i="2"/>
  <c r="W68" i="2"/>
  <c r="X92" i="2"/>
  <c r="W92" i="2"/>
  <c r="X96" i="2"/>
  <c r="W96" i="2"/>
  <c r="S98" i="2"/>
  <c r="X15" i="2"/>
  <c r="X24" i="2"/>
  <c r="X40" i="2"/>
  <c r="X54" i="2"/>
  <c r="W54" i="2"/>
  <c r="X60" i="2"/>
  <c r="W74" i="2"/>
  <c r="X88" i="2"/>
  <c r="W88" i="2"/>
  <c r="X51" i="2"/>
  <c r="W51" i="2"/>
  <c r="W76" i="2"/>
  <c r="W80" i="2"/>
  <c r="W89" i="2"/>
  <c r="W93" i="2"/>
  <c r="X68" i="1"/>
  <c r="W68" i="1"/>
  <c r="X80" i="1"/>
  <c r="W80" i="1"/>
  <c r="X60" i="1"/>
  <c r="W60" i="1"/>
  <c r="W14" i="1"/>
  <c r="X14" i="1"/>
  <c r="X54" i="1"/>
  <c r="W54" i="1"/>
  <c r="X64" i="1"/>
  <c r="W64" i="1"/>
  <c r="W39" i="1"/>
  <c r="X39" i="1"/>
  <c r="X76" i="1"/>
  <c r="W76" i="1"/>
  <c r="X72" i="1"/>
  <c r="W72" i="1"/>
  <c r="X35" i="1"/>
  <c r="X47" i="1"/>
  <c r="X83" i="1"/>
  <c r="X18" i="1"/>
  <c r="X22" i="1"/>
  <c r="X55" i="1"/>
  <c r="X15" i="1"/>
  <c r="W15" i="1"/>
  <c r="X11" i="1"/>
  <c r="W11" i="1"/>
  <c r="X20" i="1"/>
  <c r="W20" i="1"/>
  <c r="W27" i="1"/>
  <c r="X27" i="1"/>
  <c r="X16" i="1"/>
  <c r="W16" i="1"/>
  <c r="R4" i="1"/>
  <c r="N4" i="1"/>
  <c r="R7" i="1"/>
  <c r="N7" i="1"/>
  <c r="X12" i="1"/>
  <c r="W12" i="1"/>
  <c r="X5" i="1"/>
  <c r="W5" i="1"/>
  <c r="X8" i="1"/>
  <c r="W8" i="1"/>
  <c r="W19" i="1"/>
  <c r="X19" i="1"/>
  <c r="X2" i="1"/>
  <c r="X3" i="1"/>
  <c r="X17" i="1"/>
  <c r="W17" i="1"/>
  <c r="X25" i="1"/>
  <c r="W25" i="1"/>
  <c r="X28" i="1"/>
  <c r="W28" i="1"/>
  <c r="X31" i="1"/>
  <c r="X41" i="1"/>
  <c r="W41" i="1"/>
  <c r="X43" i="1"/>
  <c r="X51" i="1"/>
  <c r="W51" i="1"/>
  <c r="X56" i="1"/>
  <c r="W56" i="1"/>
  <c r="X62" i="1"/>
  <c r="W62" i="1"/>
  <c r="X77" i="1"/>
  <c r="W77" i="1"/>
  <c r="X24" i="1"/>
  <c r="W24" i="1"/>
  <c r="X38" i="1"/>
  <c r="W38" i="1"/>
  <c r="X45" i="1"/>
  <c r="W45" i="1"/>
  <c r="X66" i="1"/>
  <c r="W66" i="1"/>
  <c r="X81" i="1"/>
  <c r="W81" i="1"/>
  <c r="X13" i="1"/>
  <c r="W13" i="1"/>
  <c r="W23" i="1"/>
  <c r="X33" i="1"/>
  <c r="W33" i="1"/>
  <c r="X40" i="1"/>
  <c r="W40" i="1"/>
  <c r="X49" i="1"/>
  <c r="W49" i="1"/>
  <c r="R57" i="1"/>
  <c r="N57" i="1"/>
  <c r="X70" i="1"/>
  <c r="W70" i="1"/>
  <c r="X74" i="1"/>
  <c r="W74" i="1"/>
  <c r="X6" i="1"/>
  <c r="K85" i="1"/>
  <c r="M6" i="1"/>
  <c r="X9" i="1"/>
  <c r="W10" i="1"/>
  <c r="X32" i="1"/>
  <c r="W32" i="1"/>
  <c r="X42" i="1"/>
  <c r="W42" i="1"/>
  <c r="X44" i="1"/>
  <c r="W44" i="1"/>
  <c r="R50" i="1"/>
  <c r="N50" i="1"/>
  <c r="X52" i="1"/>
  <c r="W52" i="1"/>
  <c r="X61" i="1"/>
  <c r="W61" i="1"/>
  <c r="X78" i="1"/>
  <c r="W78" i="1"/>
  <c r="X21" i="1"/>
  <c r="W21" i="1"/>
  <c r="X37" i="1"/>
  <c r="W37" i="1"/>
  <c r="X46" i="1"/>
  <c r="W46" i="1"/>
  <c r="X48" i="1"/>
  <c r="W48" i="1"/>
  <c r="X65" i="1"/>
  <c r="W65" i="1"/>
  <c r="X82" i="1"/>
  <c r="W82" i="1"/>
  <c r="R6" i="1"/>
  <c r="X29" i="1"/>
  <c r="W29" i="1"/>
  <c r="X34" i="1"/>
  <c r="W34" i="1"/>
  <c r="X69" i="1"/>
  <c r="W69" i="1"/>
  <c r="X36" i="1"/>
  <c r="W36" i="1"/>
  <c r="X58" i="1"/>
  <c r="W58" i="1"/>
  <c r="X73" i="1"/>
  <c r="W73" i="1"/>
  <c r="X84" i="1"/>
  <c r="W84" i="1"/>
  <c r="X53" i="1"/>
  <c r="X59" i="1"/>
  <c r="X63" i="1"/>
  <c r="X67" i="1"/>
  <c r="X71" i="1"/>
  <c r="X75" i="1"/>
  <c r="X79" i="1"/>
  <c r="M55" i="1"/>
  <c r="AA2" i="3"/>
  <c r="S87" i="2"/>
  <c r="L87" i="2"/>
  <c r="M87" i="2"/>
  <c r="T2" i="3"/>
  <c r="W2" i="3"/>
  <c r="AC2" i="3"/>
  <c r="AD2" i="3"/>
  <c r="AF2" i="3"/>
  <c r="O95" i="2"/>
  <c r="L95" i="2"/>
  <c r="S95" i="2"/>
  <c r="S53" i="2"/>
  <c r="O53" i="2"/>
  <c r="L53" i="2"/>
  <c r="S82" i="2"/>
  <c r="O82" i="2"/>
  <c r="L82" i="2"/>
  <c r="W5" i="3"/>
  <c r="AA5" i="3"/>
  <c r="AC117" i="3"/>
  <c r="AD117" i="3"/>
  <c r="T117" i="3"/>
  <c r="AB117" i="3"/>
  <c r="AC5" i="3"/>
  <c r="AD5" i="3"/>
  <c r="T5" i="3"/>
  <c r="AB5" i="3"/>
  <c r="AC76" i="3"/>
  <c r="AD76" i="3"/>
  <c r="T76" i="3"/>
  <c r="AB76" i="3"/>
  <c r="AC112" i="3"/>
  <c r="AD112" i="3"/>
  <c r="T112" i="3"/>
  <c r="AB112" i="3"/>
  <c r="W4" i="3"/>
  <c r="S4" i="3"/>
  <c r="AA4" i="3"/>
  <c r="U98" i="2"/>
  <c r="V98" i="2"/>
  <c r="M98" i="2"/>
  <c r="T98" i="2"/>
  <c r="O73" i="2"/>
  <c r="L73" i="2"/>
  <c r="S73" i="2"/>
  <c r="L2" i="2"/>
  <c r="S2" i="2"/>
  <c r="O2" i="2"/>
  <c r="R101" i="2"/>
  <c r="S4" i="2"/>
  <c r="O4" i="2"/>
  <c r="L4" i="2"/>
  <c r="L50" i="1"/>
  <c r="S50" i="1"/>
  <c r="O50" i="1"/>
  <c r="S57" i="1"/>
  <c r="O57" i="1"/>
  <c r="L57" i="1"/>
  <c r="S7" i="1"/>
  <c r="O7" i="1"/>
  <c r="L7" i="1"/>
  <c r="R85" i="1"/>
  <c r="L4" i="1"/>
  <c r="S4" i="1"/>
  <c r="O4" i="1"/>
  <c r="U87" i="2"/>
  <c r="V87" i="2"/>
  <c r="X87" i="2"/>
  <c r="AE2" i="3"/>
  <c r="T87" i="2"/>
  <c r="T53" i="2"/>
  <c r="M53" i="2"/>
  <c r="U53" i="2"/>
  <c r="V53" i="2"/>
  <c r="T82" i="2"/>
  <c r="U82" i="2"/>
  <c r="V82" i="2"/>
  <c r="M82" i="2"/>
  <c r="T95" i="2"/>
  <c r="U95" i="2"/>
  <c r="V95" i="2"/>
  <c r="M95" i="2"/>
  <c r="AC4" i="3"/>
  <c r="AD4" i="3"/>
  <c r="T4" i="3"/>
  <c r="AB4" i="3"/>
  <c r="AF112" i="3"/>
  <c r="AE112" i="3"/>
  <c r="AF5" i="3"/>
  <c r="AE5" i="3"/>
  <c r="AE76" i="3"/>
  <c r="AF76" i="3"/>
  <c r="AF117" i="3"/>
  <c r="AE117" i="3"/>
  <c r="U4" i="2"/>
  <c r="V4" i="2"/>
  <c r="M4" i="2"/>
  <c r="T4" i="2"/>
  <c r="X98" i="2"/>
  <c r="W98" i="2"/>
  <c r="U2" i="2"/>
  <c r="V2" i="2"/>
  <c r="T2" i="2"/>
  <c r="M2" i="2"/>
  <c r="U73" i="2"/>
  <c r="V73" i="2"/>
  <c r="M73" i="2"/>
  <c r="T73" i="2"/>
  <c r="T57" i="1"/>
  <c r="U57" i="1"/>
  <c r="V57" i="1"/>
  <c r="M57" i="1"/>
  <c r="U4" i="1"/>
  <c r="V4" i="1"/>
  <c r="M4" i="1"/>
  <c r="T4" i="1"/>
  <c r="M7" i="1"/>
  <c r="U7" i="1"/>
  <c r="V7" i="1"/>
  <c r="T7" i="1"/>
  <c r="U50" i="1"/>
  <c r="V50" i="1"/>
  <c r="M50" i="1"/>
  <c r="T50" i="1"/>
  <c r="W87" i="2"/>
  <c r="M101" i="2"/>
  <c r="X95" i="2"/>
  <c r="W95" i="2"/>
  <c r="X53" i="2"/>
  <c r="W53" i="2"/>
  <c r="X82" i="2"/>
  <c r="W82" i="2"/>
  <c r="AE4" i="3"/>
  <c r="AF4" i="3"/>
  <c r="AF128" i="3"/>
  <c r="W73" i="2"/>
  <c r="X73" i="2"/>
  <c r="X2" i="2"/>
  <c r="W2" i="2"/>
  <c r="W4" i="2"/>
  <c r="X4" i="2"/>
  <c r="X7" i="1"/>
  <c r="W7" i="1"/>
  <c r="M85" i="1"/>
  <c r="X4" i="1"/>
  <c r="W4" i="1"/>
  <c r="X57" i="1"/>
  <c r="W57" i="1"/>
  <c r="X50" i="1"/>
  <c r="W50" i="1"/>
  <c r="W85" i="1"/>
  <c r="W101" i="2"/>
  <c r="X102" i="2"/>
  <c r="X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daniel rios osorio</author>
  </authors>
  <commentList>
    <comment ref="P16" authorId="0" shapeId="0" xr:uid="{1393F1E8-3B3A-44AF-B341-8463BB097662}">
      <text>
        <r>
          <rPr>
            <b/>
            <sz val="10"/>
            <color rgb="FF000000"/>
            <rFont val="Tahoma"/>
            <family val="2"/>
          </rPr>
          <t xml:space="preserve">Asumido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R47" authorId="1" shapeId="0" xr:uid="{6783D5FF-5F2E-464C-87ED-F1C834C42900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Se asume 1.062 como transmisión mecánica</t>
        </r>
      </text>
    </comment>
    <comment ref="P55" authorId="0" shapeId="0" xr:uid="{38CFB0BF-C386-4432-84A6-94B7960EA3AB}">
      <text>
        <r>
          <rPr>
            <b/>
            <sz val="10"/>
            <color rgb="FF000000"/>
            <rFont val="Tahoma"/>
            <family val="2"/>
          </rPr>
          <t xml:space="preserve">Se asume
</t>
        </r>
      </text>
    </comment>
    <comment ref="P61" authorId="0" shapeId="0" xr:uid="{FCA01474-2660-4B3F-AB8C-3F50D0FF0F98}">
      <text>
        <r>
          <rPr>
            <b/>
            <sz val="10"/>
            <color rgb="FF000000"/>
            <rFont val="Tahoma"/>
            <family val="2"/>
          </rPr>
          <t xml:space="preserve">Asumido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rios osorio</author>
  </authors>
  <commentList>
    <comment ref="J56" authorId="0" shapeId="0" xr:uid="{68A080F9-5F5A-4494-8459-C13BDCA736DC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Asumido</t>
        </r>
      </text>
    </comment>
    <comment ref="J57" authorId="0" shapeId="0" xr:uid="{99B8B625-7F0F-47C0-A4ED-08B47D497A5D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Asumida
</t>
        </r>
      </text>
    </comment>
    <comment ref="J61" authorId="0" shapeId="0" xr:uid="{594F64E2-D4AC-433A-84A2-41F9168ACD8D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asumida</t>
        </r>
      </text>
    </comment>
    <comment ref="J62" authorId="0" shapeId="0" xr:uid="{037C9A2B-519D-4756-89FF-D49212ECEBA2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Asumido</t>
        </r>
      </text>
    </comment>
    <comment ref="J68" authorId="0" shapeId="0" xr:uid="{7C4461C2-F3B8-48F9-9EB6-6A6F304F195E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Asumido</t>
        </r>
      </text>
    </comment>
    <comment ref="J70" authorId="0" shapeId="0" xr:uid="{DF15F9DB-A861-4FEF-8A1B-DDFCC6304DFD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Asumido</t>
        </r>
      </text>
    </comment>
    <comment ref="J77" authorId="0" shapeId="0" xr:uid="{FDE1C272-6376-45CA-957F-EFC7736386A0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Asumido
</t>
        </r>
      </text>
    </comment>
    <comment ref="J94" authorId="0" shapeId="0" xr:uid="{BA2FF9C8-130F-4167-9A61-6AF8F071AA22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Asumido</t>
        </r>
      </text>
    </comment>
    <comment ref="K100" authorId="0" shapeId="0" xr:uid="{1A089C92-C3D8-4998-8593-F65B45BA9521}">
      <text>
        <r>
          <rPr>
            <b/>
            <sz val="9"/>
            <color indexed="81"/>
            <rFont val="Tahoma"/>
            <family val="2"/>
          </rPr>
          <t>Daniel Ríos Osorio:
Asumidas 706 como automáticas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rios osorio</author>
  </authors>
  <commentList>
    <comment ref="J15" authorId="0" shapeId="0" xr:uid="{04E76B45-585D-444B-9EAA-F951470787F3}">
      <text>
        <r>
          <rPr>
            <b/>
            <sz val="9"/>
            <color indexed="81"/>
            <rFont val="Tahoma"/>
            <family val="2"/>
          </rPr>
          <t>daniel rios osorio:</t>
        </r>
        <r>
          <rPr>
            <sz val="9"/>
            <color indexed="81"/>
            <rFont val="Tahoma"/>
            <family val="2"/>
          </rPr>
          <t xml:space="preserve">
Asumido,peor caso</t>
        </r>
      </text>
    </comment>
  </commentList>
</comments>
</file>

<file path=xl/sharedStrings.xml><?xml version="1.0" encoding="utf-8"?>
<sst xmlns="http://schemas.openxmlformats.org/spreadsheetml/2006/main" count="3496" uniqueCount="400">
  <si>
    <t>Marca</t>
  </si>
  <si>
    <t>Línea</t>
  </si>
  <si>
    <t>Categoría
NACIONAL</t>
  </si>
  <si>
    <t>Categoría Internacional</t>
  </si>
  <si>
    <t>Año Modelo</t>
  </si>
  <si>
    <t>Tipo de combustible</t>
  </si>
  <si>
    <t>Cilindrada
[cm3]</t>
  </si>
  <si>
    <t>Origen</t>
  </si>
  <si>
    <t>Condición</t>
  </si>
  <si>
    <t>Transmisión</t>
  </si>
  <si>
    <t>Cantidad</t>
  </si>
  <si>
    <t>Factor de emisión 
(gCO2/km NEDC)</t>
  </si>
  <si>
    <t>Promedio ponderado de emisiones gCO2/km NEDC</t>
  </si>
  <si>
    <t>Factor de emisión
(gCO2/km CAFE)</t>
  </si>
  <si>
    <t>Rendimiento con el combustible específico (km/l CAFE)</t>
  </si>
  <si>
    <t>Rendimiento
(km/lge CAFE)</t>
  </si>
  <si>
    <t>Rendimiento (mpg_ge CAFE)</t>
  </si>
  <si>
    <t>Rendimiento armónico (mpg CAFE)</t>
  </si>
  <si>
    <t>Factor de emisión (gCO2/km CAFÉ)</t>
  </si>
  <si>
    <t>Factor de emisión (gCO2/km NEDC)</t>
  </si>
  <si>
    <t>Rendimiento con el combustible específico (l/100km)</t>
  </si>
  <si>
    <t>Rendimiento (lge/100km)</t>
  </si>
  <si>
    <t>Promedio ponderado (lge/100km)</t>
  </si>
  <si>
    <t>Rendimiento armónico (lge/100km)</t>
  </si>
  <si>
    <t>Consumo de combustible
km/l
Ciudad / Autopista / Mixto</t>
  </si>
  <si>
    <t>Modelo de referencia</t>
  </si>
  <si>
    <t>Fuente del factor</t>
  </si>
  <si>
    <t>Norma de emisiones</t>
  </si>
  <si>
    <t>CHEVROLET</t>
  </si>
  <si>
    <t>SAIL</t>
  </si>
  <si>
    <t>AUTOMOVIL</t>
  </si>
  <si>
    <t>C</t>
  </si>
  <si>
    <t>GASOLINA</t>
  </si>
  <si>
    <t>IMPORTADO</t>
  </si>
  <si>
    <t>NUEVO</t>
  </si>
  <si>
    <t>MECÁNICA</t>
  </si>
  <si>
    <t>Sail NB 1,4 Lts., DOHC Sedán 4P.T/M Motor Otto</t>
  </si>
  <si>
    <t>consumovehicular.cl</t>
  </si>
  <si>
    <t>Euro 5</t>
  </si>
  <si>
    <t>SPARK GT</t>
  </si>
  <si>
    <t>B</t>
  </si>
  <si>
    <t>NACIONAL</t>
  </si>
  <si>
    <t>Spark GT 1,2 Lts. DOHC Hatch Back 5P. T/M Motor Otto</t>
  </si>
  <si>
    <t>RENAULT</t>
  </si>
  <si>
    <t>SANDERO</t>
  </si>
  <si>
    <t>RENAULT / SANDERO / 2012 AUTHENTIQUE 5PTS 1.6L 4CIL 87HP MAN</t>
  </si>
  <si>
    <t>ecovehiculos.inecc.gob.mx</t>
  </si>
  <si>
    <t xml:space="preserve">LOGAN </t>
  </si>
  <si>
    <t>Nuevo Logan Authentique/Expression/Dynamique</t>
  </si>
  <si>
    <t>Ficha Técnica: https://www.caribemotor.com.co/renault/logan/ficha-tecnica/
https://www.cdn.renault.com/content/dam/Renault/MX/brochures/L4M/_catalogo.pdf</t>
  </si>
  <si>
    <t>MAZDA</t>
  </si>
  <si>
    <t>MAZDA 3</t>
  </si>
  <si>
    <t>Mazda3 2,0 Lts. DOHC Sedán 4P. T/M Motor Otto</t>
  </si>
  <si>
    <t>STEPWAY</t>
  </si>
  <si>
    <t>RENAULT / SANDERO / 2014 5PTS 1.6L 4CIL 103HP MAN</t>
  </si>
  <si>
    <t>KIA</t>
  </si>
  <si>
    <t>PICANTO</t>
  </si>
  <si>
    <t>A</t>
  </si>
  <si>
    <t>Morning 1,2 Lts. DOHC Hatch Back 5P. T/M Motor Otto</t>
  </si>
  <si>
    <t>TRACKER</t>
  </si>
  <si>
    <t>CAMIONETA</t>
  </si>
  <si>
    <t>Tracker FWD 1,8 Lts., DOHC Station Wagon 5P. T/M 4x2 Motor Otto</t>
  </si>
  <si>
    <t>FORD</t>
  </si>
  <si>
    <t>FIESTA</t>
  </si>
  <si>
    <t>Fiesta 1,6 Lts. DOHC Sedán 4P. T/M Motor Otto</t>
  </si>
  <si>
    <t>Tier 2 B5</t>
  </si>
  <si>
    <t>SPARK</t>
  </si>
  <si>
    <t>Spark LT HB 1,0 Lts. SOHC Hatch Back 5P. T/M Motor Otto</t>
  </si>
  <si>
    <t>NISSAN</t>
  </si>
  <si>
    <t>MARCH</t>
  </si>
  <si>
    <t>March 1,6 Lts. Hatchback T/M</t>
  </si>
  <si>
    <t>Sportage 2,0 Lts. Station Wagon T/M</t>
  </si>
  <si>
    <t>Morning 1,0 Lts. DOHC Hatch Back 5P. T/M Motor Otto</t>
  </si>
  <si>
    <t>ECOSPORT</t>
  </si>
  <si>
    <t>AUTOMÁTICA</t>
  </si>
  <si>
    <t>EcoSport 2,0 Lts. Station Wagon T/A</t>
  </si>
  <si>
    <t>DUSTER</t>
  </si>
  <si>
    <t>Duster 1,6 Lts. Station Wagon T/M</t>
  </si>
  <si>
    <t>RIO</t>
  </si>
  <si>
    <t>Rio 4 1,2 Lts. DOHC Sedán 4P. T/M Motor Otto</t>
  </si>
  <si>
    <t xml:space="preserve">MAZDA 2 </t>
  </si>
  <si>
    <t>Mazda2 1,5 Lts. sedán T/A</t>
  </si>
  <si>
    <t>Duster 2,0 Lts. DOHC Station Wagon 5P. T/M 4x2 Motor Otto</t>
  </si>
  <si>
    <t>CLIO</t>
  </si>
  <si>
    <t>Clio IV 1,2 Lts. DOHC Hatch Back 5P. T/M Motor Otto</t>
  </si>
  <si>
    <t>ESCAPE</t>
  </si>
  <si>
    <t>Escape 2,0 Lts. DOHC SUV 5P. T/A 4x2 Motor Otto</t>
  </si>
  <si>
    <t>DUSTER OROCH</t>
  </si>
  <si>
    <t>PICK UP</t>
  </si>
  <si>
    <t>Oroch 2,0 Lts. Camioneta T/M</t>
  </si>
  <si>
    <t>VOLKSWAGEN</t>
  </si>
  <si>
    <t xml:space="preserve">GOL </t>
  </si>
  <si>
    <t>Gol 1,6 Lts. Hatch Back 5P. T/M Otto</t>
  </si>
  <si>
    <t xml:space="preserve">DUSTER </t>
  </si>
  <si>
    <t>CAMPERO</t>
  </si>
  <si>
    <t>Duster 2,0 Lts. DOHC Station Wagon 5P. T/M 4x4 Motor Otto</t>
  </si>
  <si>
    <t>VERSA</t>
  </si>
  <si>
    <t>Versa 1,6 Lts. Sedán T/M</t>
  </si>
  <si>
    <t>CX-5</t>
  </si>
  <si>
    <t xml:space="preserve"> CX5 2,5 Lts. Station Wagon T/A</t>
  </si>
  <si>
    <t>EXPLORER</t>
  </si>
  <si>
    <t xml:space="preserve"> Explorer Limited 3,5 Lts. Station Wagon T/A</t>
  </si>
  <si>
    <t>TOYOTA</t>
  </si>
  <si>
    <t>DIESEL</t>
  </si>
  <si>
    <t>Toyota Prado 3.0L 4cyl Turbo Diesel, 5 Spd Auto</t>
  </si>
  <si>
    <t>greenguidevehicle.gov.au</t>
  </si>
  <si>
    <t>Euro IV</t>
  </si>
  <si>
    <t>ONIX</t>
  </si>
  <si>
    <t>Onix 1,4 Lts. Hatchback T/M</t>
  </si>
  <si>
    <t>NP300 FRONTIER</t>
  </si>
  <si>
    <t>NP300 (D23) DC 2.5 MT 4 2,5 Lts. Camioneta T/M</t>
  </si>
  <si>
    <t>RAV 4</t>
  </si>
  <si>
    <t>RAV4 2,0 Lts. Station Wagon T/M</t>
  </si>
  <si>
    <t>N300</t>
  </si>
  <si>
    <t>VAN</t>
  </si>
  <si>
    <t>A-B</t>
  </si>
  <si>
    <t>N300 Max 1,2 Lts. DOHC Furgón 5P. T/M Motor Otto</t>
  </si>
  <si>
    <t>QASHQAI</t>
  </si>
  <si>
    <t>New Qashqai 2,0 Lts. DOHC Station Wagon 5P. T/M Motor Otto</t>
  </si>
  <si>
    <t>CX-3</t>
  </si>
  <si>
    <t>CX-3 2,0 Lts. Station Wagon 5P. T/M Otto</t>
  </si>
  <si>
    <t>4 RUNNER</t>
  </si>
  <si>
    <t>4Runner 4,0 Lts. DOHC Station Wagon 5P. T/A 4x2 Motor Otto</t>
  </si>
  <si>
    <t>SONIC</t>
  </si>
  <si>
    <t>Sonic 1,6 Lts. DOHC Sedán 4P. T/M Motor Otto</t>
  </si>
  <si>
    <t>CERATO</t>
  </si>
  <si>
    <t>Cerato 1,6 Lts. DOHC Sedán 4P. T/A Motor Otto</t>
  </si>
  <si>
    <t>VOYAGE</t>
  </si>
  <si>
    <t>Voyage 1,6 Lts. Sedán T/M</t>
  </si>
  <si>
    <t>X-TRAIL</t>
  </si>
  <si>
    <t>New Xtrail (T31) 2,5Lts. DOHC Station Wagon 5 Pasajeros 5P. T/A 4x2 Motor Otto</t>
  </si>
  <si>
    <t xml:space="preserve">NP300 FRONTIER </t>
  </si>
  <si>
    <t xml:space="preserve">NP 300 CAB SENCILLA 4X4 2PTAS 2.5L 4CIL 161HP MAN TURBO DIESEL </t>
  </si>
  <si>
    <t>CRUZE</t>
  </si>
  <si>
    <t>Cruze 1,4 Lts. Turbo Sedán 4P. T/A Otto</t>
  </si>
  <si>
    <t>SUZUKI</t>
  </si>
  <si>
    <t>Grand Vitara 1,6 Lts. DOHC Station Wagon 3P. T/M 4x4 Motor Otto</t>
  </si>
  <si>
    <t>FORTUNER</t>
  </si>
  <si>
    <t>Fortuner 2,7 Lts. Station Wagon 5P. T/A 4x2 Otto</t>
  </si>
  <si>
    <t>MAZDA 2</t>
  </si>
  <si>
    <t>Mazda2 1,5 Lts. DOHC sedán Back 5P. T/M Motor Otto</t>
  </si>
  <si>
    <t>https://www.cdn.renault.com/content/dam/Renault/MX/brochures/L4M/_catalogo.pdf</t>
  </si>
  <si>
    <t>CHERY</t>
  </si>
  <si>
    <t>TIGGO</t>
  </si>
  <si>
    <t>Tiggo 1,6 Lts. DOHC Station Wagon 5P. 4x2 T/M Motor Otto</t>
  </si>
  <si>
    <t>DODGE</t>
  </si>
  <si>
    <t>JOURNEY</t>
  </si>
  <si>
    <t>D</t>
  </si>
  <si>
    <t>Journey SE 2,4 Lts. DOHC Station Wagon 5P. T/A Motor Otto</t>
  </si>
  <si>
    <t>Tier 2 B4</t>
  </si>
  <si>
    <t xml:space="preserve">SANDERO </t>
  </si>
  <si>
    <t>HYUNDAI</t>
  </si>
  <si>
    <t>GRAND I10</t>
  </si>
  <si>
    <t>Grand i10 BA PE 1,2 Lts. Sedán T/M</t>
  </si>
  <si>
    <t>CAPTIVA</t>
  </si>
  <si>
    <t>Captiva 2,4 Lts. DOHC Station Wagon 5P. 4x2 T/M Motor Otto</t>
  </si>
  <si>
    <t xml:space="preserve">CX-5 </t>
  </si>
  <si>
    <t>CX5 2,5 Lts. Station Wagon 5P. T/A 4x4 Otto</t>
  </si>
  <si>
    <t>Grand Vitara 2,4 Lts. DOHC Station Wagon 3P. T/M 4WD Motor Otto</t>
  </si>
  <si>
    <t xml:space="preserve">CAPTUR </t>
  </si>
  <si>
    <t>CAPTUR 2.0L AT</t>
  </si>
  <si>
    <t>http://www.inmetro.gov.br/consumidor/tabelas_pbe_veicular.asp</t>
  </si>
  <si>
    <t>Euro 4</t>
  </si>
  <si>
    <t>SENTRA</t>
  </si>
  <si>
    <t>SENTRA (B17) 1.8 MT 4x2</t>
  </si>
  <si>
    <t>CROSS FOX</t>
  </si>
  <si>
    <t>VW / CROSSFOX / 2017, 5PTAS 1.6L 4CIL 100HP MAN</t>
  </si>
  <si>
    <t>ecovehiculos.inecc.gob.mx/</t>
  </si>
  <si>
    <t>JAC</t>
  </si>
  <si>
    <t>S2</t>
  </si>
  <si>
    <t>S2 1,5 Lts. Hatchback T/A</t>
  </si>
  <si>
    <t>Tracker AWD 1,8 Lts. Station Wagon T/A</t>
  </si>
  <si>
    <t>KICKS</t>
  </si>
  <si>
    <t xml:space="preserve"> KICKS (P15) 1.6 MT 4 1,6 Lts. Station Wagon T/M</t>
  </si>
  <si>
    <t>HILUX</t>
  </si>
  <si>
    <t>E</t>
  </si>
  <si>
    <t>Hilux 2,8 Lts. Camioneta T/M</t>
  </si>
  <si>
    <t>ACCENT</t>
  </si>
  <si>
    <t>1.6 L, 4 cyl, MECÁNICA 6-spd</t>
  </si>
  <si>
    <t>https://www.fueleconomy.gov/feg/Find.do?action=sbs&amp;id=37480</t>
  </si>
  <si>
    <t>Alto 800 0,8 Lts. Hatchback T/M</t>
  </si>
  <si>
    <t>TIER 2 B5</t>
  </si>
  <si>
    <t>ELANTRA</t>
  </si>
  <si>
    <t>Elantra AD 1,6 Lts. Sedán 4P. T/M Otto</t>
  </si>
  <si>
    <t>SWIFT</t>
  </si>
  <si>
    <t>Swift 1,2 Lts. Hatch Back 5P. T/M Otto</t>
  </si>
  <si>
    <t xml:space="preserve">TRACKER </t>
  </si>
  <si>
    <t>Hilux 2,4 Lts. Camioneta T/M</t>
  </si>
  <si>
    <t xml:space="preserve">CRETA </t>
  </si>
  <si>
    <t>Creta GS 1,6 Lts. Station Wagon 5P. T/M Otto</t>
  </si>
  <si>
    <t>HONDA</t>
  </si>
  <si>
    <t>CR-V LX 2,4 Lts. DOHC Hatch Back 5P. 4x2 T/A Tipo AUTOMÁTICA Motor Otto</t>
  </si>
  <si>
    <t>AUDI</t>
  </si>
  <si>
    <t>Q3</t>
  </si>
  <si>
    <t>Q3 1,4 Lts. TFSI DOHC Station Wagon 5P. T/A Motor CHPB Otto</t>
  </si>
  <si>
    <t>Edge 3,5 Lts. Station Wagon 4P. T/A Otto</t>
  </si>
  <si>
    <t>Fortuner 2,8 Lts. Station Wagon T/A</t>
  </si>
  <si>
    <t>FUSION</t>
  </si>
  <si>
    <t>Fusion 2,0 Lts., DOHC Sedán 4P. T/A Motor Otto</t>
  </si>
  <si>
    <t>SANDERO RS</t>
  </si>
  <si>
    <t xml:space="preserve">SANDERO RS 2.0 MT </t>
  </si>
  <si>
    <t>CX-9</t>
  </si>
  <si>
    <t>CX9 2,5 Lts. Station Wagon 5P. T/A 4x4 Otto</t>
  </si>
  <si>
    <t>MERCEDES BENZ</t>
  </si>
  <si>
    <t>CLA 180</t>
  </si>
  <si>
    <t>CLA 180 1,6 Lts. DOHC Sedán 4P. T/A Motor Otto</t>
  </si>
  <si>
    <t>Euro 6</t>
  </si>
  <si>
    <t>JIMNY</t>
  </si>
  <si>
    <t>Jimny 1,3 Lts. DOHC Tipo Jeep 3P. T/M 4x4 Motor Otto</t>
  </si>
  <si>
    <t>New Swift Dzire 1,2 Lts. Sedán 4P. T/M Otto</t>
  </si>
  <si>
    <t xml:space="preserve">RAV 4 </t>
  </si>
  <si>
    <t>RAV4 2,5 Lts. Station Wagon T/M</t>
  </si>
  <si>
    <t>C 180</t>
  </si>
  <si>
    <t>C 180 1,6 Lts. DOHC Sedán 4P. T/A Motor Otto</t>
  </si>
  <si>
    <t>A 200</t>
  </si>
  <si>
    <t>A 200 1,6 Lts. DOHC Hatch Back 5P. T/A Motor Otto</t>
  </si>
  <si>
    <t>GLA 200</t>
  </si>
  <si>
    <t>GLA 200 1,6 Lts. DOHC Hatch Back 5P. T/A Motor Otto</t>
  </si>
  <si>
    <t>VOLVO</t>
  </si>
  <si>
    <t>XC60</t>
  </si>
  <si>
    <t>XC60 T5 AWD  2L 4cyl Turbo Petrol 95RON, 8 Spd Auto, 4 door 5 seat SUV, 4WD</t>
  </si>
  <si>
    <t>2L 4cyl Turbo Petrol 95RON, 8 Spd Auto, 4 door 5 seat SUV, 4WD</t>
  </si>
  <si>
    <t>Total Ventas</t>
  </si>
  <si>
    <t>Emisión Anual Promedio (gCO2/km)</t>
  </si>
  <si>
    <t>Promedio armónico de rendimiento anual [mpg]</t>
  </si>
  <si>
    <t>Promedio de consumo anual (lge/100km)</t>
  </si>
  <si>
    <t>Promedio armónico de rendimiento anual (lge/100km)</t>
  </si>
  <si>
    <t>LOGAN</t>
  </si>
  <si>
    <t>Nuevo Logan 1.6 MPi 90 CV MT</t>
  </si>
  <si>
    <t>Mazda3 2,0 Lts. Hatchback T/A</t>
  </si>
  <si>
    <t>Rio 3 1,4 Lts. DOHC Hatch Back 3P. T/M Motor Otto</t>
  </si>
  <si>
    <t>GOL</t>
  </si>
  <si>
    <t>Gol 1,6 Lts. Hatchback T/M</t>
  </si>
  <si>
    <t>Mazda2 1,5 Lts. Sedán T/A</t>
  </si>
  <si>
    <t>Fiesta 1,6 Lts. Sedán T/M</t>
  </si>
  <si>
    <t>CX5 2,0 Lts. Station Wagon 5P. T/A Otto</t>
  </si>
  <si>
    <t>Tracker FWD 1,8 Lts. Station Wagon T/M</t>
  </si>
  <si>
    <t>Fortuner 2,7 Lts. Station Wagon T/A</t>
  </si>
  <si>
    <t>VITARA</t>
  </si>
  <si>
    <t>Vitara 1,6 Lts. Station Wagon 5P. T/M 4x2 Otto</t>
  </si>
  <si>
    <t>PRADO</t>
  </si>
  <si>
    <t>VOYAGE COMFORTLINE</t>
  </si>
  <si>
    <t>KICKS (P15) 1.6 AUTOMÁTICA 4 1,6 Lts. Station Wagon T/A</t>
  </si>
  <si>
    <t>March (K13) 1,6 Lts. Hatch Back 5P. T/A Otto</t>
  </si>
  <si>
    <t>X-Trail (T32) 2,5 Lts. DOHC Station Wagon 5P. 4x2 T/A (AUTOMÁTICA) 7 asientos Motor Otto</t>
  </si>
  <si>
    <t>Versa 1,6 Lts. Sedán T/A</t>
  </si>
  <si>
    <t>Onix 1,4 Lts. Hatchback T/A</t>
  </si>
  <si>
    <t>EQUINOX</t>
  </si>
  <si>
    <t>Equinox AWD 1,5 Lts. Station Wagon 5P. T/A 4x4 Otto</t>
  </si>
  <si>
    <t>Logan 1.6 L K4M AT</t>
  </si>
  <si>
    <t>Ficha técnica: https://www.renaultsatelite.com.mx/logan-2017/</t>
  </si>
  <si>
    <t>NP 300 (D23) 2,5 Lts. Camioneta 4P. T/M 4x2 Otto</t>
  </si>
  <si>
    <t>CX5 2,0 Lts. Station Wagon 5P. T/M 4x2 Otto</t>
  </si>
  <si>
    <t>TIER 2 B4</t>
  </si>
  <si>
    <t>4Runner 4,0 Lts. DOHC Station Wagon 5P. T/A 4x4 Motor Otto</t>
  </si>
  <si>
    <t>ALTO</t>
  </si>
  <si>
    <t>Mazda2 1,5 Lts. Sedán T/M</t>
  </si>
  <si>
    <t>DUSTER 5PTS 2.0L 4CIL 133HP AUT 2014</t>
  </si>
  <si>
    <t>Explorer Limited 2,3 Lts. Station Wagon 5P. T/A 4x4 Otto</t>
  </si>
  <si>
    <t>CR-V</t>
  </si>
  <si>
    <t>Rio 5 1,2 Lts. DOHC Hatch Back 5P. T/M Motor Otto</t>
  </si>
  <si>
    <t>S2 1,5 Lts. Hatchback T/M</t>
  </si>
  <si>
    <t>BT-50</t>
  </si>
  <si>
    <t>BT-50 3,2 Lts. DOHC Pick Up Doble Cabina 4P. 4x4 T/A Motor Diésel</t>
  </si>
  <si>
    <t>RANGER</t>
  </si>
  <si>
    <t>Ranger 3,2 Lts. Camioneta Doble Cabina 4P. T/A 4x4 Diésel</t>
  </si>
  <si>
    <t>GRAND VITARA</t>
  </si>
  <si>
    <t>Cerato 1,6 Lts. DOHC Sedán 4P. T/M Motor Otto</t>
  </si>
  <si>
    <t>Mazda3 2,0 Lts. Sedán T/M</t>
  </si>
  <si>
    <t>TIGUAN</t>
  </si>
  <si>
    <t>Tiguan 2,0 Lts. TSI Sport 4Motion DOHC Station Wagon 5P. 4x4 T/A Motor CCZD Otto</t>
  </si>
  <si>
    <t>New Qashqai 2,0 Lts. DOHC Station Wagon 5P. T/A CVT 2WD Motor Otto</t>
  </si>
  <si>
    <t>DMAX</t>
  </si>
  <si>
    <t>D-Max E5 2,5 Lts. DOHC Pick Up Doble Cabina 4P. T/M 4x4 Motor Diésel</t>
  </si>
  <si>
    <t>FIAT</t>
  </si>
  <si>
    <t>UNO WAY</t>
  </si>
  <si>
    <t>Uno Way 1,4 Lts. DOHC Hatch Back 5P. T/M Motor Otto</t>
  </si>
  <si>
    <t>EURO 5</t>
  </si>
  <si>
    <t>KANGOO</t>
  </si>
  <si>
    <t>Kangoo 1,5 dCi SOHC Furgón 5P. T/M Motor Diésel</t>
  </si>
  <si>
    <t>VW / CROSSFOX / 2017, 5PTAS 1.6L 4CIL 110HP MAN</t>
  </si>
  <si>
    <t>Sonic 1,6 AT Lts. DOHC Sedán 4P. T/A Motor Otto</t>
  </si>
  <si>
    <t>EDGE</t>
  </si>
  <si>
    <t>Edge 2,0 Lts. Station Wagon 4P. T/A Otto</t>
  </si>
  <si>
    <t>MURANO</t>
  </si>
  <si>
    <t>MURANO (Z52) 3.5 AUTOMÁTICA 4x4</t>
  </si>
  <si>
    <t>NEW KOLEOS</t>
  </si>
  <si>
    <t>Koleos 2,5 Lts., DOHC Station Wagon 5P, T/A 4x4 Motor Otto</t>
  </si>
  <si>
    <t>MITSUBISHI</t>
  </si>
  <si>
    <t>MONTERO SPORT</t>
  </si>
  <si>
    <t>Montero Sport 2,4 Lts. Station Wagon 5P. T/A 4x4 Diésel</t>
  </si>
  <si>
    <t>JETTA</t>
  </si>
  <si>
    <t>VW / JETTA / 2016, MKVI 4PTAS 2.0L 4CIL 115HP AUT</t>
  </si>
  <si>
    <t>WR-V</t>
  </si>
  <si>
    <t>WR-V EX 1,5 Lts. Station Wagon 5P. T/A AUTOMÁTICA Otto</t>
  </si>
  <si>
    <t>CR-V EXL-T 1,5 Lts. Station Wagon 5P. T/A Otto</t>
  </si>
  <si>
    <t>MITSUBISHI / MONTERO / 2013, SPORT 4X2 5PTS 3.0L 6CIL 219HP AUT</t>
  </si>
  <si>
    <t>Alto K10 1,0 Lts. Hatchback T/M</t>
  </si>
  <si>
    <t>Tiguan 1,4 Lts. TSI DOHC Station Wagon 5P. T/M Motor CAXA Otto</t>
  </si>
  <si>
    <t>Koleos 2,0 Lts. DOHC Station Wagon 5P. T/A Tipo AUTOMÁTICA Motor Otto</t>
  </si>
  <si>
    <t>Land Cruiser Prado 4,0 Lts. Station Wagon T/A</t>
  </si>
  <si>
    <t>EcoSport 1,5 Lts. Station Wagon T/M</t>
  </si>
  <si>
    <t>Hilux 2,7 Lts. Pick Up 4P. T/M 4x2 Otto</t>
  </si>
  <si>
    <t>VW / JETTA / 2016, MKVI 4PTAS 2.5L 5CIL 170HP AUT</t>
  </si>
  <si>
    <t>MITSUBISHI / MONTERO / 2011, SPORT 4X4 5PTS 3.5L 6CIL 197HP AUT</t>
  </si>
  <si>
    <t>PEUGEOT</t>
  </si>
  <si>
    <t>PEUGEOT 3008</t>
  </si>
  <si>
    <t>3008 1,6 Lts. Station Wagon T/A</t>
  </si>
  <si>
    <t>Captur Intens TA 2,0 Lts. 133 HP 4 spd</t>
  </si>
  <si>
    <t>Ficha técnica: https://www.renaultsatelite.com.mx/captur/</t>
  </si>
  <si>
    <t>BEAT</t>
  </si>
  <si>
    <t>BEAT LS 5PTS 1.2L 4CIL 81HP MAN</t>
  </si>
  <si>
    <t>https://www.ecovehiculos.inecc.gob.mx/</t>
  </si>
  <si>
    <t xml:space="preserve">C </t>
  </si>
  <si>
    <t>Euro V</t>
  </si>
  <si>
    <t xml:space="preserve">GRAND I10 </t>
  </si>
  <si>
    <t xml:space="preserve">VITARA </t>
  </si>
  <si>
    <t xml:space="preserve">Vitara 1,6 Lts. Station Wagon 5P T/A 4x4 Otto </t>
  </si>
  <si>
    <t>http://www.consumovehicular.cl/#/</t>
  </si>
  <si>
    <t>SPORTAGE</t>
  </si>
  <si>
    <t>VOYAGE TRENDLINE</t>
  </si>
  <si>
    <t>Voyage 1,6 Lts. Sedán 4P. T/M Otto</t>
  </si>
  <si>
    <t xml:space="preserve">JETTA </t>
  </si>
  <si>
    <t>Jetta 1,4 Lts. Sedán 4P. T/A Otto</t>
  </si>
  <si>
    <t>CAPTUR</t>
  </si>
  <si>
    <t xml:space="preserve">SWIFT </t>
  </si>
  <si>
    <t xml:space="preserve">Sportage 2,0 Lts. DOHC Station Wagon 5P T/A 4X2 Motor Otto </t>
  </si>
  <si>
    <t>Rio 3 1,4 Lts. DOHC Hatch Back 3P. T/A Motor Otto</t>
  </si>
  <si>
    <t>COROLLA</t>
  </si>
  <si>
    <t>Corolla 1,8 Lts. DOHC Sedán 4P. T/M Motor Otto</t>
  </si>
  <si>
    <t>Accent HC 1,6 Lts. Sedán 4P T/M Otto</t>
  </si>
  <si>
    <t xml:space="preserve">Euro 5 </t>
  </si>
  <si>
    <t xml:space="preserve">CR-V </t>
  </si>
  <si>
    <t>Corolla 1,8 Lts. DOHC Sedán 4P. T/A Motor Otto</t>
  </si>
  <si>
    <t>CX-3 2,0 Lts. Station Wagon 5P. T/A 4x4 Otto</t>
  </si>
  <si>
    <t>TUCSON</t>
  </si>
  <si>
    <t xml:space="preserve"> Tucson LM FL 2,0 Lts. DOHC Station Wagon 5P. T/A 4x2 Motor Otto</t>
  </si>
  <si>
    <t xml:space="preserve">ALTO </t>
  </si>
  <si>
    <t>CX-3 2,0 Lts. Station Wagon 5P. T/M 4x4 Otto</t>
  </si>
  <si>
    <t>JEEP</t>
  </si>
  <si>
    <t>RENEGADE</t>
  </si>
  <si>
    <t>Jeep Renegade 1,8 Lts. Station Wagon 5P. T/A Otto</t>
  </si>
  <si>
    <t xml:space="preserve">SENTRA </t>
  </si>
  <si>
    <t xml:space="preserve">SENTRA 1.8 lts. DOHC Sedán 4P. T/A Tipo AUTOMÁTICA Motor Otto </t>
  </si>
  <si>
    <t>CRETA</t>
  </si>
  <si>
    <t>Creta GS 1,6 Lts. Station Wagon 5P. T/A Otto</t>
  </si>
  <si>
    <t xml:space="preserve">CELERIO </t>
  </si>
  <si>
    <t>Celerio 1,0 Lts. DOHC Hatch Back 5P. T/M Motor Otto</t>
  </si>
  <si>
    <t>EcoSport 1,5 Lts. Station Wagon 5P. T/A 4x2 Otto</t>
  </si>
  <si>
    <t xml:space="preserve"> Tucson LM FL 2,0 Lts. DOHC Station Wagon 5P. T/M 4x2 Motor Otto</t>
  </si>
  <si>
    <t>NIRO</t>
  </si>
  <si>
    <t>Niro (DE) 1,6 Lts. Station Wagon 5P. T/A (DCT) Híbrido</t>
  </si>
  <si>
    <t>Edge 2,7 Lts. Station Wagon 4P. T/A 4x4 Otto</t>
  </si>
  <si>
    <t>SAVEIRO</t>
  </si>
  <si>
    <t>Saveiro 1,6 Lts. Camioneta Cabina Simple 2P. T/M Otto</t>
  </si>
  <si>
    <t xml:space="preserve">Swift Dzire 1,2 lts. DOHC Hatch Back 4P. T/A Motor Otto </t>
  </si>
  <si>
    <t xml:space="preserve">EURO 5 </t>
  </si>
  <si>
    <t>Ranger 2,5 Lts. Camioneta Doble Cabina 4P. T/M 4x2 Otto</t>
  </si>
  <si>
    <t>Jetta 1,4 Lts. Sedán 4P. T/M Otto</t>
  </si>
  <si>
    <t>20.3</t>
  </si>
  <si>
    <t>Accent HC 1,4 Lts. Sedán 4P T/M Otto</t>
  </si>
  <si>
    <t>Renegade 1,8 Lts, Station Wagon 5P. T/M Otto</t>
  </si>
  <si>
    <t>Grand Vitara 2,4 Lts. DOHC Station Wagon 3P. T/A 4WD Motor Otto</t>
  </si>
  <si>
    <t>NOTE</t>
  </si>
  <si>
    <t xml:space="preserve">Note 1,6 lts. DOHC Hatch Back 5P. T/A Tipo AUTOMÁTICA Motor Otto </t>
  </si>
  <si>
    <t>CARENS SUV</t>
  </si>
  <si>
    <t>Carens 2,0 Lts. DOHC Station Wagon 5P. (7 Pasajeros) T/M Motor Otto</t>
  </si>
  <si>
    <t>Vitara 1,4 Lts. Station Wagon 5P. T/A 4x4 Otto</t>
  </si>
  <si>
    <t xml:space="preserve">Note 1,6 lts. DOHC Hatch Back 5P. T/M Motor Otto </t>
  </si>
  <si>
    <t>RAV4 2,0 Lts. Station 5P Wagon T/A 4X4 Motor Otto</t>
  </si>
  <si>
    <t>Vitara 1,4 Lts. Station Wagon 5P. T/M 4x2 Otto</t>
  </si>
  <si>
    <t>Accent HC 1,6 Lts. Sedán 5P T/A Otto</t>
  </si>
  <si>
    <t>Hilux 2,8 Lts. Pick Up 4P. T/A 4x4 Diésel</t>
  </si>
  <si>
    <t>RAV4 2,5 Lts. Station Wagon T/A</t>
  </si>
  <si>
    <t>F</t>
  </si>
  <si>
    <t>Vehicle Index No</t>
  </si>
  <si>
    <t>Desplazamiento (l)</t>
  </si>
  <si>
    <t>Tipo de Combustible</t>
  </si>
  <si>
    <t>Gasolina</t>
  </si>
  <si>
    <t>Diesel</t>
  </si>
  <si>
    <t>G</t>
  </si>
  <si>
    <t>T</t>
  </si>
  <si>
    <t>Transmission Type</t>
  </si>
  <si>
    <t>Mecánica</t>
  </si>
  <si>
    <t>Automática</t>
  </si>
  <si>
    <t>M</t>
  </si>
  <si>
    <t>Tailpipe Co2 (g/mi)</t>
  </si>
  <si>
    <t>Large</t>
  </si>
  <si>
    <t>Executive</t>
  </si>
  <si>
    <t>Luxury</t>
  </si>
  <si>
    <t>sq ft</t>
  </si>
  <si>
    <t>Curb Weight</t>
  </si>
  <si>
    <t>Footprint (ft2)</t>
  </si>
  <si>
    <t>Curb Weight (lb)</t>
  </si>
  <si>
    <t>Subcompact</t>
  </si>
  <si>
    <t>Compact</t>
  </si>
  <si>
    <t>Midsize</t>
  </si>
  <si>
    <t>Tipo de Vehículo</t>
  </si>
  <si>
    <t>Vehicle Type No</t>
  </si>
  <si>
    <t>EPA Vehicle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</si>
</sst>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00"/>
    <numFmt numFmtId="166" formatCode="0.0%"/>
    <numFmt numFmtId="167" formatCode="0.000000"/>
    <numFmt numFmtId="172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 "/>
    </font>
    <font>
      <sz val="10"/>
      <color theme="1"/>
      <name val="Calibri "/>
    </font>
    <font>
      <sz val="10"/>
      <color rgb="FF0B539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name val="Calibri"/>
      <family val="2"/>
      <scheme val="minor"/>
    </font>
    <font>
      <sz val="10"/>
      <name val="Calibri "/>
    </font>
    <font>
      <u/>
      <sz val="11"/>
      <name val="Calibri"/>
      <family val="2"/>
      <scheme val="minor"/>
    </font>
    <font>
      <sz val="11"/>
      <name val="Calibri"/>
      <family val="2"/>
    </font>
    <font>
      <sz val="9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65" fontId="2" fillId="5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3" fontId="0" fillId="0" borderId="0" xfId="0" applyNumberFormat="1"/>
    <xf numFmtId="3" fontId="0" fillId="0" borderId="7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 wrapText="1"/>
    </xf>
    <xf numFmtId="2" fontId="11" fillId="0" borderId="7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0" xfId="0" applyFont="1" applyFill="1"/>
    <xf numFmtId="3" fontId="11" fillId="0" borderId="0" xfId="0" applyNumberFormat="1" applyFont="1" applyFill="1" applyAlignment="1">
      <alignment horizontal="center" vertical="center"/>
    </xf>
    <xf numFmtId="0" fontId="11" fillId="0" borderId="7" xfId="0" applyFont="1" applyFill="1" applyBorder="1" applyAlignment="1">
      <alignment horizontal="center" wrapText="1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0" xfId="0" applyFont="1" applyFill="1" applyBorder="1" applyAlignment="1">
      <alignment horizontal="center"/>
    </xf>
    <xf numFmtId="3" fontId="11" fillId="0" borderId="10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2" fontId="11" fillId="0" borderId="10" xfId="0" applyNumberFormat="1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11" fillId="0" borderId="5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vertical="center"/>
    </xf>
    <xf numFmtId="3" fontId="11" fillId="0" borderId="7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3" fontId="11" fillId="0" borderId="10" xfId="0" applyNumberFormat="1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vertical="center"/>
    </xf>
    <xf numFmtId="165" fontId="2" fillId="5" borderId="22" xfId="0" applyNumberFormat="1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2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3" fontId="11" fillId="0" borderId="6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2" fontId="11" fillId="0" borderId="5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2" fontId="11" fillId="0" borderId="21" xfId="0" applyNumberFormat="1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3" fontId="11" fillId="0" borderId="21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3" fontId="11" fillId="0" borderId="22" xfId="0" applyNumberFormat="1" applyFont="1" applyFill="1" applyBorder="1" applyAlignment="1">
      <alignment horizontal="center" vertical="center"/>
    </xf>
    <xf numFmtId="3" fontId="11" fillId="0" borderId="11" xfId="0" applyNumberFormat="1" applyFont="1" applyFill="1" applyBorder="1" applyAlignment="1">
      <alignment horizontal="center" vertical="center"/>
    </xf>
    <xf numFmtId="2" fontId="11" fillId="0" borderId="22" xfId="0" applyNumberFormat="1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7" fontId="11" fillId="0" borderId="8" xfId="0" applyNumberFormat="1" applyFont="1" applyFill="1" applyBorder="1" applyAlignment="1">
      <alignment horizontal="center" vertical="center" wrapText="1"/>
    </xf>
    <xf numFmtId="3" fontId="11" fillId="0" borderId="0" xfId="0" applyNumberFormat="1" applyFont="1" applyFill="1" applyAlignment="1">
      <alignment horizontal="center"/>
    </xf>
    <xf numFmtId="0" fontId="13" fillId="0" borderId="7" xfId="2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wrapText="1"/>
    </xf>
    <xf numFmtId="3" fontId="11" fillId="0" borderId="7" xfId="0" applyNumberFormat="1" applyFont="1" applyFill="1" applyBorder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4" fillId="0" borderId="7" xfId="0" applyFont="1" applyFill="1" applyBorder="1" applyAlignment="1">
      <alignment horizontal="center"/>
    </xf>
    <xf numFmtId="3" fontId="11" fillId="0" borderId="11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 wrapText="1"/>
    </xf>
    <xf numFmtId="0" fontId="11" fillId="0" borderId="23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center"/>
    </xf>
    <xf numFmtId="3" fontId="11" fillId="0" borderId="14" xfId="0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 vertical="center"/>
    </xf>
    <xf numFmtId="164" fontId="11" fillId="0" borderId="14" xfId="0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6" borderId="0" xfId="0" applyFont="1" applyFill="1"/>
    <xf numFmtId="0" fontId="11" fillId="6" borderId="5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3" fontId="11" fillId="6" borderId="5" xfId="0" applyNumberFormat="1" applyFont="1" applyFill="1" applyBorder="1" applyAlignment="1">
      <alignment horizontal="center"/>
    </xf>
    <xf numFmtId="3" fontId="11" fillId="6" borderId="7" xfId="0" applyNumberFormat="1" applyFont="1" applyFill="1" applyBorder="1" applyAlignment="1">
      <alignment horizontal="center"/>
    </xf>
    <xf numFmtId="3" fontId="14" fillId="6" borderId="7" xfId="0" applyNumberFormat="1" applyFont="1" applyFill="1" applyBorder="1" applyAlignment="1">
      <alignment horizontal="center"/>
    </xf>
    <xf numFmtId="3" fontId="11" fillId="6" borderId="1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2" fontId="11" fillId="6" borderId="8" xfId="0" applyNumberFormat="1" applyFont="1" applyFill="1" applyBorder="1" applyAlignment="1">
      <alignment horizontal="center" wrapText="1"/>
    </xf>
    <xf numFmtId="2" fontId="11" fillId="6" borderId="7" xfId="0" applyNumberFormat="1" applyFont="1" applyFill="1" applyBorder="1" applyAlignment="1">
      <alignment horizontal="center" vertical="center" wrapText="1"/>
    </xf>
    <xf numFmtId="2" fontId="11" fillId="6" borderId="10" xfId="0" applyNumberFormat="1" applyFont="1" applyFill="1" applyBorder="1" applyAlignment="1">
      <alignment horizontal="center" vertical="center" wrapText="1"/>
    </xf>
    <xf numFmtId="0" fontId="15" fillId="7" borderId="5" xfId="0" applyFont="1" applyFill="1" applyBorder="1" applyAlignment="1" applyProtection="1">
      <alignment horizontal="center" vertical="center" textRotation="90" wrapText="1"/>
      <protection locked="0"/>
    </xf>
    <xf numFmtId="172" fontId="15" fillId="8" borderId="5" xfId="0" applyNumberFormat="1" applyFont="1" applyFill="1" applyBorder="1" applyAlignment="1" applyProtection="1">
      <alignment horizontal="center" vertical="center" textRotation="90"/>
      <protection locked="0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306915</xdr:colOff>
      <xdr:row>57</xdr:row>
      <xdr:rowOff>116417</xdr:rowOff>
    </xdr:from>
    <xdr:to>
      <xdr:col>38</xdr:col>
      <xdr:colOff>3561290</xdr:colOff>
      <xdr:row>78</xdr:row>
      <xdr:rowOff>21167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0EE781-5AE8-4D71-A126-B648F8B31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9665" y="11736917"/>
          <a:ext cx="32543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171450</xdr:rowOff>
    </xdr:from>
    <xdr:to>
      <xdr:col>15</xdr:col>
      <xdr:colOff>760476</xdr:colOff>
      <xdr:row>35</xdr:row>
      <xdr:rowOff>171117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F43427-625E-4E8B-BFE0-0322AA1A9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71950"/>
          <a:ext cx="12190476" cy="26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13</xdr:row>
      <xdr:rowOff>9525</xdr:rowOff>
    </xdr:from>
    <xdr:to>
      <xdr:col>12</xdr:col>
      <xdr:colOff>38100</xdr:colOff>
      <xdr:row>18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14DA87-E260-4C8F-8705-CC611386C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2486025"/>
          <a:ext cx="50863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0</xdr:row>
      <xdr:rowOff>0</xdr:rowOff>
    </xdr:from>
    <xdr:to>
      <xdr:col>11</xdr:col>
      <xdr:colOff>400050</xdr:colOff>
      <xdr:row>10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1494FB-A690-4231-8922-594879A5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0"/>
          <a:ext cx="4752975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sumovehicular.cl/" TargetMode="External"/><Relationship Id="rId13" Type="http://schemas.openxmlformats.org/officeDocument/2006/relationships/hyperlink" Target="http://www.consumovehicular.cl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consumovehicular.cl/" TargetMode="External"/><Relationship Id="rId21" Type="http://schemas.microsoft.com/office/2019/04/relationships/namedSheetView" Target="../namedSheetViews/namedSheetView1.xml"/><Relationship Id="rId7" Type="http://schemas.openxmlformats.org/officeDocument/2006/relationships/hyperlink" Target="http://www.consumovehicular.cl/" TargetMode="External"/><Relationship Id="rId12" Type="http://schemas.openxmlformats.org/officeDocument/2006/relationships/hyperlink" Target="http://www.consumovehicular.cl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consumovehicular.cl/" TargetMode="External"/><Relationship Id="rId16" Type="http://schemas.openxmlformats.org/officeDocument/2006/relationships/hyperlink" Target="http://www.inmetro.gov.br/consumidor/tabelas_pbe_veicular.asp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consumovehicular.cl/" TargetMode="External"/><Relationship Id="rId6" Type="http://schemas.openxmlformats.org/officeDocument/2006/relationships/hyperlink" Target="http://www.consumovehicular.cl/" TargetMode="External"/><Relationship Id="rId11" Type="http://schemas.openxmlformats.org/officeDocument/2006/relationships/hyperlink" Target="http://www.consumovehicular.cl/" TargetMode="External"/><Relationship Id="rId5" Type="http://schemas.openxmlformats.org/officeDocument/2006/relationships/hyperlink" Target="http://www.consumovehicular.cl/" TargetMode="External"/><Relationship Id="rId15" Type="http://schemas.openxmlformats.org/officeDocument/2006/relationships/hyperlink" Target="http://www.consumovehicular.cl/" TargetMode="External"/><Relationship Id="rId10" Type="http://schemas.openxmlformats.org/officeDocument/2006/relationships/hyperlink" Target="http://www.consumovehicular.cl/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consumovehicular.cl/" TargetMode="External"/><Relationship Id="rId9" Type="http://schemas.openxmlformats.org/officeDocument/2006/relationships/hyperlink" Target="http://www.consumovehicular.cl/" TargetMode="External"/><Relationship Id="rId14" Type="http://schemas.openxmlformats.org/officeDocument/2006/relationships/hyperlink" Target="http://www.consumovehicular.c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ueleconomy.gov/feg/Find.do?action=sbs&amp;id=37480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E24A-85D5-47F9-A8ED-4D81FEC97F22}">
  <dimension ref="A1:AN129"/>
  <sheetViews>
    <sheetView tabSelected="1" zoomScale="90" zoomScaleNormal="90" workbookViewId="0">
      <pane ySplit="1" topLeftCell="A2" activePane="bottomLeft" state="frozen"/>
      <selection pane="bottomLeft" activeCell="E127" sqref="E2:E127"/>
    </sheetView>
  </sheetViews>
  <sheetFormatPr baseColWidth="10" defaultRowHeight="15"/>
  <cols>
    <col min="2" max="2" width="13.42578125" bestFit="1" customWidth="1"/>
    <col min="3" max="3" width="21.7109375" bestFit="1" customWidth="1"/>
    <col min="4" max="4" width="15.28515625" bestFit="1" customWidth="1"/>
    <col min="5" max="5" width="15.28515625" customWidth="1"/>
    <col min="6" max="6" width="18.5703125" style="10" bestFit="1" customWidth="1"/>
    <col min="7" max="8" width="18.5703125" style="10" customWidth="1"/>
    <col min="10" max="11" width="12.5703125" customWidth="1"/>
    <col min="12" max="12" width="10.7109375" bestFit="1" customWidth="1"/>
    <col min="13" max="13" width="10.7109375" customWidth="1"/>
    <col min="14" max="14" width="12" bestFit="1" customWidth="1"/>
    <col min="16" max="16" width="16.5703125" bestFit="1" customWidth="1"/>
    <col min="17" max="17" width="16.5703125" customWidth="1"/>
    <col min="20" max="20" width="11.5703125" style="28" customWidth="1"/>
    <col min="21" max="32" width="11.5703125" customWidth="1"/>
    <col min="33" max="34" width="11.5703125" style="10"/>
    <col min="35" max="35" width="6" style="10" bestFit="1" customWidth="1"/>
    <col min="36" max="36" width="75.28515625" bestFit="1" customWidth="1"/>
    <col min="37" max="37" width="13.42578125" customWidth="1"/>
    <col min="38" max="38" width="15.85546875" customWidth="1"/>
    <col min="39" max="39" width="149.85546875" style="10" bestFit="1" customWidth="1"/>
    <col min="40" max="40" width="33.5703125" style="27" customWidth="1"/>
  </cols>
  <sheetData>
    <row r="1" spans="1:40" s="8" customFormat="1" ht="60" customHeight="1">
      <c r="A1" s="131" t="s">
        <v>375</v>
      </c>
      <c r="B1" s="1" t="s">
        <v>0</v>
      </c>
      <c r="C1" s="1" t="s">
        <v>1</v>
      </c>
      <c r="D1" s="1" t="s">
        <v>2</v>
      </c>
      <c r="E1" s="128" t="s">
        <v>399</v>
      </c>
      <c r="F1" s="5" t="s">
        <v>3</v>
      </c>
      <c r="G1" s="145" t="s">
        <v>392</v>
      </c>
      <c r="H1" s="146" t="s">
        <v>393</v>
      </c>
      <c r="I1" s="1" t="s">
        <v>4</v>
      </c>
      <c r="J1" s="1" t="s">
        <v>5</v>
      </c>
      <c r="K1" s="128" t="s">
        <v>377</v>
      </c>
      <c r="L1" s="1" t="s">
        <v>6</v>
      </c>
      <c r="M1" s="128" t="s">
        <v>376</v>
      </c>
      <c r="N1" s="1" t="s">
        <v>7</v>
      </c>
      <c r="O1" s="1" t="s">
        <v>8</v>
      </c>
      <c r="P1" s="1" t="s">
        <v>9</v>
      </c>
      <c r="Q1" s="128" t="s">
        <v>382</v>
      </c>
      <c r="R1" s="1" t="s">
        <v>10</v>
      </c>
      <c r="S1" s="1" t="s">
        <v>11</v>
      </c>
      <c r="T1" s="2" t="s">
        <v>12</v>
      </c>
      <c r="U1" s="1" t="s">
        <v>13</v>
      </c>
      <c r="V1" s="128" t="s">
        <v>386</v>
      </c>
      <c r="W1" s="3" t="s">
        <v>14</v>
      </c>
      <c r="X1" s="4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3" t="s">
        <v>20</v>
      </c>
      <c r="AD1" s="4" t="s">
        <v>21</v>
      </c>
      <c r="AE1" s="1" t="s">
        <v>22</v>
      </c>
      <c r="AF1" s="1" t="s">
        <v>23</v>
      </c>
      <c r="AG1" s="129" t="s">
        <v>24</v>
      </c>
      <c r="AH1" s="129"/>
      <c r="AI1" s="130"/>
      <c r="AJ1" s="30" t="s">
        <v>25</v>
      </c>
      <c r="AK1" s="128" t="s">
        <v>397</v>
      </c>
      <c r="AL1" s="128" t="s">
        <v>398</v>
      </c>
      <c r="AM1" s="30" t="s">
        <v>26</v>
      </c>
      <c r="AN1" s="1" t="s">
        <v>27</v>
      </c>
    </row>
    <row r="2" spans="1:40" s="38" customFormat="1">
      <c r="A2" s="132">
        <v>101</v>
      </c>
      <c r="B2" s="133" t="s">
        <v>28</v>
      </c>
      <c r="C2" s="133" t="s">
        <v>310</v>
      </c>
      <c r="D2" s="32" t="s">
        <v>30</v>
      </c>
      <c r="E2" s="32" t="str">
        <f>VLOOKUP(D2,Hoja1!$B$17:$C$21,2,TRUE)</f>
        <v>C</v>
      </c>
      <c r="F2" s="32" t="s">
        <v>57</v>
      </c>
      <c r="G2" s="32">
        <f>VLOOKUP(F2,Hoja1!$A$9:$D$15,3,TRUE)</f>
        <v>60</v>
      </c>
      <c r="H2" s="32">
        <f>VLOOKUP(F2,Hoja1!$A$9:$D$15,4,TRUE)</f>
        <v>2250</v>
      </c>
      <c r="I2" s="32">
        <v>2019</v>
      </c>
      <c r="J2" s="133" t="s">
        <v>32</v>
      </c>
      <c r="K2" s="133" t="str">
        <f>VLOOKUP(J2,Hoja1!$A$2:$B$3,2,FALSE)</f>
        <v>G</v>
      </c>
      <c r="L2" s="133">
        <v>1206</v>
      </c>
      <c r="M2" s="133">
        <f>L2/1000</f>
        <v>1.206</v>
      </c>
      <c r="N2" s="32" t="s">
        <v>33</v>
      </c>
      <c r="O2" s="32" t="s">
        <v>34</v>
      </c>
      <c r="P2" s="133" t="s">
        <v>35</v>
      </c>
      <c r="Q2" s="133" t="str">
        <f>VLOOKUP(P2,Hoja1!$A$6:$B$7,2,FALSE)</f>
        <v>M</v>
      </c>
      <c r="R2" s="137">
        <v>11723</v>
      </c>
      <c r="S2" s="113">
        <f>1.1325*U2-13.739</f>
        <v>113.43428170377541</v>
      </c>
      <c r="T2" s="119">
        <f>S2*R2</f>
        <v>1329790.0844133592</v>
      </c>
      <c r="U2" s="33">
        <f>(23.2*100*2.35)/Y2</f>
        <v>112.29428848015489</v>
      </c>
      <c r="V2" s="141">
        <f>U2*1.609</f>
        <v>180.6815101645692</v>
      </c>
      <c r="W2" s="34">
        <f t="shared" ref="W2:W65" si="0">IF(J2="GASOLINA",2336.86/U2,2684.4/U2)</f>
        <v>20.810141206896553</v>
      </c>
      <c r="X2" s="34">
        <f>AI2</f>
        <v>20.66</v>
      </c>
      <c r="Y2" s="142">
        <f>X2*2.35</f>
        <v>48.551000000000002</v>
      </c>
      <c r="Z2" s="33">
        <f>R2/Y2</f>
        <v>241.45743651006157</v>
      </c>
      <c r="AA2" s="33">
        <f>U2</f>
        <v>112.29428848015489</v>
      </c>
      <c r="AB2" s="33">
        <f>S2</f>
        <v>113.43428170377541</v>
      </c>
      <c r="AC2" s="34">
        <f t="shared" ref="AC2:AC65" si="1">IF(J2="GASOLINA",(S2/23.2),(S2/(1.08*24.8)))</f>
        <v>4.8894086941282504</v>
      </c>
      <c r="AD2" s="34">
        <f t="shared" ref="AD2:AD65" si="2">IF(J2="GASOLINA",AC2,AC2*1.08)</f>
        <v>4.8894086941282504</v>
      </c>
      <c r="AE2" s="33">
        <f t="shared" ref="AE2:AE65" si="3">AD2*R2</f>
        <v>57318.538121265483</v>
      </c>
      <c r="AF2" s="33">
        <f t="shared" ref="AF2:AF65" si="4">R2/AD2</f>
        <v>2397.6314383533313</v>
      </c>
      <c r="AG2" s="120">
        <v>18.05</v>
      </c>
      <c r="AH2" s="32">
        <v>25.1</v>
      </c>
      <c r="AI2" s="43">
        <v>20.66</v>
      </c>
      <c r="AJ2" s="44" t="s">
        <v>311</v>
      </c>
      <c r="AK2" s="44" t="str">
        <f>VLOOKUP(F2,Hoja1!$A$9:$D$15,2,TRUE)</f>
        <v>Subcompact</v>
      </c>
      <c r="AL2" s="44">
        <v>1</v>
      </c>
      <c r="AM2" s="112" t="s">
        <v>312</v>
      </c>
      <c r="AN2" s="113"/>
    </row>
    <row r="3" spans="1:40" s="38" customFormat="1">
      <c r="A3" s="132">
        <v>102</v>
      </c>
      <c r="B3" s="134" t="s">
        <v>28</v>
      </c>
      <c r="C3" s="134" t="s">
        <v>39</v>
      </c>
      <c r="D3" s="35" t="s">
        <v>30</v>
      </c>
      <c r="E3" s="32" t="str">
        <f>VLOOKUP(D3,Hoja1!$B$17:$C$21,2,TRUE)</f>
        <v>C</v>
      </c>
      <c r="F3" s="35" t="s">
        <v>40</v>
      </c>
      <c r="G3" s="32">
        <f>VLOOKUP(F3,Hoja1!$A$9:$D$15,3,TRUE)</f>
        <v>80</v>
      </c>
      <c r="H3" s="32">
        <f>VLOOKUP(F3,Hoja1!$A$9:$D$15,4,TRUE)</f>
        <v>3500</v>
      </c>
      <c r="I3" s="35">
        <v>2019</v>
      </c>
      <c r="J3" s="134" t="s">
        <v>32</v>
      </c>
      <c r="K3" s="133" t="str">
        <f>VLOOKUP(J3,Hoja1!$A$2:$B$3,2,FALSE)</f>
        <v>G</v>
      </c>
      <c r="L3" s="134">
        <v>1206</v>
      </c>
      <c r="M3" s="133">
        <f t="shared" ref="M3:M66" si="5">L3/1000</f>
        <v>1.206</v>
      </c>
      <c r="N3" s="35" t="s">
        <v>33</v>
      </c>
      <c r="O3" s="35" t="s">
        <v>34</v>
      </c>
      <c r="P3" s="134" t="s">
        <v>35</v>
      </c>
      <c r="Q3" s="133" t="str">
        <f>VLOOKUP(P3,Hoja1!$A$6:$B$7,2,FALSE)</f>
        <v>M</v>
      </c>
      <c r="R3" s="138">
        <v>10205</v>
      </c>
      <c r="S3" s="59">
        <v>140</v>
      </c>
      <c r="T3" s="111">
        <f>S3*R3</f>
        <v>1428700</v>
      </c>
      <c r="U3" s="37">
        <f t="shared" ref="U3:U66" si="6">IF(J3="GASOLINA",S3*0.8658+14.076,S3*0.7683+23.928)</f>
        <v>135.28800000000001</v>
      </c>
      <c r="V3" s="141">
        <f t="shared" ref="V3:V66" si="7">U3*1.609</f>
        <v>217.678392</v>
      </c>
      <c r="W3" s="34">
        <f t="shared" si="0"/>
        <v>17.273224528413458</v>
      </c>
      <c r="X3" s="34">
        <f t="shared" ref="X3:X66" si="8">IF(J3="GASOLINA",W3,W3/1.08)</f>
        <v>17.273224528413458</v>
      </c>
      <c r="Y3" s="143">
        <f t="shared" ref="Y3:Y66" si="9">X3*2.35</f>
        <v>40.592077641771624</v>
      </c>
      <c r="Z3" s="37">
        <f t="shared" ref="Z3:Z66" si="10">R3/Y3</f>
        <v>251.40373671089102</v>
      </c>
      <c r="AA3" s="37"/>
      <c r="AB3" s="37"/>
      <c r="AC3" s="34">
        <f t="shared" si="1"/>
        <v>6.0344827586206895</v>
      </c>
      <c r="AD3" s="34">
        <f t="shared" si="2"/>
        <v>6.0344827586206895</v>
      </c>
      <c r="AE3" s="33">
        <f t="shared" si="3"/>
        <v>61581.896551724138</v>
      </c>
      <c r="AF3" s="33">
        <f t="shared" si="4"/>
        <v>1691.1142857142859</v>
      </c>
      <c r="AG3" s="121">
        <v>12.6</v>
      </c>
      <c r="AH3" s="59">
        <v>21.4</v>
      </c>
      <c r="AI3" s="39">
        <v>17</v>
      </c>
      <c r="AJ3" s="59" t="s">
        <v>42</v>
      </c>
      <c r="AK3" s="44" t="str">
        <f>VLOOKUP(F3,Hoja1!$A$9:$D$15,2,TRUE)</f>
        <v>Compact</v>
      </c>
      <c r="AL3" s="59">
        <v>2</v>
      </c>
      <c r="AM3" s="59" t="s">
        <v>37</v>
      </c>
      <c r="AN3" s="36" t="s">
        <v>38</v>
      </c>
    </row>
    <row r="4" spans="1:40" s="38" customFormat="1">
      <c r="A4" s="132">
        <v>103</v>
      </c>
      <c r="B4" s="134" t="s">
        <v>43</v>
      </c>
      <c r="C4" s="134" t="s">
        <v>44</v>
      </c>
      <c r="D4" s="35" t="s">
        <v>30</v>
      </c>
      <c r="E4" s="32" t="str">
        <f>VLOOKUP(D4,Hoja1!$B$17:$C$21,2,TRUE)</f>
        <v>C</v>
      </c>
      <c r="F4" s="44" t="s">
        <v>313</v>
      </c>
      <c r="G4" s="32">
        <f>VLOOKUP(F4,Hoja1!$A$9:$D$15,3,TRUE)</f>
        <v>90</v>
      </c>
      <c r="H4" s="32">
        <f>VLOOKUP(F4,Hoja1!$A$9:$D$15,4,TRUE)</f>
        <v>4250</v>
      </c>
      <c r="I4" s="35">
        <v>2019</v>
      </c>
      <c r="J4" s="134" t="s">
        <v>32</v>
      </c>
      <c r="K4" s="133" t="str">
        <f>VLOOKUP(J4,Hoja1!$A$2:$B$3,2,FALSE)</f>
        <v>G</v>
      </c>
      <c r="L4" s="134">
        <v>1598</v>
      </c>
      <c r="M4" s="133">
        <f t="shared" si="5"/>
        <v>1.5980000000000001</v>
      </c>
      <c r="N4" s="35" t="s">
        <v>41</v>
      </c>
      <c r="O4" s="35" t="s">
        <v>34</v>
      </c>
      <c r="P4" s="134" t="s">
        <v>35</v>
      </c>
      <c r="Q4" s="133" t="str">
        <f>VLOOKUP(P4,Hoja1!$A$6:$B$7,2,FALSE)</f>
        <v>M</v>
      </c>
      <c r="R4" s="138">
        <v>10160</v>
      </c>
      <c r="S4" s="40">
        <f>1.1325*U4-13.739</f>
        <v>156.98224756335284</v>
      </c>
      <c r="T4" s="119">
        <f>S4*R4</f>
        <v>1594939.635243665</v>
      </c>
      <c r="U4" s="33">
        <f>(23.2*100*2.35)/Y4</f>
        <v>150.74723846653671</v>
      </c>
      <c r="V4" s="141">
        <f t="shared" si="7"/>
        <v>242.55230669265757</v>
      </c>
      <c r="W4" s="34">
        <f t="shared" si="0"/>
        <v>15.501842844827587</v>
      </c>
      <c r="X4" s="34">
        <f>AI4</f>
        <v>15.39</v>
      </c>
      <c r="Y4" s="142">
        <f>X4*2.35</f>
        <v>36.166499999999999</v>
      </c>
      <c r="Z4" s="33">
        <f>R4/Y4</f>
        <v>280.92295356199799</v>
      </c>
      <c r="AA4" s="33">
        <f>U4</f>
        <v>150.74723846653671</v>
      </c>
      <c r="AB4" s="33">
        <f>S4</f>
        <v>156.98224756335284</v>
      </c>
      <c r="AC4" s="34">
        <f t="shared" si="1"/>
        <v>6.7664761880755542</v>
      </c>
      <c r="AD4" s="34">
        <f t="shared" si="2"/>
        <v>6.7664761880755542</v>
      </c>
      <c r="AE4" s="33">
        <f t="shared" si="3"/>
        <v>68747.39807084763</v>
      </c>
      <c r="AF4" s="33">
        <f t="shared" si="4"/>
        <v>1501.5200996206556</v>
      </c>
      <c r="AG4" s="122">
        <v>13.2</v>
      </c>
      <c r="AH4" s="35">
        <v>19.3</v>
      </c>
      <c r="AI4" s="43">
        <v>15.39</v>
      </c>
      <c r="AJ4" s="44" t="s">
        <v>45</v>
      </c>
      <c r="AK4" s="44" t="str">
        <f>VLOOKUP(F4,Hoja1!$A$9:$D$15,2,TRUE)</f>
        <v>Midsize</v>
      </c>
      <c r="AL4" s="44">
        <v>3</v>
      </c>
      <c r="AM4" s="44" t="s">
        <v>46</v>
      </c>
      <c r="AN4" s="40"/>
    </row>
    <row r="5" spans="1:40" s="38" customFormat="1">
      <c r="A5" s="132">
        <v>104</v>
      </c>
      <c r="B5" s="134" t="s">
        <v>43</v>
      </c>
      <c r="C5" s="134" t="s">
        <v>53</v>
      </c>
      <c r="D5" s="35" t="s">
        <v>30</v>
      </c>
      <c r="E5" s="32" t="str">
        <f>VLOOKUP(D5,Hoja1!$B$17:$C$21,2,TRUE)</f>
        <v>C</v>
      </c>
      <c r="F5" s="44" t="s">
        <v>31</v>
      </c>
      <c r="G5" s="32">
        <f>VLOOKUP(F5,Hoja1!$A$9:$D$15,3,TRUE)</f>
        <v>90</v>
      </c>
      <c r="H5" s="32">
        <f>VLOOKUP(F5,Hoja1!$A$9:$D$15,4,TRUE)</f>
        <v>4250</v>
      </c>
      <c r="I5" s="35">
        <v>2019</v>
      </c>
      <c r="J5" s="134" t="s">
        <v>32</v>
      </c>
      <c r="K5" s="133" t="str">
        <f>VLOOKUP(J5,Hoja1!$A$2:$B$3,2,FALSE)</f>
        <v>G</v>
      </c>
      <c r="L5" s="134">
        <v>1599</v>
      </c>
      <c r="M5" s="133">
        <f t="shared" si="5"/>
        <v>1.599</v>
      </c>
      <c r="N5" s="35" t="s">
        <v>33</v>
      </c>
      <c r="O5" s="35" t="s">
        <v>34</v>
      </c>
      <c r="P5" s="133" t="s">
        <v>35</v>
      </c>
      <c r="Q5" s="133" t="str">
        <f>VLOOKUP(P5,Hoja1!$A$6:$B$7,2,FALSE)</f>
        <v>M</v>
      </c>
      <c r="R5" s="138">
        <v>9709</v>
      </c>
      <c r="S5" s="40">
        <f>1.1325*U5-13.739</f>
        <v>151.71440050377834</v>
      </c>
      <c r="T5" s="119">
        <f>S5*R5</f>
        <v>1472995.1144911838</v>
      </c>
      <c r="U5" s="33">
        <f>(23.2*100*2.35)/Y5</f>
        <v>146.09571788413098</v>
      </c>
      <c r="V5" s="141">
        <f t="shared" si="7"/>
        <v>235.06801007556675</v>
      </c>
      <c r="W5" s="34">
        <f t="shared" si="0"/>
        <v>15.995403793103449</v>
      </c>
      <c r="X5" s="34">
        <f>AI5</f>
        <v>15.88</v>
      </c>
      <c r="Y5" s="142">
        <f>X5*2.35</f>
        <v>37.318000000000005</v>
      </c>
      <c r="Z5" s="33">
        <f>R5/Y5</f>
        <v>260.16935527091482</v>
      </c>
      <c r="AA5" s="33">
        <f>U5</f>
        <v>146.09571788413098</v>
      </c>
      <c r="AB5" s="33">
        <f>S5</f>
        <v>151.71440050377834</v>
      </c>
      <c r="AC5" s="34">
        <f t="shared" si="1"/>
        <v>6.5394138148180323</v>
      </c>
      <c r="AD5" s="34">
        <f t="shared" si="2"/>
        <v>6.5394138148180323</v>
      </c>
      <c r="AE5" s="33">
        <f t="shared" si="3"/>
        <v>63491.168728068275</v>
      </c>
      <c r="AF5" s="33">
        <f t="shared" si="4"/>
        <v>1484.6896487877584</v>
      </c>
      <c r="AG5" s="122">
        <v>13.7</v>
      </c>
      <c r="AH5" s="35">
        <v>19.7</v>
      </c>
      <c r="AI5" s="43">
        <v>15.88</v>
      </c>
      <c r="AJ5" s="44" t="s">
        <v>54</v>
      </c>
      <c r="AK5" s="44" t="str">
        <f>VLOOKUP(F5,Hoja1!$A$9:$D$15,2,TRUE)</f>
        <v>Midsize</v>
      </c>
      <c r="AL5" s="44">
        <v>3</v>
      </c>
      <c r="AM5" s="44" t="s">
        <v>46</v>
      </c>
      <c r="AN5" s="40"/>
    </row>
    <row r="6" spans="1:40" s="38" customFormat="1" ht="30">
      <c r="A6" s="132">
        <v>105</v>
      </c>
      <c r="B6" s="134" t="s">
        <v>43</v>
      </c>
      <c r="C6" s="134" t="s">
        <v>47</v>
      </c>
      <c r="D6" s="35" t="s">
        <v>30</v>
      </c>
      <c r="E6" s="32" t="str">
        <f>VLOOKUP(D6,Hoja1!$B$17:$C$21,2,TRUE)</f>
        <v>C</v>
      </c>
      <c r="F6" s="44" t="s">
        <v>313</v>
      </c>
      <c r="G6" s="32">
        <f>VLOOKUP(F6,Hoja1!$A$9:$D$15,3,TRUE)</f>
        <v>90</v>
      </c>
      <c r="H6" s="32">
        <f>VLOOKUP(F6,Hoja1!$A$9:$D$15,4,TRUE)</f>
        <v>4250</v>
      </c>
      <c r="I6" s="35">
        <v>2019</v>
      </c>
      <c r="J6" s="134" t="s">
        <v>32</v>
      </c>
      <c r="K6" s="133" t="str">
        <f>VLOOKUP(J6,Hoja1!$A$2:$B$3,2,FALSE)</f>
        <v>G</v>
      </c>
      <c r="L6" s="134">
        <v>1598</v>
      </c>
      <c r="M6" s="133">
        <f t="shared" si="5"/>
        <v>1.5980000000000001</v>
      </c>
      <c r="N6" s="35" t="s">
        <v>33</v>
      </c>
      <c r="O6" s="35" t="s">
        <v>34</v>
      </c>
      <c r="P6" s="134" t="s">
        <v>35</v>
      </c>
      <c r="Q6" s="133" t="str">
        <f>VLOOKUP(P6,Hoja1!$A$6:$B$7,2,FALSE)</f>
        <v>M</v>
      </c>
      <c r="R6" s="138">
        <v>9403</v>
      </c>
      <c r="S6" s="44">
        <v>170</v>
      </c>
      <c r="T6" s="111">
        <f>S6*R6</f>
        <v>1598510</v>
      </c>
      <c r="U6" s="37">
        <f t="shared" si="6"/>
        <v>161.262</v>
      </c>
      <c r="V6" s="141">
        <f t="shared" si="7"/>
        <v>259.47055799999998</v>
      </c>
      <c r="W6" s="34">
        <f t="shared" si="0"/>
        <v>14.491076633056766</v>
      </c>
      <c r="X6" s="34">
        <f t="shared" si="8"/>
        <v>14.491076633056766</v>
      </c>
      <c r="Y6" s="143">
        <f t="shared" si="9"/>
        <v>34.054030087683401</v>
      </c>
      <c r="Z6" s="37">
        <f t="shared" si="10"/>
        <v>276.1200355960471</v>
      </c>
      <c r="AA6" s="37"/>
      <c r="AB6" s="37"/>
      <c r="AC6" s="34">
        <f t="shared" si="1"/>
        <v>7.3275862068965516</v>
      </c>
      <c r="AD6" s="34">
        <f t="shared" si="2"/>
        <v>7.3275862068965516</v>
      </c>
      <c r="AE6" s="33">
        <f t="shared" si="3"/>
        <v>68901.293103448275</v>
      </c>
      <c r="AF6" s="33">
        <f t="shared" si="4"/>
        <v>1283.2329411764706</v>
      </c>
      <c r="AG6" s="123">
        <v>14.6</v>
      </c>
      <c r="AH6" s="44">
        <v>21.4</v>
      </c>
      <c r="AI6" s="45">
        <v>17.100000000000001</v>
      </c>
      <c r="AJ6" s="44" t="s">
        <v>48</v>
      </c>
      <c r="AK6" s="44" t="str">
        <f>VLOOKUP(F6,Hoja1!$A$9:$D$15,2,TRUE)</f>
        <v>Midsize</v>
      </c>
      <c r="AL6" s="44">
        <v>3</v>
      </c>
      <c r="AM6" s="37" t="s">
        <v>49</v>
      </c>
      <c r="AN6" s="36"/>
    </row>
    <row r="7" spans="1:40" s="38" customFormat="1">
      <c r="A7" s="132">
        <v>106</v>
      </c>
      <c r="B7" s="134" t="s">
        <v>55</v>
      </c>
      <c r="C7" s="134" t="s">
        <v>56</v>
      </c>
      <c r="D7" s="35" t="s">
        <v>30</v>
      </c>
      <c r="E7" s="32" t="str">
        <f>VLOOKUP(D7,Hoja1!$B$17:$C$21,2,TRUE)</f>
        <v>C</v>
      </c>
      <c r="F7" s="35" t="s">
        <v>57</v>
      </c>
      <c r="G7" s="32">
        <f>VLOOKUP(F7,Hoja1!$A$9:$D$15,3,TRUE)</f>
        <v>60</v>
      </c>
      <c r="H7" s="32">
        <f>VLOOKUP(F7,Hoja1!$A$9:$D$15,4,TRUE)</f>
        <v>2250</v>
      </c>
      <c r="I7" s="35">
        <v>2019</v>
      </c>
      <c r="J7" s="134" t="s">
        <v>32</v>
      </c>
      <c r="K7" s="133" t="str">
        <f>VLOOKUP(J7,Hoja1!$A$2:$B$3,2,FALSE)</f>
        <v>G</v>
      </c>
      <c r="L7" s="134">
        <v>1248</v>
      </c>
      <c r="M7" s="133">
        <f t="shared" si="5"/>
        <v>1.248</v>
      </c>
      <c r="N7" s="35" t="s">
        <v>33</v>
      </c>
      <c r="O7" s="35" t="s">
        <v>34</v>
      </c>
      <c r="P7" s="134" t="s">
        <v>35</v>
      </c>
      <c r="Q7" s="133" t="str">
        <f>VLOOKUP(P7,Hoja1!$A$6:$B$7,2,FALSE)</f>
        <v>M</v>
      </c>
      <c r="R7" s="138">
        <v>7519</v>
      </c>
      <c r="S7" s="35">
        <v>117</v>
      </c>
      <c r="T7" s="111">
        <f t="shared" ref="T7:T70" si="11">S7*R7</f>
        <v>879723</v>
      </c>
      <c r="U7" s="37">
        <f t="shared" si="6"/>
        <v>115.37460000000002</v>
      </c>
      <c r="V7" s="141">
        <f t="shared" si="7"/>
        <v>185.63773140000004</v>
      </c>
      <c r="W7" s="34">
        <f t="shared" si="0"/>
        <v>20.254544761151934</v>
      </c>
      <c r="X7" s="34">
        <f t="shared" si="8"/>
        <v>20.254544761151934</v>
      </c>
      <c r="Y7" s="143">
        <f t="shared" si="9"/>
        <v>47.598180188707047</v>
      </c>
      <c r="Z7" s="37">
        <f t="shared" si="10"/>
        <v>157.9682242092089</v>
      </c>
      <c r="AA7" s="37"/>
      <c r="AB7" s="37"/>
      <c r="AC7" s="34">
        <f t="shared" si="1"/>
        <v>5.0431034482758621</v>
      </c>
      <c r="AD7" s="34">
        <f t="shared" si="2"/>
        <v>5.0431034482758621</v>
      </c>
      <c r="AE7" s="33">
        <f t="shared" si="3"/>
        <v>37919.09482758621</v>
      </c>
      <c r="AF7" s="33">
        <f t="shared" si="4"/>
        <v>1490.9470085470086</v>
      </c>
      <c r="AG7" s="124">
        <v>15</v>
      </c>
      <c r="AH7" s="41">
        <v>25.7</v>
      </c>
      <c r="AI7" s="42">
        <v>20.399999999999999</v>
      </c>
      <c r="AJ7" s="59" t="s">
        <v>58</v>
      </c>
      <c r="AK7" s="44" t="str">
        <f>VLOOKUP(F7,Hoja1!$A$9:$D$15,2,TRUE)</f>
        <v>Subcompact</v>
      </c>
      <c r="AL7" s="59">
        <v>1</v>
      </c>
      <c r="AM7" s="59" t="s">
        <v>37</v>
      </c>
      <c r="AN7" s="114" t="s">
        <v>38</v>
      </c>
    </row>
    <row r="8" spans="1:40" s="38" customFormat="1">
      <c r="A8" s="132">
        <v>107</v>
      </c>
      <c r="B8" s="134" t="s">
        <v>28</v>
      </c>
      <c r="C8" s="134" t="s">
        <v>29</v>
      </c>
      <c r="D8" s="35" t="s">
        <v>30</v>
      </c>
      <c r="E8" s="32" t="str">
        <f>VLOOKUP(D8,Hoja1!$B$17:$C$21,2,TRUE)</f>
        <v>C</v>
      </c>
      <c r="F8" s="35" t="s">
        <v>31</v>
      </c>
      <c r="G8" s="32">
        <f>VLOOKUP(F8,Hoja1!$A$9:$D$15,3,TRUE)</f>
        <v>90</v>
      </c>
      <c r="H8" s="32">
        <f>VLOOKUP(F8,Hoja1!$A$9:$D$15,4,TRUE)</f>
        <v>4250</v>
      </c>
      <c r="I8" s="35">
        <v>2019</v>
      </c>
      <c r="J8" s="134" t="s">
        <v>32</v>
      </c>
      <c r="K8" s="133" t="str">
        <f>VLOOKUP(J8,Hoja1!$A$2:$B$3,2,FALSE)</f>
        <v>G</v>
      </c>
      <c r="L8" s="134">
        <v>1399</v>
      </c>
      <c r="M8" s="133">
        <f t="shared" si="5"/>
        <v>1.399</v>
      </c>
      <c r="N8" s="35" t="s">
        <v>33</v>
      </c>
      <c r="O8" s="35" t="s">
        <v>34</v>
      </c>
      <c r="P8" s="134" t="s">
        <v>35</v>
      </c>
      <c r="Q8" s="133" t="str">
        <f>VLOOKUP(P8,Hoja1!$A$6:$B$7,2,FALSE)</f>
        <v>M</v>
      </c>
      <c r="R8" s="138">
        <v>5507</v>
      </c>
      <c r="S8" s="35">
        <v>149</v>
      </c>
      <c r="T8" s="111">
        <f t="shared" si="11"/>
        <v>820543</v>
      </c>
      <c r="U8" s="37">
        <f t="shared" si="6"/>
        <v>143.08019999999999</v>
      </c>
      <c r="V8" s="141">
        <f t="shared" si="7"/>
        <v>230.21604179999997</v>
      </c>
      <c r="W8" s="34">
        <f t="shared" si="0"/>
        <v>16.332518405761245</v>
      </c>
      <c r="X8" s="34">
        <f t="shared" si="8"/>
        <v>16.332518405761245</v>
      </c>
      <c r="Y8" s="143">
        <f t="shared" si="9"/>
        <v>38.381418253538925</v>
      </c>
      <c r="Z8" s="37">
        <f t="shared" si="10"/>
        <v>143.48088868477996</v>
      </c>
      <c r="AA8" s="37"/>
      <c r="AB8" s="37"/>
      <c r="AC8" s="34">
        <f t="shared" si="1"/>
        <v>6.4224137931034484</v>
      </c>
      <c r="AD8" s="34">
        <f t="shared" si="2"/>
        <v>6.4224137931034484</v>
      </c>
      <c r="AE8" s="33">
        <f t="shared" si="3"/>
        <v>35368.232758620688</v>
      </c>
      <c r="AF8" s="33">
        <f t="shared" si="4"/>
        <v>857.46577181208056</v>
      </c>
      <c r="AG8" s="125">
        <v>12</v>
      </c>
      <c r="AH8" s="37">
        <v>19.399999999999999</v>
      </c>
      <c r="AI8" s="115">
        <v>15.8</v>
      </c>
      <c r="AJ8" s="44" t="s">
        <v>36</v>
      </c>
      <c r="AK8" s="44" t="str">
        <f>VLOOKUP(F8,Hoja1!$A$9:$D$15,2,TRUE)</f>
        <v>Midsize</v>
      </c>
      <c r="AL8" s="44">
        <v>3</v>
      </c>
      <c r="AM8" s="37" t="s">
        <v>37</v>
      </c>
      <c r="AN8" s="37" t="s">
        <v>314</v>
      </c>
    </row>
    <row r="9" spans="1:40" s="38" customFormat="1">
      <c r="A9" s="132">
        <v>108</v>
      </c>
      <c r="B9" s="134" t="s">
        <v>28</v>
      </c>
      <c r="C9" s="134" t="s">
        <v>107</v>
      </c>
      <c r="D9" s="35" t="s">
        <v>30</v>
      </c>
      <c r="E9" s="32" t="str">
        <f>VLOOKUP(D9,Hoja1!$B$17:$C$21,2,TRUE)</f>
        <v>C</v>
      </c>
      <c r="F9" s="35" t="s">
        <v>31</v>
      </c>
      <c r="G9" s="32">
        <f>VLOOKUP(F9,Hoja1!$A$9:$D$15,3,TRUE)</f>
        <v>90</v>
      </c>
      <c r="H9" s="32">
        <f>VLOOKUP(F9,Hoja1!$A$9:$D$15,4,TRUE)</f>
        <v>4250</v>
      </c>
      <c r="I9" s="35">
        <v>2019</v>
      </c>
      <c r="J9" s="134" t="s">
        <v>32</v>
      </c>
      <c r="K9" s="133" t="str">
        <f>VLOOKUP(J9,Hoja1!$A$2:$B$3,2,FALSE)</f>
        <v>G</v>
      </c>
      <c r="L9" s="134">
        <v>1389</v>
      </c>
      <c r="M9" s="133">
        <f t="shared" si="5"/>
        <v>1.389</v>
      </c>
      <c r="N9" s="35" t="s">
        <v>33</v>
      </c>
      <c r="O9" s="35" t="s">
        <v>34</v>
      </c>
      <c r="P9" s="134" t="s">
        <v>35</v>
      </c>
      <c r="Q9" s="133" t="str">
        <f>VLOOKUP(P9,Hoja1!$A$6:$B$7,2,FALSE)</f>
        <v>M</v>
      </c>
      <c r="R9" s="138">
        <v>5249</v>
      </c>
      <c r="S9" s="59">
        <v>161</v>
      </c>
      <c r="T9" s="111">
        <f t="shared" si="11"/>
        <v>845089</v>
      </c>
      <c r="U9" s="37">
        <f t="shared" si="6"/>
        <v>153.46979999999999</v>
      </c>
      <c r="V9" s="141">
        <f t="shared" si="7"/>
        <v>246.93290819999999</v>
      </c>
      <c r="W9" s="34">
        <f t="shared" si="0"/>
        <v>15.226839417266461</v>
      </c>
      <c r="X9" s="34">
        <f t="shared" si="8"/>
        <v>15.226839417266461</v>
      </c>
      <c r="Y9" s="143">
        <f t="shared" si="9"/>
        <v>35.783072630576186</v>
      </c>
      <c r="Z9" s="37">
        <f t="shared" si="10"/>
        <v>146.68947114158092</v>
      </c>
      <c r="AA9" s="37"/>
      <c r="AB9" s="37"/>
      <c r="AC9" s="34">
        <f t="shared" si="1"/>
        <v>6.9396551724137936</v>
      </c>
      <c r="AD9" s="34">
        <f t="shared" si="2"/>
        <v>6.9396551724137936</v>
      </c>
      <c r="AE9" s="33">
        <f t="shared" si="3"/>
        <v>36426.25</v>
      </c>
      <c r="AF9" s="33">
        <f t="shared" si="4"/>
        <v>756.37763975155269</v>
      </c>
      <c r="AG9" s="121">
        <v>11</v>
      </c>
      <c r="AH9" s="59">
        <v>18.399999999999999</v>
      </c>
      <c r="AI9" s="39">
        <v>14.7</v>
      </c>
      <c r="AJ9" s="59" t="s">
        <v>108</v>
      </c>
      <c r="AK9" s="44" t="str">
        <f>VLOOKUP(F9,Hoja1!$A$9:$D$15,2,TRUE)</f>
        <v>Midsize</v>
      </c>
      <c r="AL9" s="59">
        <v>3</v>
      </c>
      <c r="AM9" s="59" t="s">
        <v>37</v>
      </c>
      <c r="AN9" s="36" t="s">
        <v>38</v>
      </c>
    </row>
    <row r="10" spans="1:40" s="38" customFormat="1">
      <c r="A10" s="132">
        <v>109</v>
      </c>
      <c r="B10" s="134" t="s">
        <v>50</v>
      </c>
      <c r="C10" s="134" t="s">
        <v>139</v>
      </c>
      <c r="D10" s="35" t="s">
        <v>30</v>
      </c>
      <c r="E10" s="32" t="str">
        <f>VLOOKUP(D10,Hoja1!$B$17:$C$21,2,TRUE)</f>
        <v>C</v>
      </c>
      <c r="F10" s="35" t="s">
        <v>313</v>
      </c>
      <c r="G10" s="32">
        <f>VLOOKUP(F10,Hoja1!$A$9:$D$15,3,TRUE)</f>
        <v>90</v>
      </c>
      <c r="H10" s="32">
        <f>VLOOKUP(F10,Hoja1!$A$9:$D$15,4,TRUE)</f>
        <v>4250</v>
      </c>
      <c r="I10" s="35">
        <v>2019</v>
      </c>
      <c r="J10" s="134" t="s">
        <v>32</v>
      </c>
      <c r="K10" s="133" t="str">
        <f>VLOOKUP(J10,Hoja1!$A$2:$B$3,2,FALSE)</f>
        <v>G</v>
      </c>
      <c r="L10" s="134">
        <v>1496</v>
      </c>
      <c r="M10" s="133">
        <f t="shared" si="5"/>
        <v>1.496</v>
      </c>
      <c r="N10" s="35" t="s">
        <v>33</v>
      </c>
      <c r="O10" s="35" t="s">
        <v>34</v>
      </c>
      <c r="P10" s="134" t="s">
        <v>35</v>
      </c>
      <c r="Q10" s="133" t="str">
        <f>VLOOKUP(P10,Hoja1!$A$6:$B$7,2,FALSE)</f>
        <v>M</v>
      </c>
      <c r="R10" s="138">
        <v>5126</v>
      </c>
      <c r="S10" s="59">
        <v>136</v>
      </c>
      <c r="T10" s="111">
        <f t="shared" si="11"/>
        <v>697136</v>
      </c>
      <c r="U10" s="37">
        <f t="shared" si="6"/>
        <v>131.82480000000001</v>
      </c>
      <c r="V10" s="141">
        <f t="shared" si="7"/>
        <v>212.10610320000001</v>
      </c>
      <c r="W10" s="34">
        <f t="shared" si="0"/>
        <v>17.727013429946414</v>
      </c>
      <c r="X10" s="34">
        <f t="shared" si="8"/>
        <v>17.727013429946414</v>
      </c>
      <c r="Y10" s="143">
        <f t="shared" si="9"/>
        <v>41.658481560374071</v>
      </c>
      <c r="Z10" s="37">
        <f t="shared" si="10"/>
        <v>123.04817189678603</v>
      </c>
      <c r="AA10" s="37"/>
      <c r="AB10" s="37"/>
      <c r="AC10" s="34">
        <f t="shared" si="1"/>
        <v>5.862068965517242</v>
      </c>
      <c r="AD10" s="34">
        <f t="shared" si="2"/>
        <v>5.862068965517242</v>
      </c>
      <c r="AE10" s="33">
        <f t="shared" si="3"/>
        <v>30048.965517241384</v>
      </c>
      <c r="AF10" s="33">
        <f t="shared" si="4"/>
        <v>874.435294117647</v>
      </c>
      <c r="AG10" s="123">
        <v>13.3</v>
      </c>
      <c r="AH10" s="44">
        <v>21.6</v>
      </c>
      <c r="AI10" s="45">
        <v>17.600000000000001</v>
      </c>
      <c r="AJ10" s="44" t="s">
        <v>256</v>
      </c>
      <c r="AK10" s="44" t="str">
        <f>VLOOKUP(F10,Hoja1!$A$9:$D$15,2,TRUE)</f>
        <v>Midsize</v>
      </c>
      <c r="AL10" s="44">
        <v>3</v>
      </c>
      <c r="AM10" s="44" t="s">
        <v>37</v>
      </c>
      <c r="AN10" s="40" t="s">
        <v>38</v>
      </c>
    </row>
    <row r="11" spans="1:40" s="38" customFormat="1">
      <c r="A11" s="132">
        <v>110</v>
      </c>
      <c r="B11" s="134" t="s">
        <v>28</v>
      </c>
      <c r="C11" s="134" t="s">
        <v>66</v>
      </c>
      <c r="D11" s="35" t="s">
        <v>30</v>
      </c>
      <c r="E11" s="32" t="str">
        <f>VLOOKUP(D11,Hoja1!$B$17:$C$21,2,TRUE)</f>
        <v>C</v>
      </c>
      <c r="F11" s="35" t="s">
        <v>57</v>
      </c>
      <c r="G11" s="32">
        <f>VLOOKUP(F11,Hoja1!$A$9:$D$15,3,TRUE)</f>
        <v>60</v>
      </c>
      <c r="H11" s="32">
        <f>VLOOKUP(F11,Hoja1!$A$9:$D$15,4,TRUE)</f>
        <v>2250</v>
      </c>
      <c r="I11" s="35">
        <v>2019</v>
      </c>
      <c r="J11" s="134" t="s">
        <v>32</v>
      </c>
      <c r="K11" s="133" t="str">
        <f>VLOOKUP(J11,Hoja1!$A$2:$B$3,2,FALSE)</f>
        <v>G</v>
      </c>
      <c r="L11" s="134">
        <v>995</v>
      </c>
      <c r="M11" s="133">
        <f t="shared" si="5"/>
        <v>0.995</v>
      </c>
      <c r="N11" s="35" t="s">
        <v>33</v>
      </c>
      <c r="O11" s="35" t="s">
        <v>34</v>
      </c>
      <c r="P11" s="134" t="s">
        <v>35</v>
      </c>
      <c r="Q11" s="133" t="str">
        <f>VLOOKUP(P11,Hoja1!$A$6:$B$7,2,FALSE)</f>
        <v>M</v>
      </c>
      <c r="R11" s="138">
        <v>4888</v>
      </c>
      <c r="S11" s="59">
        <v>153</v>
      </c>
      <c r="T11" s="111">
        <f t="shared" si="11"/>
        <v>747864</v>
      </c>
      <c r="U11" s="37">
        <f t="shared" si="6"/>
        <v>146.54339999999999</v>
      </c>
      <c r="V11" s="141">
        <f t="shared" si="7"/>
        <v>235.78833059999999</v>
      </c>
      <c r="W11" s="34">
        <f t="shared" si="0"/>
        <v>15.946538704574893</v>
      </c>
      <c r="X11" s="34">
        <f t="shared" si="8"/>
        <v>15.946538704574893</v>
      </c>
      <c r="Y11" s="143">
        <f t="shared" si="9"/>
        <v>37.474365955750997</v>
      </c>
      <c r="Z11" s="37">
        <f t="shared" si="10"/>
        <v>130.43582927518122</v>
      </c>
      <c r="AA11" s="37"/>
      <c r="AB11" s="37"/>
      <c r="AC11" s="34">
        <f t="shared" si="1"/>
        <v>6.5948275862068968</v>
      </c>
      <c r="AD11" s="34">
        <f t="shared" si="2"/>
        <v>6.5948275862068968</v>
      </c>
      <c r="AE11" s="33">
        <f t="shared" si="3"/>
        <v>32235.517241379312</v>
      </c>
      <c r="AF11" s="33">
        <f t="shared" si="4"/>
        <v>741.18692810457514</v>
      </c>
      <c r="AG11" s="121">
        <v>11.6</v>
      </c>
      <c r="AH11" s="59">
        <v>19.399999999999999</v>
      </c>
      <c r="AI11" s="39">
        <v>15.5</v>
      </c>
      <c r="AJ11" s="59" t="s">
        <v>67</v>
      </c>
      <c r="AK11" s="44" t="str">
        <f>VLOOKUP(F11,Hoja1!$A$9:$D$15,2,TRUE)</f>
        <v>Subcompact</v>
      </c>
      <c r="AL11" s="59">
        <v>1</v>
      </c>
      <c r="AM11" s="59" t="s">
        <v>37</v>
      </c>
      <c r="AN11" s="36" t="s">
        <v>38</v>
      </c>
    </row>
    <row r="12" spans="1:40" s="38" customFormat="1">
      <c r="A12" s="132">
        <v>111</v>
      </c>
      <c r="B12" s="134" t="s">
        <v>90</v>
      </c>
      <c r="C12" s="134" t="s">
        <v>231</v>
      </c>
      <c r="D12" s="35" t="s">
        <v>30</v>
      </c>
      <c r="E12" s="32" t="str">
        <f>VLOOKUP(D12,Hoja1!$B$17:$C$21,2,TRUE)</f>
        <v>C</v>
      </c>
      <c r="F12" s="35" t="s">
        <v>40</v>
      </c>
      <c r="G12" s="32">
        <f>VLOOKUP(F12,Hoja1!$A$9:$D$15,3,TRUE)</f>
        <v>80</v>
      </c>
      <c r="H12" s="32">
        <f>VLOOKUP(F12,Hoja1!$A$9:$D$15,4,TRUE)</f>
        <v>3500</v>
      </c>
      <c r="I12" s="35">
        <v>2019</v>
      </c>
      <c r="J12" s="134" t="s">
        <v>32</v>
      </c>
      <c r="K12" s="133" t="str">
        <f>VLOOKUP(J12,Hoja1!$A$2:$B$3,2,FALSE)</f>
        <v>G</v>
      </c>
      <c r="L12" s="134">
        <v>1599</v>
      </c>
      <c r="M12" s="133">
        <f t="shared" si="5"/>
        <v>1.599</v>
      </c>
      <c r="N12" s="35" t="s">
        <v>33</v>
      </c>
      <c r="O12" s="35" t="s">
        <v>34</v>
      </c>
      <c r="P12" s="134" t="s">
        <v>35</v>
      </c>
      <c r="Q12" s="133" t="str">
        <f>VLOOKUP(P12,Hoja1!$A$6:$B$7,2,FALSE)</f>
        <v>M</v>
      </c>
      <c r="R12" s="138">
        <v>4132</v>
      </c>
      <c r="S12" s="59">
        <v>164</v>
      </c>
      <c r="T12" s="111">
        <f t="shared" si="11"/>
        <v>677648</v>
      </c>
      <c r="U12" s="37">
        <f t="shared" si="6"/>
        <v>156.06719999999999</v>
      </c>
      <c r="V12" s="141">
        <f t="shared" si="7"/>
        <v>251.11212479999998</v>
      </c>
      <c r="W12" s="34">
        <f t="shared" si="0"/>
        <v>14.973421705521726</v>
      </c>
      <c r="X12" s="34">
        <f t="shared" si="8"/>
        <v>14.973421705521726</v>
      </c>
      <c r="Y12" s="143">
        <f t="shared" si="9"/>
        <v>35.187541007976058</v>
      </c>
      <c r="Z12" s="37">
        <f t="shared" si="10"/>
        <v>117.42792709110842</v>
      </c>
      <c r="AA12" s="37"/>
      <c r="AB12" s="37"/>
      <c r="AC12" s="34">
        <f t="shared" si="1"/>
        <v>7.0689655172413799</v>
      </c>
      <c r="AD12" s="34">
        <f t="shared" si="2"/>
        <v>7.0689655172413799</v>
      </c>
      <c r="AE12" s="33">
        <f t="shared" si="3"/>
        <v>29208.96551724138</v>
      </c>
      <c r="AF12" s="33">
        <f t="shared" si="4"/>
        <v>584.52682926829266</v>
      </c>
      <c r="AG12" s="121">
        <v>10.8</v>
      </c>
      <c r="AH12" s="59">
        <v>18</v>
      </c>
      <c r="AI12" s="39">
        <v>14.4</v>
      </c>
      <c r="AJ12" s="59" t="s">
        <v>232</v>
      </c>
      <c r="AK12" s="44" t="str">
        <f>VLOOKUP(F12,Hoja1!$A$9:$D$15,2,TRUE)</f>
        <v>Compact</v>
      </c>
      <c r="AL12" s="59">
        <v>2</v>
      </c>
      <c r="AM12" s="59" t="s">
        <v>37</v>
      </c>
      <c r="AN12" s="36" t="s">
        <v>38</v>
      </c>
    </row>
    <row r="13" spans="1:40" s="38" customFormat="1">
      <c r="A13" s="132">
        <v>112</v>
      </c>
      <c r="B13" s="134" t="s">
        <v>50</v>
      </c>
      <c r="C13" s="134" t="s">
        <v>51</v>
      </c>
      <c r="D13" s="35" t="s">
        <v>30</v>
      </c>
      <c r="E13" s="32" t="str">
        <f>VLOOKUP(D13,Hoja1!$B$17:$C$21,2,TRUE)</f>
        <v>C</v>
      </c>
      <c r="F13" s="35" t="s">
        <v>313</v>
      </c>
      <c r="G13" s="32">
        <f>VLOOKUP(F13,Hoja1!$A$9:$D$15,3,TRUE)</f>
        <v>90</v>
      </c>
      <c r="H13" s="32">
        <f>VLOOKUP(F13,Hoja1!$A$9:$D$15,4,TRUE)</f>
        <v>4250</v>
      </c>
      <c r="I13" s="35">
        <v>2019</v>
      </c>
      <c r="J13" s="134" t="s">
        <v>32</v>
      </c>
      <c r="K13" s="133" t="str">
        <f>VLOOKUP(J13,Hoja1!$A$2:$B$3,2,FALSE)</f>
        <v>G</v>
      </c>
      <c r="L13" s="134">
        <v>1998</v>
      </c>
      <c r="M13" s="133">
        <f t="shared" si="5"/>
        <v>1.998</v>
      </c>
      <c r="N13" s="35" t="s">
        <v>33</v>
      </c>
      <c r="O13" s="35" t="s">
        <v>34</v>
      </c>
      <c r="P13" s="134" t="s">
        <v>35</v>
      </c>
      <c r="Q13" s="133" t="str">
        <f>VLOOKUP(P13,Hoja1!$A$6:$B$7,2,FALSE)</f>
        <v>M</v>
      </c>
      <c r="R13" s="138">
        <v>3822</v>
      </c>
      <c r="S13" s="35">
        <v>154</v>
      </c>
      <c r="T13" s="111">
        <f t="shared" si="11"/>
        <v>588588</v>
      </c>
      <c r="U13" s="37">
        <f t="shared" si="6"/>
        <v>147.4092</v>
      </c>
      <c r="V13" s="141">
        <f t="shared" si="7"/>
        <v>237.1814028</v>
      </c>
      <c r="W13" s="34">
        <f t="shared" si="0"/>
        <v>15.852877568021535</v>
      </c>
      <c r="X13" s="34">
        <f t="shared" si="8"/>
        <v>15.852877568021535</v>
      </c>
      <c r="Y13" s="143">
        <f t="shared" si="9"/>
        <v>37.254262284850611</v>
      </c>
      <c r="Z13" s="37">
        <f t="shared" si="10"/>
        <v>102.59228785089137</v>
      </c>
      <c r="AA13" s="37"/>
      <c r="AB13" s="37"/>
      <c r="AC13" s="34">
        <f t="shared" si="1"/>
        <v>6.6379310344827589</v>
      </c>
      <c r="AD13" s="34">
        <f t="shared" si="2"/>
        <v>6.6379310344827589</v>
      </c>
      <c r="AE13" s="33">
        <f t="shared" si="3"/>
        <v>25370.172413793105</v>
      </c>
      <c r="AF13" s="33">
        <f t="shared" si="4"/>
        <v>575.78181818181815</v>
      </c>
      <c r="AG13" s="122">
        <v>11.4</v>
      </c>
      <c r="AH13" s="35">
        <v>19.5</v>
      </c>
      <c r="AI13" s="43">
        <v>15.5</v>
      </c>
      <c r="AJ13" s="44" t="s">
        <v>268</v>
      </c>
      <c r="AK13" s="44" t="str">
        <f>VLOOKUP(F13,Hoja1!$A$9:$D$15,2,TRUE)</f>
        <v>Midsize</v>
      </c>
      <c r="AL13" s="44">
        <v>3</v>
      </c>
      <c r="AM13" s="44" t="s">
        <v>37</v>
      </c>
      <c r="AN13" s="40" t="s">
        <v>38</v>
      </c>
    </row>
    <row r="14" spans="1:40" s="38" customFormat="1">
      <c r="A14" s="132">
        <v>113</v>
      </c>
      <c r="B14" s="135" t="s">
        <v>28</v>
      </c>
      <c r="C14" s="135" t="s">
        <v>107</v>
      </c>
      <c r="D14" s="116" t="s">
        <v>30</v>
      </c>
      <c r="E14" s="32" t="str">
        <f>VLOOKUP(D14,Hoja1!$B$17:$C$21,2,TRUE)</f>
        <v>C</v>
      </c>
      <c r="F14" s="116" t="s">
        <v>31</v>
      </c>
      <c r="G14" s="32">
        <f>VLOOKUP(F14,Hoja1!$A$9:$D$15,3,TRUE)</f>
        <v>90</v>
      </c>
      <c r="H14" s="32">
        <f>VLOOKUP(F14,Hoja1!$A$9:$D$15,4,TRUE)</f>
        <v>4250</v>
      </c>
      <c r="I14" s="116">
        <v>2019</v>
      </c>
      <c r="J14" s="135" t="s">
        <v>32</v>
      </c>
      <c r="K14" s="133" t="str">
        <f>VLOOKUP(J14,Hoja1!$A$2:$B$3,2,FALSE)</f>
        <v>G</v>
      </c>
      <c r="L14" s="135">
        <v>1389</v>
      </c>
      <c r="M14" s="133">
        <f t="shared" si="5"/>
        <v>1.389</v>
      </c>
      <c r="N14" s="116" t="s">
        <v>33</v>
      </c>
      <c r="O14" s="35" t="s">
        <v>34</v>
      </c>
      <c r="P14" s="135" t="s">
        <v>74</v>
      </c>
      <c r="Q14" s="133" t="str">
        <f>VLOOKUP(P14,Hoja1!$A$6:$B$7,2,FALSE)</f>
        <v>A</v>
      </c>
      <c r="R14" s="139">
        <v>3759</v>
      </c>
      <c r="S14" s="59">
        <v>165</v>
      </c>
      <c r="T14" s="111">
        <f t="shared" si="11"/>
        <v>620235</v>
      </c>
      <c r="U14" s="37">
        <f t="shared" si="6"/>
        <v>156.93299999999999</v>
      </c>
      <c r="V14" s="141">
        <f t="shared" si="7"/>
        <v>252.50519699999998</v>
      </c>
      <c r="W14" s="34">
        <f t="shared" si="0"/>
        <v>14.890813277003563</v>
      </c>
      <c r="X14" s="34">
        <f t="shared" si="8"/>
        <v>14.890813277003563</v>
      </c>
      <c r="Y14" s="143">
        <f t="shared" si="9"/>
        <v>34.993411200958377</v>
      </c>
      <c r="Z14" s="37">
        <f t="shared" si="10"/>
        <v>107.42022200730894</v>
      </c>
      <c r="AA14" s="37"/>
      <c r="AB14" s="37"/>
      <c r="AC14" s="34">
        <f t="shared" si="1"/>
        <v>7.112068965517242</v>
      </c>
      <c r="AD14" s="34">
        <f t="shared" si="2"/>
        <v>7.112068965517242</v>
      </c>
      <c r="AE14" s="33">
        <f t="shared" si="3"/>
        <v>26734.267241379312</v>
      </c>
      <c r="AF14" s="33">
        <f t="shared" si="4"/>
        <v>528.53818181818178</v>
      </c>
      <c r="AG14" s="122">
        <v>10.7</v>
      </c>
      <c r="AH14" s="35">
        <v>17.7</v>
      </c>
      <c r="AI14" s="43">
        <v>14.3</v>
      </c>
      <c r="AJ14" s="44" t="s">
        <v>246</v>
      </c>
      <c r="AK14" s="44" t="str">
        <f>VLOOKUP(F14,Hoja1!$A$9:$D$15,2,TRUE)</f>
        <v>Midsize</v>
      </c>
      <c r="AL14" s="44">
        <v>3</v>
      </c>
      <c r="AM14" s="44" t="s">
        <v>37</v>
      </c>
      <c r="AN14" s="40" t="s">
        <v>38</v>
      </c>
    </row>
    <row r="15" spans="1:40" s="38" customFormat="1">
      <c r="A15" s="132">
        <v>114</v>
      </c>
      <c r="B15" s="134" t="s">
        <v>43</v>
      </c>
      <c r="C15" s="134" t="s">
        <v>93</v>
      </c>
      <c r="D15" s="35" t="s">
        <v>60</v>
      </c>
      <c r="E15" s="32" t="str">
        <f>VLOOKUP(D15,Hoja1!$B$17:$C$21,2,TRUE)</f>
        <v>T</v>
      </c>
      <c r="F15" s="35" t="s">
        <v>31</v>
      </c>
      <c r="G15" s="32">
        <f>VLOOKUP(F15,Hoja1!$A$9:$D$15,3,TRUE)</f>
        <v>90</v>
      </c>
      <c r="H15" s="32">
        <f>VLOOKUP(F15,Hoja1!$A$9:$D$15,4,TRUE)</f>
        <v>4250</v>
      </c>
      <c r="I15" s="35">
        <v>2019</v>
      </c>
      <c r="J15" s="134" t="s">
        <v>32</v>
      </c>
      <c r="K15" s="133" t="str">
        <f>VLOOKUP(J15,Hoja1!$A$2:$B$3,2,FALSE)</f>
        <v>G</v>
      </c>
      <c r="L15" s="134">
        <v>1998</v>
      </c>
      <c r="M15" s="133">
        <f t="shared" si="5"/>
        <v>1.998</v>
      </c>
      <c r="N15" s="35" t="s">
        <v>33</v>
      </c>
      <c r="O15" s="35" t="s">
        <v>34</v>
      </c>
      <c r="P15" s="134" t="s">
        <v>35</v>
      </c>
      <c r="Q15" s="133" t="str">
        <f>VLOOKUP(P15,Hoja1!$A$6:$B$7,2,FALSE)</f>
        <v>M</v>
      </c>
      <c r="R15" s="138">
        <v>3505</v>
      </c>
      <c r="S15" s="59">
        <v>209</v>
      </c>
      <c r="T15" s="111">
        <f t="shared" si="11"/>
        <v>732545</v>
      </c>
      <c r="U15" s="37">
        <f t="shared" si="6"/>
        <v>195.0282</v>
      </c>
      <c r="V15" s="141">
        <f t="shared" si="7"/>
        <v>313.80037379999999</v>
      </c>
      <c r="W15" s="34">
        <f t="shared" si="0"/>
        <v>11.982164630550864</v>
      </c>
      <c r="X15" s="34">
        <f t="shared" si="8"/>
        <v>11.982164630550864</v>
      </c>
      <c r="Y15" s="143">
        <f t="shared" si="9"/>
        <v>28.158086881794532</v>
      </c>
      <c r="Z15" s="37">
        <f t="shared" si="10"/>
        <v>124.47578611124111</v>
      </c>
      <c r="AA15" s="37"/>
      <c r="AB15" s="37"/>
      <c r="AC15" s="34">
        <f t="shared" si="1"/>
        <v>9.0086206896551726</v>
      </c>
      <c r="AD15" s="34">
        <f t="shared" si="2"/>
        <v>9.0086206896551726</v>
      </c>
      <c r="AE15" s="33">
        <f t="shared" si="3"/>
        <v>31575.21551724138</v>
      </c>
      <c r="AF15" s="33">
        <f t="shared" si="4"/>
        <v>389.0717703349282</v>
      </c>
      <c r="AG15" s="122">
        <v>8.8000000000000007</v>
      </c>
      <c r="AH15" s="35">
        <v>13.7</v>
      </c>
      <c r="AI15" s="43">
        <v>11.4</v>
      </c>
      <c r="AJ15" s="44" t="s">
        <v>82</v>
      </c>
      <c r="AK15" s="44" t="str">
        <f>VLOOKUP(F15,Hoja1!$A$9:$D$15,2,TRUE)</f>
        <v>Midsize</v>
      </c>
      <c r="AL15" s="44">
        <v>7</v>
      </c>
      <c r="AM15" s="44" t="s">
        <v>37</v>
      </c>
      <c r="AN15" s="40" t="s">
        <v>38</v>
      </c>
    </row>
    <row r="16" spans="1:40" s="38" customFormat="1">
      <c r="A16" s="132">
        <v>115</v>
      </c>
      <c r="B16" s="134" t="s">
        <v>68</v>
      </c>
      <c r="C16" s="134" t="s">
        <v>109</v>
      </c>
      <c r="D16" s="35" t="s">
        <v>88</v>
      </c>
      <c r="E16" s="32" t="str">
        <f>VLOOKUP(D16,Hoja1!$B$17:$C$21,2,TRUE)</f>
        <v>T</v>
      </c>
      <c r="F16" s="35" t="s">
        <v>175</v>
      </c>
      <c r="G16" s="32">
        <f>VLOOKUP(F16,Hoja1!$A$9:$D$15,3,TRUE)</f>
        <v>110</v>
      </c>
      <c r="H16" s="32">
        <f>VLOOKUP(F16,Hoja1!$A$9:$D$15,4,TRUE)</f>
        <v>5751</v>
      </c>
      <c r="I16" s="35">
        <v>2019</v>
      </c>
      <c r="J16" s="134" t="s">
        <v>103</v>
      </c>
      <c r="K16" s="133" t="str">
        <f>VLOOKUP(J16,Hoja1!$A$2:$B$3,2,FALSE)</f>
        <v>D</v>
      </c>
      <c r="L16" s="134">
        <v>2488</v>
      </c>
      <c r="M16" s="133">
        <f t="shared" si="5"/>
        <v>2.488</v>
      </c>
      <c r="N16" s="35" t="s">
        <v>33</v>
      </c>
      <c r="O16" s="35" t="s">
        <v>34</v>
      </c>
      <c r="P16" s="134" t="s">
        <v>35</v>
      </c>
      <c r="Q16" s="133" t="str">
        <f>VLOOKUP(P16,Hoja1!$A$6:$B$7,2,FALSE)</f>
        <v>M</v>
      </c>
      <c r="R16" s="138">
        <v>3199</v>
      </c>
      <c r="S16" s="59">
        <v>220</v>
      </c>
      <c r="T16" s="111">
        <f t="shared" si="11"/>
        <v>703780</v>
      </c>
      <c r="U16" s="37">
        <f t="shared" si="6"/>
        <v>192.95400000000001</v>
      </c>
      <c r="V16" s="141">
        <f t="shared" si="7"/>
        <v>310.462986</v>
      </c>
      <c r="W16" s="34">
        <f t="shared" si="0"/>
        <v>13.912124133213098</v>
      </c>
      <c r="X16" s="34">
        <f t="shared" si="8"/>
        <v>12.881596419641756</v>
      </c>
      <c r="Y16" s="143">
        <f t="shared" si="9"/>
        <v>30.271751586158128</v>
      </c>
      <c r="Z16" s="37">
        <f t="shared" si="10"/>
        <v>105.67607860070954</v>
      </c>
      <c r="AA16" s="37"/>
      <c r="AB16" s="37"/>
      <c r="AC16" s="34">
        <f t="shared" si="1"/>
        <v>8.2138590203106325</v>
      </c>
      <c r="AD16" s="34">
        <f t="shared" si="2"/>
        <v>8.870967741935484</v>
      </c>
      <c r="AE16" s="33">
        <f t="shared" si="3"/>
        <v>28378.225806451614</v>
      </c>
      <c r="AF16" s="33">
        <f t="shared" si="4"/>
        <v>360.61454545454546</v>
      </c>
      <c r="AG16" s="121">
        <v>13.5</v>
      </c>
      <c r="AH16" s="59">
        <v>16.86</v>
      </c>
      <c r="AI16" s="39">
        <v>16.22</v>
      </c>
      <c r="AJ16" s="59" t="s">
        <v>132</v>
      </c>
      <c r="AK16" s="44" t="str">
        <f>VLOOKUP(F16,Hoja1!$A$9:$D$15,2,TRUE)</f>
        <v>Executive</v>
      </c>
      <c r="AL16" s="59">
        <v>17</v>
      </c>
      <c r="AM16" s="59" t="s">
        <v>37</v>
      </c>
      <c r="AN16" s="36" t="s">
        <v>38</v>
      </c>
    </row>
    <row r="17" spans="1:40" s="38" customFormat="1">
      <c r="A17" s="132">
        <v>116</v>
      </c>
      <c r="B17" s="134" t="s">
        <v>43</v>
      </c>
      <c r="C17" s="134" t="s">
        <v>93</v>
      </c>
      <c r="D17" s="35" t="s">
        <v>60</v>
      </c>
      <c r="E17" s="32" t="str">
        <f>VLOOKUP(D17,Hoja1!$B$17:$C$21,2,TRUE)</f>
        <v>T</v>
      </c>
      <c r="F17" s="35" t="s">
        <v>31</v>
      </c>
      <c r="G17" s="32">
        <f>VLOOKUP(F17,Hoja1!$A$9:$D$15,3,TRUE)</f>
        <v>90</v>
      </c>
      <c r="H17" s="32">
        <f>VLOOKUP(F17,Hoja1!$A$9:$D$15,4,TRUE)</f>
        <v>4250</v>
      </c>
      <c r="I17" s="35">
        <v>2019</v>
      </c>
      <c r="J17" s="134" t="s">
        <v>32</v>
      </c>
      <c r="K17" s="133" t="str">
        <f>VLOOKUP(J17,Hoja1!$A$2:$B$3,2,FALSE)</f>
        <v>G</v>
      </c>
      <c r="L17" s="134">
        <v>1599</v>
      </c>
      <c r="M17" s="133">
        <f t="shared" si="5"/>
        <v>1.599</v>
      </c>
      <c r="N17" s="35" t="s">
        <v>33</v>
      </c>
      <c r="O17" s="35" t="s">
        <v>34</v>
      </c>
      <c r="P17" s="134" t="s">
        <v>35</v>
      </c>
      <c r="Q17" s="133" t="str">
        <f>VLOOKUP(P17,Hoja1!$A$6:$B$7,2,FALSE)</f>
        <v>M</v>
      </c>
      <c r="R17" s="138">
        <v>3148</v>
      </c>
      <c r="S17" s="59">
        <v>195</v>
      </c>
      <c r="T17" s="111">
        <f t="shared" si="11"/>
        <v>613860</v>
      </c>
      <c r="U17" s="37">
        <f t="shared" si="6"/>
        <v>182.90699999999998</v>
      </c>
      <c r="V17" s="141">
        <f t="shared" si="7"/>
        <v>294.29736299999996</v>
      </c>
      <c r="W17" s="34">
        <f t="shared" si="0"/>
        <v>12.776219608872271</v>
      </c>
      <c r="X17" s="34">
        <f t="shared" si="8"/>
        <v>12.776219608872271</v>
      </c>
      <c r="Y17" s="143">
        <f t="shared" si="9"/>
        <v>30.024116080849836</v>
      </c>
      <c r="Z17" s="37">
        <f t="shared" si="10"/>
        <v>104.84904839572867</v>
      </c>
      <c r="AA17" s="37"/>
      <c r="AB17" s="37"/>
      <c r="AC17" s="34">
        <f t="shared" si="1"/>
        <v>8.4051724137931032</v>
      </c>
      <c r="AD17" s="34">
        <f t="shared" si="2"/>
        <v>8.4051724137931032</v>
      </c>
      <c r="AE17" s="33">
        <f t="shared" si="3"/>
        <v>26459.482758620688</v>
      </c>
      <c r="AF17" s="33">
        <f t="shared" si="4"/>
        <v>374.53128205128206</v>
      </c>
      <c r="AG17" s="124">
        <v>9.1</v>
      </c>
      <c r="AH17" s="41">
        <v>14.9</v>
      </c>
      <c r="AI17" s="42">
        <v>12.1</v>
      </c>
      <c r="AJ17" s="59" t="s">
        <v>77</v>
      </c>
      <c r="AK17" s="44" t="str">
        <f>VLOOKUP(F17,Hoja1!$A$9:$D$15,2,TRUE)</f>
        <v>Midsize</v>
      </c>
      <c r="AL17" s="59">
        <v>7</v>
      </c>
      <c r="AM17" s="59" t="s">
        <v>37</v>
      </c>
      <c r="AN17" s="36" t="s">
        <v>38</v>
      </c>
    </row>
    <row r="18" spans="1:40" s="38" customFormat="1">
      <c r="A18" s="132">
        <v>117</v>
      </c>
      <c r="B18" s="135" t="s">
        <v>102</v>
      </c>
      <c r="C18" s="135" t="s">
        <v>240</v>
      </c>
      <c r="D18" s="116" t="s">
        <v>94</v>
      </c>
      <c r="E18" s="32" t="str">
        <f>VLOOKUP(D18,Hoja1!$B$17:$C$21,2,TRUE)</f>
        <v>T</v>
      </c>
      <c r="F18" s="116" t="s">
        <v>175</v>
      </c>
      <c r="G18" s="32">
        <f>VLOOKUP(F18,Hoja1!$A$9:$D$15,3,TRUE)</f>
        <v>110</v>
      </c>
      <c r="H18" s="32">
        <f>VLOOKUP(F18,Hoja1!$A$9:$D$15,4,TRUE)</f>
        <v>5751</v>
      </c>
      <c r="I18" s="116">
        <v>2019</v>
      </c>
      <c r="J18" s="135" t="s">
        <v>103</v>
      </c>
      <c r="K18" s="133" t="str">
        <f>VLOOKUP(J18,Hoja1!$A$2:$B$3,2,FALSE)</f>
        <v>D</v>
      </c>
      <c r="L18" s="135">
        <v>2982</v>
      </c>
      <c r="M18" s="133">
        <f t="shared" si="5"/>
        <v>2.9820000000000002</v>
      </c>
      <c r="N18" s="116" t="s">
        <v>33</v>
      </c>
      <c r="O18" s="35" t="s">
        <v>34</v>
      </c>
      <c r="P18" s="135" t="s">
        <v>74</v>
      </c>
      <c r="Q18" s="133" t="str">
        <f>VLOOKUP(P18,Hoja1!$A$6:$B$7,2,FALSE)</f>
        <v>A</v>
      </c>
      <c r="R18" s="139">
        <v>3131</v>
      </c>
      <c r="S18" s="37">
        <v>225</v>
      </c>
      <c r="T18" s="111">
        <f t="shared" si="11"/>
        <v>704475</v>
      </c>
      <c r="U18" s="37">
        <f t="shared" si="6"/>
        <v>196.7955</v>
      </c>
      <c r="V18" s="141">
        <f t="shared" si="7"/>
        <v>316.64395949999999</v>
      </c>
      <c r="W18" s="34">
        <f t="shared" si="0"/>
        <v>13.640555805391891</v>
      </c>
      <c r="X18" s="34">
        <f t="shared" si="8"/>
        <v>12.630144264251751</v>
      </c>
      <c r="Y18" s="143">
        <f t="shared" si="9"/>
        <v>29.680839020991616</v>
      </c>
      <c r="Z18" s="37">
        <f t="shared" si="10"/>
        <v>105.48893169042886</v>
      </c>
      <c r="AA18" s="37"/>
      <c r="AB18" s="37"/>
      <c r="AC18" s="34">
        <f t="shared" si="1"/>
        <v>8.400537634408602</v>
      </c>
      <c r="AD18" s="34">
        <f t="shared" si="2"/>
        <v>9.07258064516129</v>
      </c>
      <c r="AE18" s="33">
        <f t="shared" si="3"/>
        <v>28406.25</v>
      </c>
      <c r="AF18" s="33">
        <f t="shared" si="4"/>
        <v>345.1057777777778</v>
      </c>
      <c r="AG18" s="122">
        <v>11.76</v>
      </c>
      <c r="AH18" s="35">
        <v>9.43</v>
      </c>
      <c r="AI18" s="127">
        <v>13.7</v>
      </c>
      <c r="AJ18" s="44" t="s">
        <v>104</v>
      </c>
      <c r="AK18" s="44" t="str">
        <f>VLOOKUP(F18,Hoja1!$A$9:$D$15,2,TRUE)</f>
        <v>Executive</v>
      </c>
      <c r="AL18" s="44">
        <v>17</v>
      </c>
      <c r="AM18" s="44" t="s">
        <v>105</v>
      </c>
      <c r="AN18" s="40" t="s">
        <v>106</v>
      </c>
    </row>
    <row r="19" spans="1:40" s="38" customFormat="1">
      <c r="A19" s="132">
        <v>118</v>
      </c>
      <c r="B19" s="134" t="s">
        <v>68</v>
      </c>
      <c r="C19" s="134" t="s">
        <v>69</v>
      </c>
      <c r="D19" s="35" t="s">
        <v>30</v>
      </c>
      <c r="E19" s="32" t="str">
        <f>VLOOKUP(D19,Hoja1!$B$17:$C$21,2,TRUE)</f>
        <v>C</v>
      </c>
      <c r="F19" s="35" t="s">
        <v>40</v>
      </c>
      <c r="G19" s="32">
        <f>VLOOKUP(F19,Hoja1!$A$9:$D$15,3,TRUE)</f>
        <v>80</v>
      </c>
      <c r="H19" s="32">
        <f>VLOOKUP(F19,Hoja1!$A$9:$D$15,4,TRUE)</f>
        <v>3500</v>
      </c>
      <c r="I19" s="35">
        <v>2019</v>
      </c>
      <c r="J19" s="134" t="s">
        <v>32</v>
      </c>
      <c r="K19" s="133" t="str">
        <f>VLOOKUP(J19,Hoja1!$A$2:$B$3,2,FALSE)</f>
        <v>G</v>
      </c>
      <c r="L19" s="134">
        <v>1598</v>
      </c>
      <c r="M19" s="133">
        <f t="shared" si="5"/>
        <v>1.5980000000000001</v>
      </c>
      <c r="N19" s="35" t="s">
        <v>33</v>
      </c>
      <c r="O19" s="35" t="s">
        <v>34</v>
      </c>
      <c r="P19" s="134" t="s">
        <v>74</v>
      </c>
      <c r="Q19" s="133" t="str">
        <f>VLOOKUP(P19,Hoja1!$A$6:$B$7,2,FALSE)</f>
        <v>A</v>
      </c>
      <c r="R19" s="138">
        <v>2998</v>
      </c>
      <c r="S19" s="59">
        <v>166</v>
      </c>
      <c r="T19" s="111">
        <f t="shared" si="11"/>
        <v>497668</v>
      </c>
      <c r="U19" s="37">
        <f t="shared" si="6"/>
        <v>157.7988</v>
      </c>
      <c r="V19" s="141">
        <f t="shared" si="7"/>
        <v>253.89826919999999</v>
      </c>
      <c r="W19" s="34">
        <f t="shared" si="0"/>
        <v>14.809111349389223</v>
      </c>
      <c r="X19" s="34">
        <f t="shared" si="8"/>
        <v>14.809111349389223</v>
      </c>
      <c r="Y19" s="143">
        <f t="shared" si="9"/>
        <v>34.801411671064677</v>
      </c>
      <c r="Z19" s="37">
        <f t="shared" si="10"/>
        <v>86.145930755236009</v>
      </c>
      <c r="AA19" s="37"/>
      <c r="AB19" s="37"/>
      <c r="AC19" s="34">
        <f t="shared" si="1"/>
        <v>7.1551724137931041</v>
      </c>
      <c r="AD19" s="34">
        <f t="shared" si="2"/>
        <v>7.1551724137931041</v>
      </c>
      <c r="AE19" s="33">
        <f t="shared" si="3"/>
        <v>21451.206896551725</v>
      </c>
      <c r="AF19" s="33">
        <f t="shared" si="4"/>
        <v>418.99759036144576</v>
      </c>
      <c r="AG19" s="121">
        <v>10.5</v>
      </c>
      <c r="AH19" s="59">
        <v>18.100000000000001</v>
      </c>
      <c r="AI19" s="39">
        <v>14.3</v>
      </c>
      <c r="AJ19" s="59" t="s">
        <v>243</v>
      </c>
      <c r="AK19" s="44" t="str">
        <f>VLOOKUP(F19,Hoja1!$A$9:$D$15,2,TRUE)</f>
        <v>Compact</v>
      </c>
      <c r="AL19" s="59">
        <v>2</v>
      </c>
      <c r="AM19" s="59" t="s">
        <v>37</v>
      </c>
      <c r="AN19" s="36" t="s">
        <v>38</v>
      </c>
    </row>
    <row r="20" spans="1:40" s="38" customFormat="1">
      <c r="A20" s="132">
        <v>119</v>
      </c>
      <c r="B20" s="134" t="s">
        <v>68</v>
      </c>
      <c r="C20" s="134" t="s">
        <v>69</v>
      </c>
      <c r="D20" s="35" t="s">
        <v>30</v>
      </c>
      <c r="E20" s="32" t="str">
        <f>VLOOKUP(D20,Hoja1!$B$17:$C$21,2,TRUE)</f>
        <v>C</v>
      </c>
      <c r="F20" s="35" t="s">
        <v>40</v>
      </c>
      <c r="G20" s="32">
        <f>VLOOKUP(F20,Hoja1!$A$9:$D$15,3,TRUE)</f>
        <v>80</v>
      </c>
      <c r="H20" s="32">
        <f>VLOOKUP(F20,Hoja1!$A$9:$D$15,4,TRUE)</f>
        <v>3500</v>
      </c>
      <c r="I20" s="35">
        <v>2019</v>
      </c>
      <c r="J20" s="134" t="s">
        <v>32</v>
      </c>
      <c r="K20" s="133" t="str">
        <f>VLOOKUP(J20,Hoja1!$A$2:$B$3,2,FALSE)</f>
        <v>G</v>
      </c>
      <c r="L20" s="134">
        <v>1598</v>
      </c>
      <c r="M20" s="133">
        <f t="shared" si="5"/>
        <v>1.5980000000000001</v>
      </c>
      <c r="N20" s="35" t="s">
        <v>33</v>
      </c>
      <c r="O20" s="35" t="s">
        <v>34</v>
      </c>
      <c r="P20" s="134" t="s">
        <v>35</v>
      </c>
      <c r="Q20" s="133" t="str">
        <f>VLOOKUP(P20,Hoja1!$A$6:$B$7,2,FALSE)</f>
        <v>M</v>
      </c>
      <c r="R20" s="138">
        <v>2925</v>
      </c>
      <c r="S20" s="59">
        <v>155</v>
      </c>
      <c r="T20" s="111">
        <f t="shared" si="11"/>
        <v>453375</v>
      </c>
      <c r="U20" s="37">
        <f t="shared" si="6"/>
        <v>148.27500000000001</v>
      </c>
      <c r="V20" s="141">
        <f t="shared" si="7"/>
        <v>238.57447500000001</v>
      </c>
      <c r="W20" s="34">
        <f t="shared" si="0"/>
        <v>15.760310234361828</v>
      </c>
      <c r="X20" s="34">
        <f t="shared" si="8"/>
        <v>15.760310234361828</v>
      </c>
      <c r="Y20" s="143">
        <f t="shared" si="9"/>
        <v>37.036729050750296</v>
      </c>
      <c r="Z20" s="37">
        <f t="shared" si="10"/>
        <v>78.975656732320019</v>
      </c>
      <c r="AA20" s="37"/>
      <c r="AB20" s="37"/>
      <c r="AC20" s="34">
        <f t="shared" si="1"/>
        <v>6.681034482758621</v>
      </c>
      <c r="AD20" s="34">
        <f t="shared" si="2"/>
        <v>6.681034482758621</v>
      </c>
      <c r="AE20" s="33">
        <f t="shared" si="3"/>
        <v>19542.025862068967</v>
      </c>
      <c r="AF20" s="33">
        <f t="shared" si="4"/>
        <v>437.80645161290323</v>
      </c>
      <c r="AG20" s="121">
        <v>11.6</v>
      </c>
      <c r="AH20" s="59">
        <v>18.899999999999999</v>
      </c>
      <c r="AI20" s="39">
        <v>15.3</v>
      </c>
      <c r="AJ20" s="59" t="s">
        <v>70</v>
      </c>
      <c r="AK20" s="44" t="str">
        <f>VLOOKUP(F20,Hoja1!$A$9:$D$15,2,TRUE)</f>
        <v>Compact</v>
      </c>
      <c r="AL20" s="59">
        <v>2</v>
      </c>
      <c r="AM20" s="59" t="s">
        <v>37</v>
      </c>
      <c r="AN20" s="36" t="s">
        <v>38</v>
      </c>
    </row>
    <row r="21" spans="1:40" s="38" customFormat="1">
      <c r="A21" s="132">
        <v>120</v>
      </c>
      <c r="B21" s="134" t="s">
        <v>43</v>
      </c>
      <c r="C21" s="134" t="s">
        <v>93</v>
      </c>
      <c r="D21" s="35" t="s">
        <v>94</v>
      </c>
      <c r="E21" s="32" t="str">
        <f>VLOOKUP(D21,Hoja1!$B$17:$C$21,2,TRUE)</f>
        <v>T</v>
      </c>
      <c r="F21" s="35" t="s">
        <v>31</v>
      </c>
      <c r="G21" s="32">
        <f>VLOOKUP(F21,Hoja1!$A$9:$D$15,3,TRUE)</f>
        <v>90</v>
      </c>
      <c r="H21" s="32">
        <f>VLOOKUP(F21,Hoja1!$A$9:$D$15,4,TRUE)</f>
        <v>4250</v>
      </c>
      <c r="I21" s="35">
        <v>2019</v>
      </c>
      <c r="J21" s="134" t="s">
        <v>32</v>
      </c>
      <c r="K21" s="133" t="str">
        <f>VLOOKUP(J21,Hoja1!$A$2:$B$3,2,FALSE)</f>
        <v>G</v>
      </c>
      <c r="L21" s="134">
        <v>1998</v>
      </c>
      <c r="M21" s="133">
        <f t="shared" si="5"/>
        <v>1.998</v>
      </c>
      <c r="N21" s="35" t="s">
        <v>33</v>
      </c>
      <c r="O21" s="35" t="s">
        <v>34</v>
      </c>
      <c r="P21" s="134" t="s">
        <v>35</v>
      </c>
      <c r="Q21" s="133" t="str">
        <f>VLOOKUP(P21,Hoja1!$A$6:$B$7,2,FALSE)</f>
        <v>M</v>
      </c>
      <c r="R21" s="138">
        <v>2895</v>
      </c>
      <c r="S21" s="59">
        <v>236</v>
      </c>
      <c r="T21" s="111">
        <f t="shared" si="11"/>
        <v>683220</v>
      </c>
      <c r="U21" s="37">
        <f t="shared" si="6"/>
        <v>218.40479999999999</v>
      </c>
      <c r="V21" s="141">
        <f t="shared" si="7"/>
        <v>351.41332319999998</v>
      </c>
      <c r="W21" s="34">
        <f t="shared" si="0"/>
        <v>10.6996732672542</v>
      </c>
      <c r="X21" s="34">
        <f t="shared" si="8"/>
        <v>10.6996732672542</v>
      </c>
      <c r="Y21" s="143">
        <f t="shared" si="9"/>
        <v>25.144232178047371</v>
      </c>
      <c r="Z21" s="37">
        <f t="shared" si="10"/>
        <v>115.13574880713726</v>
      </c>
      <c r="AA21" s="37"/>
      <c r="AB21" s="37"/>
      <c r="AC21" s="34">
        <f t="shared" si="1"/>
        <v>10.172413793103448</v>
      </c>
      <c r="AD21" s="34">
        <f t="shared" si="2"/>
        <v>10.172413793103448</v>
      </c>
      <c r="AE21" s="33">
        <f t="shared" si="3"/>
        <v>29449.137931034482</v>
      </c>
      <c r="AF21" s="33">
        <f t="shared" si="4"/>
        <v>284.59322033898303</v>
      </c>
      <c r="AG21" s="121">
        <v>7.2</v>
      </c>
      <c r="AH21" s="59">
        <v>13.1</v>
      </c>
      <c r="AI21" s="39">
        <v>10.1</v>
      </c>
      <c r="AJ21" s="59" t="s">
        <v>95</v>
      </c>
      <c r="AK21" s="44" t="str">
        <f>VLOOKUP(F21,Hoja1!$A$9:$D$15,2,TRUE)</f>
        <v>Midsize</v>
      </c>
      <c r="AL21" s="59">
        <v>7</v>
      </c>
      <c r="AM21" s="59" t="s">
        <v>37</v>
      </c>
      <c r="AN21" s="36" t="s">
        <v>38</v>
      </c>
    </row>
    <row r="22" spans="1:40" s="38" customFormat="1">
      <c r="A22" s="132">
        <v>121</v>
      </c>
      <c r="B22" s="134" t="s">
        <v>151</v>
      </c>
      <c r="C22" s="134" t="s">
        <v>315</v>
      </c>
      <c r="D22" s="35" t="s">
        <v>30</v>
      </c>
      <c r="E22" s="32" t="str">
        <f>VLOOKUP(D22,Hoja1!$B$17:$C$21,2,TRUE)</f>
        <v>C</v>
      </c>
      <c r="F22" s="35" t="s">
        <v>40</v>
      </c>
      <c r="G22" s="32">
        <f>VLOOKUP(F22,Hoja1!$A$9:$D$15,3,TRUE)</f>
        <v>80</v>
      </c>
      <c r="H22" s="32">
        <f>VLOOKUP(F22,Hoja1!$A$9:$D$15,4,TRUE)</f>
        <v>3500</v>
      </c>
      <c r="I22" s="35">
        <v>2019</v>
      </c>
      <c r="J22" s="134" t="s">
        <v>32</v>
      </c>
      <c r="K22" s="133" t="str">
        <f>VLOOKUP(J22,Hoja1!$A$2:$B$3,2,FALSE)</f>
        <v>G</v>
      </c>
      <c r="L22" s="134">
        <v>1248</v>
      </c>
      <c r="M22" s="133">
        <f t="shared" si="5"/>
        <v>1.248</v>
      </c>
      <c r="N22" s="35" t="s">
        <v>33</v>
      </c>
      <c r="O22" s="35" t="s">
        <v>34</v>
      </c>
      <c r="P22" s="134" t="s">
        <v>35</v>
      </c>
      <c r="Q22" s="133" t="str">
        <f>VLOOKUP(P22,Hoja1!$A$6:$B$7,2,FALSE)</f>
        <v>M</v>
      </c>
      <c r="R22" s="138">
        <v>2568</v>
      </c>
      <c r="S22" s="59">
        <v>141</v>
      </c>
      <c r="T22" s="111">
        <f t="shared" si="11"/>
        <v>362088</v>
      </c>
      <c r="U22" s="37">
        <f t="shared" si="6"/>
        <v>136.15379999999999</v>
      </c>
      <c r="V22" s="141">
        <f t="shared" si="7"/>
        <v>219.07146419999998</v>
      </c>
      <c r="W22" s="34">
        <f t="shared" si="0"/>
        <v>17.163384349169839</v>
      </c>
      <c r="X22" s="34">
        <f t="shared" si="8"/>
        <v>17.163384349169839</v>
      </c>
      <c r="Y22" s="143">
        <f t="shared" si="9"/>
        <v>40.33395322054912</v>
      </c>
      <c r="Z22" s="37">
        <f t="shared" si="10"/>
        <v>63.668442960648584</v>
      </c>
      <c r="AA22" s="37"/>
      <c r="AB22" s="37"/>
      <c r="AC22" s="34">
        <f t="shared" si="1"/>
        <v>6.0775862068965516</v>
      </c>
      <c r="AD22" s="34">
        <f t="shared" si="2"/>
        <v>6.0775862068965516</v>
      </c>
      <c r="AE22" s="33">
        <f t="shared" si="3"/>
        <v>15607.241379310344</v>
      </c>
      <c r="AF22" s="33">
        <f t="shared" si="4"/>
        <v>422.53617021276597</v>
      </c>
      <c r="AG22" s="122">
        <v>13.1</v>
      </c>
      <c r="AH22" s="35">
        <v>20.2</v>
      </c>
      <c r="AI22" s="43">
        <v>16.8</v>
      </c>
      <c r="AJ22" s="44" t="s">
        <v>153</v>
      </c>
      <c r="AK22" s="44" t="str">
        <f>VLOOKUP(F22,Hoja1!$A$9:$D$15,2,TRUE)</f>
        <v>Compact</v>
      </c>
      <c r="AL22" s="44">
        <v>2</v>
      </c>
      <c r="AM22" s="44" t="s">
        <v>37</v>
      </c>
      <c r="AN22" s="40" t="s">
        <v>38</v>
      </c>
    </row>
    <row r="23" spans="1:40" s="38" customFormat="1">
      <c r="A23" s="132">
        <v>122</v>
      </c>
      <c r="B23" s="134" t="s">
        <v>68</v>
      </c>
      <c r="C23" s="134" t="s">
        <v>96</v>
      </c>
      <c r="D23" s="35" t="s">
        <v>30</v>
      </c>
      <c r="E23" s="32" t="str">
        <f>VLOOKUP(D23,Hoja1!$B$17:$C$21,2,TRUE)</f>
        <v>C</v>
      </c>
      <c r="F23" s="35" t="s">
        <v>313</v>
      </c>
      <c r="G23" s="32">
        <f>VLOOKUP(F23,Hoja1!$A$9:$D$15,3,TRUE)</f>
        <v>90</v>
      </c>
      <c r="H23" s="32">
        <f>VLOOKUP(F23,Hoja1!$A$9:$D$15,4,TRUE)</f>
        <v>4250</v>
      </c>
      <c r="I23" s="35">
        <v>2019</v>
      </c>
      <c r="J23" s="134" t="s">
        <v>32</v>
      </c>
      <c r="K23" s="133" t="str">
        <f>VLOOKUP(J23,Hoja1!$A$2:$B$3,2,FALSE)</f>
        <v>G</v>
      </c>
      <c r="L23" s="134">
        <v>1598</v>
      </c>
      <c r="M23" s="133">
        <f t="shared" si="5"/>
        <v>1.5980000000000001</v>
      </c>
      <c r="N23" s="35" t="s">
        <v>33</v>
      </c>
      <c r="O23" s="35" t="s">
        <v>34</v>
      </c>
      <c r="P23" s="134" t="s">
        <v>35</v>
      </c>
      <c r="Q23" s="133" t="str">
        <f>VLOOKUP(P23,Hoja1!$A$6:$B$7,2,FALSE)</f>
        <v>M</v>
      </c>
      <c r="R23" s="138">
        <v>2538</v>
      </c>
      <c r="S23" s="59">
        <v>155</v>
      </c>
      <c r="T23" s="111">
        <f t="shared" si="11"/>
        <v>393390</v>
      </c>
      <c r="U23" s="37">
        <f t="shared" si="6"/>
        <v>148.27500000000001</v>
      </c>
      <c r="V23" s="141">
        <f t="shared" si="7"/>
        <v>238.57447500000001</v>
      </c>
      <c r="W23" s="34">
        <f t="shared" si="0"/>
        <v>15.760310234361828</v>
      </c>
      <c r="X23" s="34">
        <f t="shared" si="8"/>
        <v>15.760310234361828</v>
      </c>
      <c r="Y23" s="143">
        <f t="shared" si="9"/>
        <v>37.036729050750296</v>
      </c>
      <c r="Z23" s="37">
        <f t="shared" si="10"/>
        <v>68.526569841582287</v>
      </c>
      <c r="AA23" s="37"/>
      <c r="AB23" s="37"/>
      <c r="AC23" s="34">
        <f t="shared" si="1"/>
        <v>6.681034482758621</v>
      </c>
      <c r="AD23" s="34">
        <f t="shared" si="2"/>
        <v>6.681034482758621</v>
      </c>
      <c r="AE23" s="33">
        <f t="shared" si="3"/>
        <v>16956.46551724138</v>
      </c>
      <c r="AF23" s="33">
        <f t="shared" si="4"/>
        <v>379.88129032258064</v>
      </c>
      <c r="AG23" s="122">
        <v>11.6</v>
      </c>
      <c r="AH23" s="35">
        <v>19</v>
      </c>
      <c r="AI23" s="43">
        <v>15.4</v>
      </c>
      <c r="AJ23" s="44" t="s">
        <v>97</v>
      </c>
      <c r="AK23" s="44" t="str">
        <f>VLOOKUP(F23,Hoja1!$A$9:$D$15,2,TRUE)</f>
        <v>Midsize</v>
      </c>
      <c r="AL23" s="44">
        <v>3</v>
      </c>
      <c r="AM23" s="44" t="s">
        <v>37</v>
      </c>
      <c r="AN23" s="40" t="s">
        <v>38</v>
      </c>
    </row>
    <row r="24" spans="1:40" s="38" customFormat="1">
      <c r="A24" s="132">
        <v>123</v>
      </c>
      <c r="B24" s="134" t="s">
        <v>28</v>
      </c>
      <c r="C24" s="134" t="s">
        <v>59</v>
      </c>
      <c r="D24" s="35" t="s">
        <v>60</v>
      </c>
      <c r="E24" s="32" t="str">
        <f>VLOOKUP(D24,Hoja1!$B$17:$C$21,2,TRUE)</f>
        <v>T</v>
      </c>
      <c r="F24" s="35" t="s">
        <v>313</v>
      </c>
      <c r="G24" s="32">
        <f>VLOOKUP(F24,Hoja1!$A$9:$D$15,3,TRUE)</f>
        <v>90</v>
      </c>
      <c r="H24" s="32">
        <f>VLOOKUP(F24,Hoja1!$A$9:$D$15,4,TRUE)</f>
        <v>4250</v>
      </c>
      <c r="I24" s="35">
        <v>2019</v>
      </c>
      <c r="J24" s="134" t="s">
        <v>32</v>
      </c>
      <c r="K24" s="133" t="str">
        <f>VLOOKUP(J24,Hoja1!$A$2:$B$3,2,FALSE)</f>
        <v>G</v>
      </c>
      <c r="L24" s="134">
        <v>1796</v>
      </c>
      <c r="M24" s="133">
        <f t="shared" si="5"/>
        <v>1.796</v>
      </c>
      <c r="N24" s="35" t="s">
        <v>33</v>
      </c>
      <c r="O24" s="35" t="s">
        <v>34</v>
      </c>
      <c r="P24" s="134" t="s">
        <v>35</v>
      </c>
      <c r="Q24" s="133" t="str">
        <f>VLOOKUP(P24,Hoja1!$A$6:$B$7,2,FALSE)</f>
        <v>M</v>
      </c>
      <c r="R24" s="138">
        <v>2427</v>
      </c>
      <c r="S24" s="59">
        <v>180</v>
      </c>
      <c r="T24" s="111">
        <f t="shared" si="11"/>
        <v>436860</v>
      </c>
      <c r="U24" s="37">
        <f t="shared" si="6"/>
        <v>169.92</v>
      </c>
      <c r="V24" s="141">
        <f t="shared" si="7"/>
        <v>273.40127999999999</v>
      </c>
      <c r="W24" s="34">
        <f t="shared" si="0"/>
        <v>13.752707156308853</v>
      </c>
      <c r="X24" s="34">
        <f t="shared" si="8"/>
        <v>13.752707156308853</v>
      </c>
      <c r="Y24" s="143">
        <f t="shared" si="9"/>
        <v>32.318861817325804</v>
      </c>
      <c r="Z24" s="37">
        <f t="shared" si="10"/>
        <v>75.095466347732298</v>
      </c>
      <c r="AA24" s="37"/>
      <c r="AB24" s="37"/>
      <c r="AC24" s="34">
        <f t="shared" si="1"/>
        <v>7.7586206896551726</v>
      </c>
      <c r="AD24" s="34">
        <f t="shared" si="2"/>
        <v>7.7586206896551726</v>
      </c>
      <c r="AE24" s="33">
        <f t="shared" si="3"/>
        <v>18830.172413793105</v>
      </c>
      <c r="AF24" s="33">
        <f t="shared" si="4"/>
        <v>312.81333333333333</v>
      </c>
      <c r="AG24" s="121">
        <v>9.4</v>
      </c>
      <c r="AH24" s="59">
        <v>16.7</v>
      </c>
      <c r="AI24" s="39">
        <v>13</v>
      </c>
      <c r="AJ24" s="59" t="s">
        <v>236</v>
      </c>
      <c r="AK24" s="44" t="str">
        <f>VLOOKUP(F24,Hoja1!$A$9:$D$15,2,TRUE)</f>
        <v>Midsize</v>
      </c>
      <c r="AL24" s="59">
        <v>7</v>
      </c>
      <c r="AM24" s="59" t="s">
        <v>37</v>
      </c>
      <c r="AN24" s="36" t="s">
        <v>38</v>
      </c>
    </row>
    <row r="25" spans="1:40" s="38" customFormat="1">
      <c r="A25" s="132">
        <v>124</v>
      </c>
      <c r="B25" s="134" t="s">
        <v>50</v>
      </c>
      <c r="C25" s="134" t="s">
        <v>139</v>
      </c>
      <c r="D25" s="35" t="s">
        <v>30</v>
      </c>
      <c r="E25" s="32" t="str">
        <f>VLOOKUP(D25,Hoja1!$B$17:$C$21,2,TRUE)</f>
        <v>C</v>
      </c>
      <c r="F25" s="35" t="s">
        <v>313</v>
      </c>
      <c r="G25" s="32">
        <f>VLOOKUP(F25,Hoja1!$A$9:$D$15,3,TRUE)</f>
        <v>90</v>
      </c>
      <c r="H25" s="32">
        <f>VLOOKUP(F25,Hoja1!$A$9:$D$15,4,TRUE)</f>
        <v>4250</v>
      </c>
      <c r="I25" s="35">
        <v>2019</v>
      </c>
      <c r="J25" s="134" t="s">
        <v>32</v>
      </c>
      <c r="K25" s="133" t="str">
        <f>VLOOKUP(J25,Hoja1!$A$2:$B$3,2,FALSE)</f>
        <v>G</v>
      </c>
      <c r="L25" s="134">
        <v>1496</v>
      </c>
      <c r="M25" s="133">
        <f t="shared" si="5"/>
        <v>1.496</v>
      </c>
      <c r="N25" s="35" t="s">
        <v>33</v>
      </c>
      <c r="O25" s="35" t="s">
        <v>34</v>
      </c>
      <c r="P25" s="134" t="s">
        <v>74</v>
      </c>
      <c r="Q25" s="133" t="str">
        <f>VLOOKUP(P25,Hoja1!$A$6:$B$7,2,FALSE)</f>
        <v>A</v>
      </c>
      <c r="R25" s="138">
        <v>2311</v>
      </c>
      <c r="S25" s="59">
        <v>138</v>
      </c>
      <c r="T25" s="111">
        <f t="shared" si="11"/>
        <v>318918</v>
      </c>
      <c r="U25" s="37">
        <f t="shared" si="6"/>
        <v>133.5564</v>
      </c>
      <c r="V25" s="141">
        <f t="shared" si="7"/>
        <v>214.89224759999999</v>
      </c>
      <c r="W25" s="34">
        <f t="shared" si="0"/>
        <v>17.497177222506746</v>
      </c>
      <c r="X25" s="34">
        <f t="shared" si="8"/>
        <v>17.497177222506746</v>
      </c>
      <c r="Y25" s="143">
        <f t="shared" si="9"/>
        <v>41.118366472890855</v>
      </c>
      <c r="Z25" s="37">
        <f t="shared" si="10"/>
        <v>56.203594603487744</v>
      </c>
      <c r="AA25" s="37"/>
      <c r="AB25" s="37"/>
      <c r="AC25" s="34">
        <f t="shared" si="1"/>
        <v>5.9482758620689653</v>
      </c>
      <c r="AD25" s="34">
        <f t="shared" si="2"/>
        <v>5.9482758620689653</v>
      </c>
      <c r="AE25" s="33">
        <f t="shared" si="3"/>
        <v>13746.465517241379</v>
      </c>
      <c r="AF25" s="33">
        <f t="shared" si="4"/>
        <v>388.51594202898553</v>
      </c>
      <c r="AG25" s="124">
        <v>13</v>
      </c>
      <c r="AH25" s="41">
        <v>21.2</v>
      </c>
      <c r="AI25" s="42">
        <v>17.2</v>
      </c>
      <c r="AJ25" s="59" t="s">
        <v>233</v>
      </c>
      <c r="AK25" s="44" t="str">
        <f>VLOOKUP(F25,Hoja1!$A$9:$D$15,2,TRUE)</f>
        <v>Midsize</v>
      </c>
      <c r="AL25" s="59">
        <v>3</v>
      </c>
      <c r="AM25" s="59" t="s">
        <v>37</v>
      </c>
      <c r="AN25" s="36" t="s">
        <v>38</v>
      </c>
    </row>
    <row r="26" spans="1:40" s="38" customFormat="1">
      <c r="A26" s="132">
        <v>125</v>
      </c>
      <c r="B26" s="134" t="s">
        <v>55</v>
      </c>
      <c r="C26" s="134" t="s">
        <v>56</v>
      </c>
      <c r="D26" s="35" t="s">
        <v>30</v>
      </c>
      <c r="E26" s="32" t="str">
        <f>VLOOKUP(D26,Hoja1!$B$17:$C$21,2,TRUE)</f>
        <v>C</v>
      </c>
      <c r="F26" s="35" t="s">
        <v>57</v>
      </c>
      <c r="G26" s="32">
        <f>VLOOKUP(F26,Hoja1!$A$9:$D$15,3,TRUE)</f>
        <v>60</v>
      </c>
      <c r="H26" s="32">
        <f>VLOOKUP(F26,Hoja1!$A$9:$D$15,4,TRUE)</f>
        <v>2250</v>
      </c>
      <c r="I26" s="35">
        <v>2019</v>
      </c>
      <c r="J26" s="134" t="s">
        <v>32</v>
      </c>
      <c r="K26" s="133" t="str">
        <f>VLOOKUP(J26,Hoja1!$A$2:$B$3,2,FALSE)</f>
        <v>G</v>
      </c>
      <c r="L26" s="134">
        <v>998</v>
      </c>
      <c r="M26" s="133">
        <f t="shared" si="5"/>
        <v>0.998</v>
      </c>
      <c r="N26" s="35" t="s">
        <v>33</v>
      </c>
      <c r="O26" s="35" t="s">
        <v>34</v>
      </c>
      <c r="P26" s="134" t="s">
        <v>35</v>
      </c>
      <c r="Q26" s="133" t="str">
        <f>VLOOKUP(P26,Hoja1!$A$6:$B$7,2,FALSE)</f>
        <v>M</v>
      </c>
      <c r="R26" s="138">
        <v>2267</v>
      </c>
      <c r="S26" s="59">
        <v>109</v>
      </c>
      <c r="T26" s="111">
        <f t="shared" si="11"/>
        <v>247103</v>
      </c>
      <c r="U26" s="37">
        <f t="shared" si="6"/>
        <v>108.44820000000001</v>
      </c>
      <c r="V26" s="141">
        <f t="shared" si="7"/>
        <v>174.49315380000002</v>
      </c>
      <c r="W26" s="34">
        <f t="shared" si="0"/>
        <v>21.548167696651486</v>
      </c>
      <c r="X26" s="34">
        <f t="shared" si="8"/>
        <v>21.548167696651486</v>
      </c>
      <c r="Y26" s="143">
        <f t="shared" si="9"/>
        <v>50.638194087130991</v>
      </c>
      <c r="Z26" s="37">
        <f t="shared" si="10"/>
        <v>44.768579149944991</v>
      </c>
      <c r="AA26" s="37"/>
      <c r="AB26" s="37"/>
      <c r="AC26" s="34">
        <f t="shared" si="1"/>
        <v>4.6982758620689653</v>
      </c>
      <c r="AD26" s="34">
        <f t="shared" si="2"/>
        <v>4.6982758620689653</v>
      </c>
      <c r="AE26" s="33">
        <f t="shared" si="3"/>
        <v>10650.991379310344</v>
      </c>
      <c r="AF26" s="33">
        <f t="shared" si="4"/>
        <v>482.51743119266058</v>
      </c>
      <c r="AG26" s="121">
        <v>16.399999999999999</v>
      </c>
      <c r="AH26" s="59">
        <v>26.7</v>
      </c>
      <c r="AI26" s="39">
        <v>21.7</v>
      </c>
      <c r="AJ26" s="59" t="s">
        <v>72</v>
      </c>
      <c r="AK26" s="44" t="str">
        <f>VLOOKUP(F26,Hoja1!$A$9:$D$15,2,TRUE)</f>
        <v>Subcompact</v>
      </c>
      <c r="AL26" s="59">
        <v>1</v>
      </c>
      <c r="AM26" s="59" t="s">
        <v>37</v>
      </c>
      <c r="AN26" s="36" t="s">
        <v>38</v>
      </c>
    </row>
    <row r="27" spans="1:40" s="38" customFormat="1">
      <c r="A27" s="132">
        <v>126</v>
      </c>
      <c r="B27" s="134" t="s">
        <v>102</v>
      </c>
      <c r="C27" s="134" t="s">
        <v>174</v>
      </c>
      <c r="D27" s="35" t="s">
        <v>88</v>
      </c>
      <c r="E27" s="32" t="str">
        <f>VLOOKUP(D27,Hoja1!$B$17:$C$21,2,TRUE)</f>
        <v>T</v>
      </c>
      <c r="F27" s="35" t="s">
        <v>175</v>
      </c>
      <c r="G27" s="32">
        <f>VLOOKUP(F27,Hoja1!$A$9:$D$15,3,TRUE)</f>
        <v>110</v>
      </c>
      <c r="H27" s="32">
        <f>VLOOKUP(F27,Hoja1!$A$9:$D$15,4,TRUE)</f>
        <v>5751</v>
      </c>
      <c r="I27" s="35">
        <v>2019</v>
      </c>
      <c r="J27" s="134" t="s">
        <v>103</v>
      </c>
      <c r="K27" s="133" t="str">
        <f>VLOOKUP(J27,Hoja1!$A$2:$B$3,2,FALSE)</f>
        <v>D</v>
      </c>
      <c r="L27" s="134">
        <v>2393</v>
      </c>
      <c r="M27" s="133">
        <f t="shared" si="5"/>
        <v>2.3929999999999998</v>
      </c>
      <c r="N27" s="35" t="s">
        <v>33</v>
      </c>
      <c r="O27" s="35" t="s">
        <v>34</v>
      </c>
      <c r="P27" s="134" t="s">
        <v>35</v>
      </c>
      <c r="Q27" s="133" t="str">
        <f>VLOOKUP(P27,Hoja1!$A$6:$B$7,2,FALSE)</f>
        <v>M</v>
      </c>
      <c r="R27" s="138">
        <v>2240</v>
      </c>
      <c r="S27" s="59">
        <v>202</v>
      </c>
      <c r="T27" s="111">
        <f t="shared" si="11"/>
        <v>452480</v>
      </c>
      <c r="U27" s="37">
        <f t="shared" si="6"/>
        <v>179.12459999999999</v>
      </c>
      <c r="V27" s="141">
        <f t="shared" si="7"/>
        <v>288.21148139999997</v>
      </c>
      <c r="W27" s="34">
        <f t="shared" si="0"/>
        <v>14.986216298598855</v>
      </c>
      <c r="X27" s="34">
        <f t="shared" si="8"/>
        <v>13.876126202406345</v>
      </c>
      <c r="Y27" s="143">
        <f t="shared" si="9"/>
        <v>32.60889657565491</v>
      </c>
      <c r="Z27" s="37">
        <f t="shared" si="10"/>
        <v>68.692910071429253</v>
      </c>
      <c r="AA27" s="37"/>
      <c r="AB27" s="37"/>
      <c r="AC27" s="34">
        <f t="shared" si="1"/>
        <v>7.5418160095579445</v>
      </c>
      <c r="AD27" s="34">
        <f t="shared" si="2"/>
        <v>8.1451612903225801</v>
      </c>
      <c r="AE27" s="33">
        <f t="shared" si="3"/>
        <v>18245.16129032258</v>
      </c>
      <c r="AF27" s="33">
        <f t="shared" si="4"/>
        <v>275.00990099009903</v>
      </c>
      <c r="AG27" s="121">
        <v>10.9</v>
      </c>
      <c r="AH27" s="59">
        <v>14.8</v>
      </c>
      <c r="AI27" s="39">
        <v>13.1</v>
      </c>
      <c r="AJ27" s="59" t="s">
        <v>187</v>
      </c>
      <c r="AK27" s="44" t="str">
        <f>VLOOKUP(F27,Hoja1!$A$9:$D$15,2,TRUE)</f>
        <v>Executive</v>
      </c>
      <c r="AL27" s="44">
        <v>17</v>
      </c>
      <c r="AM27" s="59" t="s">
        <v>37</v>
      </c>
      <c r="AN27" s="36" t="s">
        <v>38</v>
      </c>
    </row>
    <row r="28" spans="1:40" s="38" customFormat="1">
      <c r="A28" s="132">
        <v>127</v>
      </c>
      <c r="B28" s="134" t="s">
        <v>102</v>
      </c>
      <c r="C28" s="134" t="s">
        <v>137</v>
      </c>
      <c r="D28" s="35" t="s">
        <v>94</v>
      </c>
      <c r="E28" s="32" t="str">
        <f>VLOOKUP(D28,Hoja1!$B$17:$C$21,2,TRUE)</f>
        <v>T</v>
      </c>
      <c r="F28" s="35" t="s">
        <v>175</v>
      </c>
      <c r="G28" s="32">
        <f>VLOOKUP(F28,Hoja1!$A$9:$D$15,3,TRUE)</f>
        <v>110</v>
      </c>
      <c r="H28" s="32">
        <f>VLOOKUP(F28,Hoja1!$A$9:$D$15,4,TRUE)</f>
        <v>5751</v>
      </c>
      <c r="I28" s="35">
        <v>2019</v>
      </c>
      <c r="J28" s="134" t="s">
        <v>103</v>
      </c>
      <c r="K28" s="133" t="str">
        <f>VLOOKUP(J28,Hoja1!$A$2:$B$3,2,FALSE)</f>
        <v>D</v>
      </c>
      <c r="L28" s="134">
        <v>2755</v>
      </c>
      <c r="M28" s="133">
        <f t="shared" si="5"/>
        <v>2.7549999999999999</v>
      </c>
      <c r="N28" s="35" t="s">
        <v>33</v>
      </c>
      <c r="O28" s="35" t="s">
        <v>34</v>
      </c>
      <c r="P28" s="134" t="s">
        <v>74</v>
      </c>
      <c r="Q28" s="133" t="str">
        <f>VLOOKUP(P28,Hoja1!$A$6:$B$7,2,FALSE)</f>
        <v>A</v>
      </c>
      <c r="R28" s="138">
        <v>2239</v>
      </c>
      <c r="S28" s="35">
        <v>230</v>
      </c>
      <c r="T28" s="111">
        <f t="shared" si="11"/>
        <v>514970</v>
      </c>
      <c r="U28" s="37">
        <f t="shared" si="6"/>
        <v>200.637</v>
      </c>
      <c r="V28" s="141">
        <f t="shared" si="7"/>
        <v>322.82493299999999</v>
      </c>
      <c r="W28" s="34">
        <f t="shared" si="0"/>
        <v>13.379386653508575</v>
      </c>
      <c r="X28" s="34">
        <f t="shared" si="8"/>
        <v>12.388320975470902</v>
      </c>
      <c r="Y28" s="143">
        <f t="shared" si="9"/>
        <v>29.112554292356624</v>
      </c>
      <c r="Z28" s="37">
        <f t="shared" si="10"/>
        <v>76.908401011993647</v>
      </c>
      <c r="AA28" s="37"/>
      <c r="AB28" s="37"/>
      <c r="AC28" s="34">
        <f t="shared" si="1"/>
        <v>8.5872162485065697</v>
      </c>
      <c r="AD28" s="34">
        <f t="shared" si="2"/>
        <v>9.2741935483870961</v>
      </c>
      <c r="AE28" s="33">
        <f t="shared" si="3"/>
        <v>20764.919354838708</v>
      </c>
      <c r="AF28" s="33">
        <f t="shared" si="4"/>
        <v>241.4226086956522</v>
      </c>
      <c r="AG28" s="122">
        <v>9.1</v>
      </c>
      <c r="AH28" s="35">
        <v>13.5</v>
      </c>
      <c r="AI28" s="43">
        <v>11.5</v>
      </c>
      <c r="AJ28" s="44" t="s">
        <v>196</v>
      </c>
      <c r="AK28" s="44" t="str">
        <f>VLOOKUP(F28,Hoja1!$A$9:$D$15,2,TRUE)</f>
        <v>Executive</v>
      </c>
      <c r="AL28" s="44">
        <v>17</v>
      </c>
      <c r="AM28" s="44" t="s">
        <v>37</v>
      </c>
      <c r="AN28" s="40" t="s">
        <v>38</v>
      </c>
    </row>
    <row r="29" spans="1:40" s="38" customFormat="1">
      <c r="A29" s="132">
        <v>128</v>
      </c>
      <c r="B29" s="134" t="s">
        <v>135</v>
      </c>
      <c r="C29" s="134" t="s">
        <v>316</v>
      </c>
      <c r="D29" s="35" t="s">
        <v>60</v>
      </c>
      <c r="E29" s="32" t="str">
        <f>VLOOKUP(D29,Hoja1!$B$17:$C$21,2,TRUE)</f>
        <v>T</v>
      </c>
      <c r="F29" s="35" t="s">
        <v>313</v>
      </c>
      <c r="G29" s="32">
        <f>VLOOKUP(F29,Hoja1!$A$9:$D$15,3,TRUE)</f>
        <v>90</v>
      </c>
      <c r="H29" s="32">
        <f>VLOOKUP(F29,Hoja1!$A$9:$D$15,4,TRUE)</f>
        <v>4250</v>
      </c>
      <c r="I29" s="35">
        <v>2019</v>
      </c>
      <c r="J29" s="134" t="s">
        <v>32</v>
      </c>
      <c r="K29" s="133" t="str">
        <f>VLOOKUP(J29,Hoja1!$A$2:$B$3,2,FALSE)</f>
        <v>G</v>
      </c>
      <c r="L29" s="134">
        <v>1586</v>
      </c>
      <c r="M29" s="133">
        <f t="shared" si="5"/>
        <v>1.5860000000000001</v>
      </c>
      <c r="N29" s="35" t="s">
        <v>33</v>
      </c>
      <c r="O29" s="35" t="s">
        <v>34</v>
      </c>
      <c r="P29" s="134" t="s">
        <v>74</v>
      </c>
      <c r="Q29" s="133" t="str">
        <f>VLOOKUP(P29,Hoja1!$A$6:$B$7,2,FALSE)</f>
        <v>A</v>
      </c>
      <c r="R29" s="138">
        <v>2212</v>
      </c>
      <c r="S29" s="35">
        <v>153</v>
      </c>
      <c r="T29" s="111">
        <f t="shared" si="11"/>
        <v>338436</v>
      </c>
      <c r="U29" s="37">
        <f t="shared" si="6"/>
        <v>146.54339999999999</v>
      </c>
      <c r="V29" s="141">
        <f t="shared" si="7"/>
        <v>235.78833059999999</v>
      </c>
      <c r="W29" s="34">
        <f t="shared" si="0"/>
        <v>15.946538704574893</v>
      </c>
      <c r="X29" s="34">
        <f t="shared" si="8"/>
        <v>15.946538704574893</v>
      </c>
      <c r="Y29" s="143">
        <f t="shared" si="9"/>
        <v>37.474365955750997</v>
      </c>
      <c r="Z29" s="37">
        <f t="shared" si="10"/>
        <v>59.027016030421613</v>
      </c>
      <c r="AA29" s="37"/>
      <c r="AB29" s="37"/>
      <c r="AC29" s="34">
        <f t="shared" si="1"/>
        <v>6.5948275862068968</v>
      </c>
      <c r="AD29" s="34">
        <f t="shared" si="2"/>
        <v>6.5948275862068968</v>
      </c>
      <c r="AE29" s="33">
        <f t="shared" si="3"/>
        <v>14587.758620689656</v>
      </c>
      <c r="AF29" s="33">
        <f t="shared" si="4"/>
        <v>335.41437908496732</v>
      </c>
      <c r="AG29" s="122">
        <v>12.3</v>
      </c>
      <c r="AH29" s="35">
        <v>18.3</v>
      </c>
      <c r="AI29" s="43">
        <v>15.6</v>
      </c>
      <c r="AJ29" s="44" t="s">
        <v>317</v>
      </c>
      <c r="AK29" s="44" t="str">
        <f>VLOOKUP(F29,Hoja1!$A$9:$D$15,2,TRUE)</f>
        <v>Midsize</v>
      </c>
      <c r="AL29" s="44">
        <v>7</v>
      </c>
      <c r="AM29" s="44" t="s">
        <v>318</v>
      </c>
      <c r="AN29" s="40" t="s">
        <v>38</v>
      </c>
    </row>
    <row r="30" spans="1:40" s="38" customFormat="1">
      <c r="A30" s="132">
        <v>129</v>
      </c>
      <c r="B30" s="134" t="s">
        <v>62</v>
      </c>
      <c r="C30" s="134" t="s">
        <v>85</v>
      </c>
      <c r="D30" s="35" t="s">
        <v>60</v>
      </c>
      <c r="E30" s="32" t="str">
        <f>VLOOKUP(D30,Hoja1!$B$17:$C$21,2,TRUE)</f>
        <v>T</v>
      </c>
      <c r="F30" s="35" t="s">
        <v>31</v>
      </c>
      <c r="G30" s="32">
        <f>VLOOKUP(F30,Hoja1!$A$9:$D$15,3,TRUE)</f>
        <v>90</v>
      </c>
      <c r="H30" s="32">
        <f>VLOOKUP(F30,Hoja1!$A$9:$D$15,4,TRUE)</f>
        <v>4250</v>
      </c>
      <c r="I30" s="35">
        <v>2019</v>
      </c>
      <c r="J30" s="134" t="s">
        <v>32</v>
      </c>
      <c r="K30" s="133" t="str">
        <f>VLOOKUP(J30,Hoja1!$A$2:$B$3,2,FALSE)</f>
        <v>G</v>
      </c>
      <c r="L30" s="134">
        <v>1999</v>
      </c>
      <c r="M30" s="133">
        <f t="shared" si="5"/>
        <v>1.9990000000000001</v>
      </c>
      <c r="N30" s="35" t="s">
        <v>33</v>
      </c>
      <c r="O30" s="35" t="s">
        <v>34</v>
      </c>
      <c r="P30" s="134" t="s">
        <v>74</v>
      </c>
      <c r="Q30" s="133" t="str">
        <f>VLOOKUP(P30,Hoja1!$A$6:$B$7,2,FALSE)</f>
        <v>A</v>
      </c>
      <c r="R30" s="138">
        <v>2054</v>
      </c>
      <c r="S30" s="59">
        <v>210</v>
      </c>
      <c r="T30" s="111">
        <f t="shared" si="11"/>
        <v>431340</v>
      </c>
      <c r="U30" s="37">
        <f t="shared" si="6"/>
        <v>195.89400000000001</v>
      </c>
      <c r="V30" s="141">
        <f t="shared" si="7"/>
        <v>315.19344599999999</v>
      </c>
      <c r="W30" s="34">
        <f t="shared" si="0"/>
        <v>11.929206611739001</v>
      </c>
      <c r="X30" s="34">
        <f t="shared" si="8"/>
        <v>11.929206611739001</v>
      </c>
      <c r="Y30" s="143">
        <f t="shared" si="9"/>
        <v>28.033635537586655</v>
      </c>
      <c r="Z30" s="37">
        <f t="shared" si="10"/>
        <v>73.269126911707858</v>
      </c>
      <c r="AA30" s="37"/>
      <c r="AB30" s="37"/>
      <c r="AC30" s="34">
        <f t="shared" si="1"/>
        <v>9.0517241379310356</v>
      </c>
      <c r="AD30" s="34">
        <f t="shared" si="2"/>
        <v>9.0517241379310356</v>
      </c>
      <c r="AE30" s="33">
        <f t="shared" si="3"/>
        <v>18592.241379310348</v>
      </c>
      <c r="AF30" s="33">
        <f t="shared" si="4"/>
        <v>226.91809523809522</v>
      </c>
      <c r="AG30" s="121">
        <v>8.3000000000000007</v>
      </c>
      <c r="AH30" s="59">
        <v>13.8</v>
      </c>
      <c r="AI30" s="39">
        <v>11.1</v>
      </c>
      <c r="AJ30" s="59" t="s">
        <v>86</v>
      </c>
      <c r="AK30" s="44" t="str">
        <f>VLOOKUP(F30,Hoja1!$A$9:$D$15,2,TRUE)</f>
        <v>Midsize</v>
      </c>
      <c r="AL30" s="59">
        <v>7</v>
      </c>
      <c r="AM30" s="59" t="s">
        <v>37</v>
      </c>
      <c r="AN30" s="36" t="s">
        <v>38</v>
      </c>
    </row>
    <row r="31" spans="1:40" s="38" customFormat="1">
      <c r="A31" s="132">
        <v>130</v>
      </c>
      <c r="B31" s="134" t="s">
        <v>55</v>
      </c>
      <c r="C31" s="134" t="s">
        <v>319</v>
      </c>
      <c r="D31" s="35" t="s">
        <v>60</v>
      </c>
      <c r="E31" s="32" t="str">
        <f>VLOOKUP(D31,Hoja1!$B$17:$C$21,2,TRUE)</f>
        <v>T</v>
      </c>
      <c r="F31" s="35" t="s">
        <v>313</v>
      </c>
      <c r="G31" s="32">
        <f>VLOOKUP(F31,Hoja1!$A$9:$D$15,3,TRUE)</f>
        <v>90</v>
      </c>
      <c r="H31" s="32">
        <f>VLOOKUP(F31,Hoja1!$A$9:$D$15,4,TRUE)</f>
        <v>4250</v>
      </c>
      <c r="I31" s="35">
        <v>2019</v>
      </c>
      <c r="J31" s="134" t="s">
        <v>32</v>
      </c>
      <c r="K31" s="133" t="str">
        <f>VLOOKUP(J31,Hoja1!$A$2:$B$3,2,FALSE)</f>
        <v>G</v>
      </c>
      <c r="L31" s="134">
        <v>1999</v>
      </c>
      <c r="M31" s="133">
        <f t="shared" si="5"/>
        <v>1.9990000000000001</v>
      </c>
      <c r="N31" s="35" t="s">
        <v>33</v>
      </c>
      <c r="O31" s="35" t="s">
        <v>34</v>
      </c>
      <c r="P31" s="134" t="s">
        <v>35</v>
      </c>
      <c r="Q31" s="133" t="str">
        <f>VLOOKUP(P31,Hoja1!$A$6:$B$7,2,FALSE)</f>
        <v>M</v>
      </c>
      <c r="R31" s="138">
        <v>1984</v>
      </c>
      <c r="S31" s="59">
        <v>199</v>
      </c>
      <c r="T31" s="111">
        <f t="shared" si="11"/>
        <v>394816</v>
      </c>
      <c r="U31" s="37">
        <f t="shared" si="6"/>
        <v>186.37019999999998</v>
      </c>
      <c r="V31" s="141">
        <f t="shared" si="7"/>
        <v>299.86965179999999</v>
      </c>
      <c r="W31" s="34">
        <f t="shared" si="0"/>
        <v>12.538807169815778</v>
      </c>
      <c r="X31" s="34">
        <f t="shared" si="8"/>
        <v>12.538807169815778</v>
      </c>
      <c r="Y31" s="143">
        <f t="shared" si="9"/>
        <v>29.466196849067078</v>
      </c>
      <c r="Z31" s="37">
        <f t="shared" si="10"/>
        <v>67.331390276204402</v>
      </c>
      <c r="AA31" s="37"/>
      <c r="AB31" s="37"/>
      <c r="AC31" s="34">
        <f t="shared" si="1"/>
        <v>8.5775862068965516</v>
      </c>
      <c r="AD31" s="34">
        <f t="shared" si="2"/>
        <v>8.5775862068965516</v>
      </c>
      <c r="AE31" s="33">
        <f t="shared" si="3"/>
        <v>17017.931034482757</v>
      </c>
      <c r="AF31" s="33">
        <f t="shared" si="4"/>
        <v>231.30050251256282</v>
      </c>
      <c r="AG31" s="121">
        <v>8.8000000000000007</v>
      </c>
      <c r="AH31" s="59">
        <v>14.5</v>
      </c>
      <c r="AI31" s="39">
        <v>11.6</v>
      </c>
      <c r="AJ31" s="59" t="s">
        <v>71</v>
      </c>
      <c r="AK31" s="44" t="str">
        <f>VLOOKUP(F31,Hoja1!$A$9:$D$15,2,TRUE)</f>
        <v>Midsize</v>
      </c>
      <c r="AL31" s="59">
        <v>7</v>
      </c>
      <c r="AM31" s="59" t="s">
        <v>37</v>
      </c>
      <c r="AN31" s="36" t="s">
        <v>38</v>
      </c>
    </row>
    <row r="32" spans="1:40" s="38" customFormat="1">
      <c r="A32" s="132">
        <v>131</v>
      </c>
      <c r="B32" s="135" t="s">
        <v>68</v>
      </c>
      <c r="C32" s="135" t="s">
        <v>172</v>
      </c>
      <c r="D32" s="116" t="s">
        <v>60</v>
      </c>
      <c r="E32" s="32" t="str">
        <f>VLOOKUP(D32,Hoja1!$B$17:$C$21,2,TRUE)</f>
        <v>T</v>
      </c>
      <c r="F32" s="116" t="s">
        <v>40</v>
      </c>
      <c r="G32" s="32">
        <f>VLOOKUP(F32,Hoja1!$A$9:$D$15,3,TRUE)</f>
        <v>80</v>
      </c>
      <c r="H32" s="32">
        <f>VLOOKUP(F32,Hoja1!$A$9:$D$15,4,TRUE)</f>
        <v>3500</v>
      </c>
      <c r="I32" s="116">
        <v>2019</v>
      </c>
      <c r="J32" s="135" t="s">
        <v>32</v>
      </c>
      <c r="K32" s="133" t="str">
        <f>VLOOKUP(J32,Hoja1!$A$2:$B$3,2,FALSE)</f>
        <v>G</v>
      </c>
      <c r="L32" s="135">
        <v>1598</v>
      </c>
      <c r="M32" s="133">
        <f t="shared" si="5"/>
        <v>1.5980000000000001</v>
      </c>
      <c r="N32" s="116" t="s">
        <v>33</v>
      </c>
      <c r="O32" s="35" t="s">
        <v>34</v>
      </c>
      <c r="P32" s="135" t="s">
        <v>74</v>
      </c>
      <c r="Q32" s="133" t="str">
        <f>VLOOKUP(P32,Hoja1!$A$6:$B$7,2,FALSE)</f>
        <v>A</v>
      </c>
      <c r="R32" s="139">
        <v>1968</v>
      </c>
      <c r="S32" s="59">
        <v>156</v>
      </c>
      <c r="T32" s="111">
        <f t="shared" si="11"/>
        <v>307008</v>
      </c>
      <c r="U32" s="37">
        <f t="shared" si="6"/>
        <v>149.14079999999998</v>
      </c>
      <c r="V32" s="141">
        <f t="shared" si="7"/>
        <v>239.96754719999998</v>
      </c>
      <c r="W32" s="34">
        <f t="shared" si="0"/>
        <v>15.668817654189869</v>
      </c>
      <c r="X32" s="34">
        <f t="shared" si="8"/>
        <v>15.668817654189869</v>
      </c>
      <c r="Y32" s="143">
        <f t="shared" si="9"/>
        <v>36.821721487346196</v>
      </c>
      <c r="Z32" s="37">
        <f t="shared" si="10"/>
        <v>53.446713529575312</v>
      </c>
      <c r="AA32" s="37"/>
      <c r="AB32" s="37"/>
      <c r="AC32" s="34">
        <f t="shared" si="1"/>
        <v>6.7241379310344831</v>
      </c>
      <c r="AD32" s="34">
        <f t="shared" si="2"/>
        <v>6.7241379310344831</v>
      </c>
      <c r="AE32" s="33">
        <f t="shared" si="3"/>
        <v>13233.103448275862</v>
      </c>
      <c r="AF32" s="33">
        <f t="shared" si="4"/>
        <v>292.67692307692306</v>
      </c>
      <c r="AG32" s="121">
        <v>11.9</v>
      </c>
      <c r="AH32" s="59">
        <v>18.100000000000001</v>
      </c>
      <c r="AI32" s="39">
        <v>15.2</v>
      </c>
      <c r="AJ32" s="59" t="s">
        <v>242</v>
      </c>
      <c r="AK32" s="44" t="str">
        <f>VLOOKUP(F32,Hoja1!$A$9:$D$15,2,TRUE)</f>
        <v>Compact</v>
      </c>
      <c r="AL32" s="59">
        <v>2</v>
      </c>
      <c r="AM32" s="59" t="s">
        <v>37</v>
      </c>
      <c r="AN32" s="36" t="s">
        <v>38</v>
      </c>
    </row>
    <row r="33" spans="1:40" s="38" customFormat="1">
      <c r="A33" s="132">
        <v>132</v>
      </c>
      <c r="B33" s="134" t="s">
        <v>50</v>
      </c>
      <c r="C33" s="134" t="s">
        <v>51</v>
      </c>
      <c r="D33" s="35" t="s">
        <v>30</v>
      </c>
      <c r="E33" s="32" t="str">
        <f>VLOOKUP(D33,Hoja1!$B$17:$C$21,2,TRUE)</f>
        <v>C</v>
      </c>
      <c r="F33" s="35" t="s">
        <v>313</v>
      </c>
      <c r="G33" s="32">
        <f>VLOOKUP(F33,Hoja1!$A$9:$D$15,3,TRUE)</f>
        <v>90</v>
      </c>
      <c r="H33" s="32">
        <f>VLOOKUP(F33,Hoja1!$A$9:$D$15,4,TRUE)</f>
        <v>4250</v>
      </c>
      <c r="I33" s="35">
        <v>2019</v>
      </c>
      <c r="J33" s="134" t="s">
        <v>32</v>
      </c>
      <c r="K33" s="133" t="str">
        <f>VLOOKUP(J33,Hoja1!$A$2:$B$3,2,FALSE)</f>
        <v>G</v>
      </c>
      <c r="L33" s="134">
        <v>1998</v>
      </c>
      <c r="M33" s="133">
        <f t="shared" si="5"/>
        <v>1.998</v>
      </c>
      <c r="N33" s="35" t="s">
        <v>33</v>
      </c>
      <c r="O33" s="35" t="s">
        <v>34</v>
      </c>
      <c r="P33" s="134" t="s">
        <v>74</v>
      </c>
      <c r="Q33" s="133" t="str">
        <f>VLOOKUP(P33,Hoja1!$A$6:$B$7,2,FALSE)</f>
        <v>A</v>
      </c>
      <c r="R33" s="138">
        <v>1782</v>
      </c>
      <c r="S33" s="59">
        <v>155</v>
      </c>
      <c r="T33" s="111">
        <f t="shared" si="11"/>
        <v>276210</v>
      </c>
      <c r="U33" s="37">
        <f t="shared" si="6"/>
        <v>148.27500000000001</v>
      </c>
      <c r="V33" s="141">
        <f t="shared" si="7"/>
        <v>238.57447500000001</v>
      </c>
      <c r="W33" s="34">
        <f t="shared" si="0"/>
        <v>15.760310234361828</v>
      </c>
      <c r="X33" s="34">
        <f t="shared" si="8"/>
        <v>15.760310234361828</v>
      </c>
      <c r="Y33" s="143">
        <f t="shared" si="9"/>
        <v>37.036729050750296</v>
      </c>
      <c r="Z33" s="37">
        <f t="shared" si="10"/>
        <v>48.114400101536503</v>
      </c>
      <c r="AA33" s="37"/>
      <c r="AB33" s="37"/>
      <c r="AC33" s="34">
        <f t="shared" si="1"/>
        <v>6.681034482758621</v>
      </c>
      <c r="AD33" s="34">
        <f t="shared" si="2"/>
        <v>6.681034482758621</v>
      </c>
      <c r="AE33" s="33">
        <f t="shared" si="3"/>
        <v>11905.603448275862</v>
      </c>
      <c r="AF33" s="33">
        <f t="shared" si="4"/>
        <v>266.72516129032255</v>
      </c>
      <c r="AG33" s="121">
        <v>11.6</v>
      </c>
      <c r="AH33" s="59">
        <v>19.2</v>
      </c>
      <c r="AI33" s="39">
        <v>15.4</v>
      </c>
      <c r="AJ33" s="59" t="s">
        <v>229</v>
      </c>
      <c r="AK33" s="44" t="str">
        <f>VLOOKUP(F33,Hoja1!$A$9:$D$15,2,TRUE)</f>
        <v>Midsize</v>
      </c>
      <c r="AL33" s="59">
        <v>7</v>
      </c>
      <c r="AM33" s="59" t="s">
        <v>37</v>
      </c>
      <c r="AN33" s="36" t="s">
        <v>38</v>
      </c>
    </row>
    <row r="34" spans="1:40" s="38" customFormat="1">
      <c r="A34" s="132">
        <v>133</v>
      </c>
      <c r="B34" s="135" t="s">
        <v>68</v>
      </c>
      <c r="C34" s="135" t="s">
        <v>172</v>
      </c>
      <c r="D34" s="116" t="s">
        <v>60</v>
      </c>
      <c r="E34" s="32" t="str">
        <f>VLOOKUP(D34,Hoja1!$B$17:$C$21,2,TRUE)</f>
        <v>T</v>
      </c>
      <c r="F34" s="116" t="s">
        <v>40</v>
      </c>
      <c r="G34" s="32">
        <f>VLOOKUP(F34,Hoja1!$A$9:$D$15,3,TRUE)</f>
        <v>80</v>
      </c>
      <c r="H34" s="32">
        <f>VLOOKUP(F34,Hoja1!$A$9:$D$15,4,TRUE)</f>
        <v>3500</v>
      </c>
      <c r="I34" s="116">
        <v>2019</v>
      </c>
      <c r="J34" s="135" t="s">
        <v>32</v>
      </c>
      <c r="K34" s="133" t="str">
        <f>VLOOKUP(J34,Hoja1!$A$2:$B$3,2,FALSE)</f>
        <v>G</v>
      </c>
      <c r="L34" s="135">
        <v>1598</v>
      </c>
      <c r="M34" s="133">
        <f t="shared" si="5"/>
        <v>1.5980000000000001</v>
      </c>
      <c r="N34" s="116" t="s">
        <v>33</v>
      </c>
      <c r="O34" s="35" t="s">
        <v>34</v>
      </c>
      <c r="P34" s="135" t="s">
        <v>35</v>
      </c>
      <c r="Q34" s="133" t="str">
        <f>VLOOKUP(P34,Hoja1!$A$6:$B$7,2,FALSE)</f>
        <v>M</v>
      </c>
      <c r="R34" s="139">
        <v>1772</v>
      </c>
      <c r="S34" s="59">
        <v>156</v>
      </c>
      <c r="T34" s="111">
        <f t="shared" si="11"/>
        <v>276432</v>
      </c>
      <c r="U34" s="37">
        <f t="shared" si="6"/>
        <v>149.14079999999998</v>
      </c>
      <c r="V34" s="141">
        <f t="shared" si="7"/>
        <v>239.96754719999998</v>
      </c>
      <c r="W34" s="34">
        <f t="shared" si="0"/>
        <v>15.668817654189869</v>
      </c>
      <c r="X34" s="34">
        <f t="shared" si="8"/>
        <v>15.668817654189869</v>
      </c>
      <c r="Y34" s="143">
        <f t="shared" si="9"/>
        <v>36.821721487346196</v>
      </c>
      <c r="Z34" s="37">
        <f t="shared" si="10"/>
        <v>48.123768482930622</v>
      </c>
      <c r="AA34" s="37"/>
      <c r="AB34" s="37"/>
      <c r="AC34" s="34">
        <f t="shared" si="1"/>
        <v>6.7241379310344831</v>
      </c>
      <c r="AD34" s="34">
        <f t="shared" si="2"/>
        <v>6.7241379310344831</v>
      </c>
      <c r="AE34" s="33">
        <f t="shared" si="3"/>
        <v>11915.172413793103</v>
      </c>
      <c r="AF34" s="33">
        <f t="shared" si="4"/>
        <v>263.52820512820512</v>
      </c>
      <c r="AG34" s="121">
        <v>11.9</v>
      </c>
      <c r="AH34" s="59">
        <v>18.100000000000001</v>
      </c>
      <c r="AI34" s="95">
        <v>15.2</v>
      </c>
      <c r="AJ34" s="59" t="s">
        <v>242</v>
      </c>
      <c r="AK34" s="44" t="str">
        <f>VLOOKUP(F34,Hoja1!$A$9:$D$15,2,TRUE)</f>
        <v>Compact</v>
      </c>
      <c r="AL34" s="59">
        <v>2</v>
      </c>
      <c r="AM34" s="59" t="s">
        <v>37</v>
      </c>
      <c r="AN34" s="36" t="s">
        <v>38</v>
      </c>
    </row>
    <row r="35" spans="1:40" s="38" customFormat="1">
      <c r="A35" s="132">
        <v>134</v>
      </c>
      <c r="B35" s="134" t="s">
        <v>28</v>
      </c>
      <c r="C35" s="134" t="s">
        <v>272</v>
      </c>
      <c r="D35" s="35" t="s">
        <v>88</v>
      </c>
      <c r="E35" s="32" t="str">
        <f>VLOOKUP(D35,Hoja1!$B$17:$C$21,2,TRUE)</f>
        <v>T</v>
      </c>
      <c r="F35" s="35" t="s">
        <v>175</v>
      </c>
      <c r="G35" s="32">
        <f>VLOOKUP(F35,Hoja1!$A$9:$D$15,3,TRUE)</f>
        <v>110</v>
      </c>
      <c r="H35" s="32">
        <f>VLOOKUP(F35,Hoja1!$A$9:$D$15,4,TRUE)</f>
        <v>5751</v>
      </c>
      <c r="I35" s="35">
        <v>2019</v>
      </c>
      <c r="J35" s="134" t="s">
        <v>103</v>
      </c>
      <c r="K35" s="133" t="str">
        <f>VLOOKUP(J35,Hoja1!$A$2:$B$3,2,FALSE)</f>
        <v>D</v>
      </c>
      <c r="L35" s="134">
        <v>2500</v>
      </c>
      <c r="M35" s="133">
        <f t="shared" si="5"/>
        <v>2.5</v>
      </c>
      <c r="N35" s="35" t="s">
        <v>33</v>
      </c>
      <c r="O35" s="35" t="s">
        <v>34</v>
      </c>
      <c r="P35" s="134" t="s">
        <v>35</v>
      </c>
      <c r="Q35" s="133" t="str">
        <f>VLOOKUP(P35,Hoja1!$A$6:$B$7,2,FALSE)</f>
        <v>M</v>
      </c>
      <c r="R35" s="138">
        <v>1751</v>
      </c>
      <c r="S35" s="35">
        <v>193</v>
      </c>
      <c r="T35" s="111">
        <f t="shared" si="11"/>
        <v>337943</v>
      </c>
      <c r="U35" s="37">
        <f t="shared" si="6"/>
        <v>172.2099</v>
      </c>
      <c r="V35" s="141">
        <f t="shared" si="7"/>
        <v>277.08572909999998</v>
      </c>
      <c r="W35" s="34">
        <f t="shared" si="0"/>
        <v>15.587954002644448</v>
      </c>
      <c r="X35" s="34">
        <f t="shared" si="8"/>
        <v>14.433290743189303</v>
      </c>
      <c r="Y35" s="143">
        <f t="shared" si="9"/>
        <v>33.918233246494864</v>
      </c>
      <c r="Z35" s="37">
        <f t="shared" si="10"/>
        <v>51.624151154186357</v>
      </c>
      <c r="AA35" s="37"/>
      <c r="AB35" s="37"/>
      <c r="AC35" s="34">
        <f t="shared" si="1"/>
        <v>7.2057945041816005</v>
      </c>
      <c r="AD35" s="34">
        <f t="shared" si="2"/>
        <v>7.782258064516129</v>
      </c>
      <c r="AE35" s="33">
        <f t="shared" si="3"/>
        <v>13626.733870967742</v>
      </c>
      <c r="AF35" s="33">
        <f t="shared" si="4"/>
        <v>224.99896373056995</v>
      </c>
      <c r="AG35" s="122">
        <v>11.5</v>
      </c>
      <c r="AH35" s="35">
        <v>15.7</v>
      </c>
      <c r="AI35" s="43">
        <v>13.8</v>
      </c>
      <c r="AJ35" s="44" t="s">
        <v>273</v>
      </c>
      <c r="AK35" s="44" t="str">
        <f>VLOOKUP(F35,Hoja1!$A$9:$D$15,2,TRUE)</f>
        <v>Executive</v>
      </c>
      <c r="AL35" s="44">
        <v>17</v>
      </c>
      <c r="AM35" s="44" t="s">
        <v>37</v>
      </c>
      <c r="AN35" s="40" t="s">
        <v>38</v>
      </c>
    </row>
    <row r="36" spans="1:40" s="38" customFormat="1">
      <c r="A36" s="132">
        <v>135</v>
      </c>
      <c r="B36" s="134" t="s">
        <v>274</v>
      </c>
      <c r="C36" s="134" t="s">
        <v>275</v>
      </c>
      <c r="D36" s="35" t="s">
        <v>30</v>
      </c>
      <c r="E36" s="32" t="str">
        <f>VLOOKUP(D36,Hoja1!$B$17:$C$21,2,TRUE)</f>
        <v>C</v>
      </c>
      <c r="F36" s="35" t="s">
        <v>40</v>
      </c>
      <c r="G36" s="32">
        <f>VLOOKUP(F36,Hoja1!$A$9:$D$15,3,TRUE)</f>
        <v>80</v>
      </c>
      <c r="H36" s="32">
        <f>VLOOKUP(F36,Hoja1!$A$9:$D$15,4,TRUE)</f>
        <v>3500</v>
      </c>
      <c r="I36" s="35">
        <v>2019</v>
      </c>
      <c r="J36" s="134" t="s">
        <v>32</v>
      </c>
      <c r="K36" s="133" t="str">
        <f>VLOOKUP(J36,Hoja1!$A$2:$B$3,2,FALSE)</f>
        <v>G</v>
      </c>
      <c r="L36" s="134">
        <v>1368</v>
      </c>
      <c r="M36" s="133">
        <f t="shared" si="5"/>
        <v>1.3680000000000001</v>
      </c>
      <c r="N36" s="35" t="s">
        <v>33</v>
      </c>
      <c r="O36" s="35" t="s">
        <v>34</v>
      </c>
      <c r="P36" s="134" t="s">
        <v>35</v>
      </c>
      <c r="Q36" s="133" t="str">
        <f>VLOOKUP(P36,Hoja1!$A$6:$B$7,2,FALSE)</f>
        <v>M</v>
      </c>
      <c r="R36" s="138">
        <v>1658</v>
      </c>
      <c r="S36" s="35">
        <v>163</v>
      </c>
      <c r="T36" s="111">
        <f t="shared" si="11"/>
        <v>270254</v>
      </c>
      <c r="U36" s="37">
        <f t="shared" si="6"/>
        <v>155.20140000000001</v>
      </c>
      <c r="V36" s="141">
        <f t="shared" si="7"/>
        <v>249.7190526</v>
      </c>
      <c r="W36" s="34">
        <f t="shared" si="0"/>
        <v>15.056951805847113</v>
      </c>
      <c r="X36" s="34">
        <f t="shared" si="8"/>
        <v>15.056951805847113</v>
      </c>
      <c r="Y36" s="143">
        <f t="shared" si="9"/>
        <v>35.383836743740716</v>
      </c>
      <c r="Z36" s="37">
        <f t="shared" si="10"/>
        <v>46.857552842776293</v>
      </c>
      <c r="AA36" s="37"/>
      <c r="AB36" s="37"/>
      <c r="AC36" s="34">
        <f t="shared" si="1"/>
        <v>7.0258620689655178</v>
      </c>
      <c r="AD36" s="34">
        <f t="shared" si="2"/>
        <v>7.0258620689655178</v>
      </c>
      <c r="AE36" s="33">
        <f t="shared" si="3"/>
        <v>11648.879310344828</v>
      </c>
      <c r="AF36" s="33">
        <f t="shared" si="4"/>
        <v>235.98527607361962</v>
      </c>
      <c r="AG36" s="122">
        <v>11.1</v>
      </c>
      <c r="AH36" s="35">
        <v>17.899999999999999</v>
      </c>
      <c r="AI36" s="43">
        <v>14.5</v>
      </c>
      <c r="AJ36" s="44" t="s">
        <v>276</v>
      </c>
      <c r="AK36" s="44" t="str">
        <f>VLOOKUP(F36,Hoja1!$A$9:$D$15,2,TRUE)</f>
        <v>Compact</v>
      </c>
      <c r="AL36" s="44">
        <v>2</v>
      </c>
      <c r="AM36" s="44" t="s">
        <v>37</v>
      </c>
      <c r="AN36" s="40" t="s">
        <v>277</v>
      </c>
    </row>
    <row r="37" spans="1:40" s="38" customFormat="1">
      <c r="A37" s="132">
        <v>136</v>
      </c>
      <c r="B37" s="135" t="s">
        <v>55</v>
      </c>
      <c r="C37" s="135" t="s">
        <v>78</v>
      </c>
      <c r="D37" s="116" t="s">
        <v>30</v>
      </c>
      <c r="E37" s="32" t="str">
        <f>VLOOKUP(D37,Hoja1!$B$17:$C$21,2,TRUE)</f>
        <v>C</v>
      </c>
      <c r="F37" s="116" t="s">
        <v>313</v>
      </c>
      <c r="G37" s="32">
        <f>VLOOKUP(F37,Hoja1!$A$9:$D$15,3,TRUE)</f>
        <v>90</v>
      </c>
      <c r="H37" s="32">
        <f>VLOOKUP(F37,Hoja1!$A$9:$D$15,4,TRUE)</f>
        <v>4250</v>
      </c>
      <c r="I37" s="116">
        <v>2019</v>
      </c>
      <c r="J37" s="135" t="s">
        <v>32</v>
      </c>
      <c r="K37" s="133" t="str">
        <f>VLOOKUP(J37,Hoja1!$A$2:$B$3,2,FALSE)</f>
        <v>G</v>
      </c>
      <c r="L37" s="135">
        <v>1368</v>
      </c>
      <c r="M37" s="133">
        <f t="shared" si="5"/>
        <v>1.3680000000000001</v>
      </c>
      <c r="N37" s="116" t="s">
        <v>33</v>
      </c>
      <c r="O37" s="35" t="s">
        <v>34</v>
      </c>
      <c r="P37" s="135" t="s">
        <v>35</v>
      </c>
      <c r="Q37" s="133" t="str">
        <f>VLOOKUP(P37,Hoja1!$A$6:$B$7,2,FALSE)</f>
        <v>M</v>
      </c>
      <c r="R37" s="139">
        <v>1605</v>
      </c>
      <c r="S37" s="59">
        <v>148</v>
      </c>
      <c r="T37" s="111">
        <f t="shared" si="11"/>
        <v>237540</v>
      </c>
      <c r="U37" s="37">
        <f t="shared" si="6"/>
        <v>142.21439999999998</v>
      </c>
      <c r="V37" s="141">
        <f t="shared" si="7"/>
        <v>228.82296959999996</v>
      </c>
      <c r="W37" s="34">
        <f t="shared" si="0"/>
        <v>16.431950632284778</v>
      </c>
      <c r="X37" s="34">
        <f t="shared" si="8"/>
        <v>16.431950632284778</v>
      </c>
      <c r="Y37" s="143">
        <f t="shared" si="9"/>
        <v>38.615083985869227</v>
      </c>
      <c r="Z37" s="37">
        <f t="shared" si="10"/>
        <v>41.564068605608433</v>
      </c>
      <c r="AA37" s="37"/>
      <c r="AB37" s="37"/>
      <c r="AC37" s="34">
        <f t="shared" si="1"/>
        <v>6.3793103448275863</v>
      </c>
      <c r="AD37" s="34">
        <f t="shared" si="2"/>
        <v>6.3793103448275863</v>
      </c>
      <c r="AE37" s="33">
        <f t="shared" si="3"/>
        <v>10238.793103448275</v>
      </c>
      <c r="AF37" s="33">
        <f t="shared" si="4"/>
        <v>251.59459459459458</v>
      </c>
      <c r="AG37" s="124">
        <v>11.9</v>
      </c>
      <c r="AH37" s="41">
        <v>20.399999999999999</v>
      </c>
      <c r="AI37" s="42">
        <v>16.100000000000001</v>
      </c>
      <c r="AJ37" s="59" t="s">
        <v>230</v>
      </c>
      <c r="AK37" s="44" t="str">
        <f>VLOOKUP(F37,Hoja1!$A$9:$D$15,2,TRUE)</f>
        <v>Midsize</v>
      </c>
      <c r="AL37" s="59">
        <v>3</v>
      </c>
      <c r="AM37" s="44" t="s">
        <v>37</v>
      </c>
      <c r="AN37" s="36" t="s">
        <v>38</v>
      </c>
    </row>
    <row r="38" spans="1:40" s="38" customFormat="1">
      <c r="A38" s="132">
        <v>137</v>
      </c>
      <c r="B38" s="134" t="s">
        <v>28</v>
      </c>
      <c r="C38" s="134" t="s">
        <v>59</v>
      </c>
      <c r="D38" s="35" t="s">
        <v>60</v>
      </c>
      <c r="E38" s="32" t="str">
        <f>VLOOKUP(D38,Hoja1!$B$17:$C$21,2,TRUE)</f>
        <v>T</v>
      </c>
      <c r="F38" s="35" t="s">
        <v>313</v>
      </c>
      <c r="G38" s="32">
        <f>VLOOKUP(F38,Hoja1!$A$9:$D$15,3,TRUE)</f>
        <v>90</v>
      </c>
      <c r="H38" s="32">
        <f>VLOOKUP(F38,Hoja1!$A$9:$D$15,4,TRUE)</f>
        <v>4250</v>
      </c>
      <c r="I38" s="35">
        <v>2019</v>
      </c>
      <c r="J38" s="134" t="s">
        <v>32</v>
      </c>
      <c r="K38" s="133" t="str">
        <f>VLOOKUP(J38,Hoja1!$A$2:$B$3,2,FALSE)</f>
        <v>G</v>
      </c>
      <c r="L38" s="134">
        <v>1796</v>
      </c>
      <c r="M38" s="133">
        <f t="shared" si="5"/>
        <v>1.796</v>
      </c>
      <c r="N38" s="35" t="s">
        <v>33</v>
      </c>
      <c r="O38" s="35" t="s">
        <v>34</v>
      </c>
      <c r="P38" s="134" t="s">
        <v>74</v>
      </c>
      <c r="Q38" s="133" t="str">
        <f>VLOOKUP(P38,Hoja1!$A$6:$B$7,2,FALSE)</f>
        <v>A</v>
      </c>
      <c r="R38" s="138">
        <v>1565</v>
      </c>
      <c r="S38" s="59">
        <v>201</v>
      </c>
      <c r="T38" s="111">
        <f t="shared" si="11"/>
        <v>314565</v>
      </c>
      <c r="U38" s="37">
        <f t="shared" si="6"/>
        <v>188.1018</v>
      </c>
      <c r="V38" s="141">
        <f t="shared" si="7"/>
        <v>302.6557962</v>
      </c>
      <c r="W38" s="34">
        <f t="shared" si="0"/>
        <v>12.423379255275602</v>
      </c>
      <c r="X38" s="34">
        <f t="shared" si="8"/>
        <v>12.423379255275602</v>
      </c>
      <c r="Y38" s="143">
        <f t="shared" si="9"/>
        <v>29.194941249897667</v>
      </c>
      <c r="Z38" s="37">
        <f t="shared" si="10"/>
        <v>53.605177232733276</v>
      </c>
      <c r="AA38" s="37"/>
      <c r="AB38" s="37"/>
      <c r="AC38" s="34">
        <f t="shared" si="1"/>
        <v>8.6637931034482758</v>
      </c>
      <c r="AD38" s="34">
        <f t="shared" si="2"/>
        <v>8.6637931034482758</v>
      </c>
      <c r="AE38" s="33">
        <f t="shared" si="3"/>
        <v>13558.836206896551</v>
      </c>
      <c r="AF38" s="33">
        <f t="shared" si="4"/>
        <v>180.63681592039802</v>
      </c>
      <c r="AG38" s="121">
        <v>8.8000000000000007</v>
      </c>
      <c r="AH38" s="59">
        <v>14.8</v>
      </c>
      <c r="AI38" s="39">
        <v>11.9</v>
      </c>
      <c r="AJ38" s="59" t="s">
        <v>171</v>
      </c>
      <c r="AK38" s="44" t="str">
        <f>VLOOKUP(F38,Hoja1!$A$9:$D$15,2,TRUE)</f>
        <v>Midsize</v>
      </c>
      <c r="AL38" s="59">
        <v>3</v>
      </c>
      <c r="AM38" s="59" t="s">
        <v>37</v>
      </c>
      <c r="AN38" s="36" t="s">
        <v>38</v>
      </c>
    </row>
    <row r="39" spans="1:40" s="38" customFormat="1">
      <c r="A39" s="132">
        <v>138</v>
      </c>
      <c r="B39" s="134" t="s">
        <v>90</v>
      </c>
      <c r="C39" s="134" t="s">
        <v>320</v>
      </c>
      <c r="D39" s="35" t="s">
        <v>30</v>
      </c>
      <c r="E39" s="32" t="str">
        <f>VLOOKUP(D39,Hoja1!$B$17:$C$21,2,TRUE)</f>
        <v>C</v>
      </c>
      <c r="F39" s="35" t="s">
        <v>31</v>
      </c>
      <c r="G39" s="32">
        <f>VLOOKUP(F39,Hoja1!$A$9:$D$15,3,TRUE)</f>
        <v>90</v>
      </c>
      <c r="H39" s="32">
        <f>VLOOKUP(F39,Hoja1!$A$9:$D$15,4,TRUE)</f>
        <v>4250</v>
      </c>
      <c r="I39" s="35">
        <v>2019</v>
      </c>
      <c r="J39" s="134" t="s">
        <v>32</v>
      </c>
      <c r="K39" s="133" t="str">
        <f>VLOOKUP(J39,Hoja1!$A$2:$B$3,2,FALSE)</f>
        <v>G</v>
      </c>
      <c r="L39" s="134">
        <v>1598</v>
      </c>
      <c r="M39" s="133">
        <f t="shared" si="5"/>
        <v>1.5980000000000001</v>
      </c>
      <c r="N39" s="35" t="s">
        <v>33</v>
      </c>
      <c r="O39" s="35" t="s">
        <v>34</v>
      </c>
      <c r="P39" s="134" t="s">
        <v>35</v>
      </c>
      <c r="Q39" s="133" t="str">
        <f>VLOOKUP(P39,Hoja1!$A$6:$B$7,2,FALSE)</f>
        <v>M</v>
      </c>
      <c r="R39" s="138">
        <v>1498</v>
      </c>
      <c r="S39" s="35">
        <v>164</v>
      </c>
      <c r="T39" s="111">
        <f t="shared" si="11"/>
        <v>245672</v>
      </c>
      <c r="U39" s="37">
        <f t="shared" si="6"/>
        <v>156.06719999999999</v>
      </c>
      <c r="V39" s="141">
        <f t="shared" si="7"/>
        <v>251.11212479999998</v>
      </c>
      <c r="W39" s="34">
        <f t="shared" si="0"/>
        <v>14.973421705521726</v>
      </c>
      <c r="X39" s="34">
        <f t="shared" si="8"/>
        <v>14.973421705521726</v>
      </c>
      <c r="Y39" s="143">
        <f t="shared" si="9"/>
        <v>35.187541007976058</v>
      </c>
      <c r="Z39" s="37">
        <f t="shared" si="10"/>
        <v>42.571886443001063</v>
      </c>
      <c r="AA39" s="37"/>
      <c r="AB39" s="37"/>
      <c r="AC39" s="34">
        <f t="shared" si="1"/>
        <v>7.0689655172413799</v>
      </c>
      <c r="AD39" s="34">
        <f t="shared" si="2"/>
        <v>7.0689655172413799</v>
      </c>
      <c r="AE39" s="33">
        <f t="shared" si="3"/>
        <v>10589.310344827587</v>
      </c>
      <c r="AF39" s="33">
        <f t="shared" si="4"/>
        <v>211.91219512195121</v>
      </c>
      <c r="AG39" s="122">
        <v>10.8</v>
      </c>
      <c r="AH39" s="35">
        <v>18</v>
      </c>
      <c r="AI39" s="43">
        <v>14.4</v>
      </c>
      <c r="AJ39" s="44" t="s">
        <v>321</v>
      </c>
      <c r="AK39" s="44" t="str">
        <f>VLOOKUP(F39,Hoja1!$A$9:$D$15,2,TRUE)</f>
        <v>Midsize</v>
      </c>
      <c r="AL39" s="44">
        <v>3</v>
      </c>
      <c r="AM39" s="112" t="s">
        <v>318</v>
      </c>
      <c r="AN39" s="40" t="s">
        <v>38</v>
      </c>
    </row>
    <row r="40" spans="1:40" s="38" customFormat="1">
      <c r="A40" s="132">
        <v>139</v>
      </c>
      <c r="B40" s="134" t="s">
        <v>102</v>
      </c>
      <c r="C40" s="134" t="s">
        <v>137</v>
      </c>
      <c r="D40" s="35" t="s">
        <v>60</v>
      </c>
      <c r="E40" s="32" t="str">
        <f>VLOOKUP(D40,Hoja1!$B$17:$C$21,2,TRUE)</f>
        <v>T</v>
      </c>
      <c r="F40" s="35" t="s">
        <v>175</v>
      </c>
      <c r="G40" s="32">
        <f>VLOOKUP(F40,Hoja1!$A$9:$D$15,3,TRUE)</f>
        <v>110</v>
      </c>
      <c r="H40" s="32">
        <f>VLOOKUP(F40,Hoja1!$A$9:$D$15,4,TRUE)</f>
        <v>5751</v>
      </c>
      <c r="I40" s="35">
        <v>2019</v>
      </c>
      <c r="J40" s="134" t="s">
        <v>32</v>
      </c>
      <c r="K40" s="133" t="str">
        <f>VLOOKUP(J40,Hoja1!$A$2:$B$3,2,FALSE)</f>
        <v>G</v>
      </c>
      <c r="L40" s="134">
        <v>2694</v>
      </c>
      <c r="M40" s="133">
        <f t="shared" si="5"/>
        <v>2.694</v>
      </c>
      <c r="N40" s="35" t="s">
        <v>33</v>
      </c>
      <c r="O40" s="35" t="s">
        <v>34</v>
      </c>
      <c r="P40" s="134" t="s">
        <v>74</v>
      </c>
      <c r="Q40" s="133" t="str">
        <f>VLOOKUP(P40,Hoja1!$A$6:$B$7,2,FALSE)</f>
        <v>A</v>
      </c>
      <c r="R40" s="138">
        <v>1495</v>
      </c>
      <c r="S40" s="59">
        <v>254</v>
      </c>
      <c r="T40" s="111">
        <f t="shared" si="11"/>
        <v>379730</v>
      </c>
      <c r="U40" s="37">
        <f t="shared" si="6"/>
        <v>233.98920000000001</v>
      </c>
      <c r="V40" s="141">
        <f t="shared" si="7"/>
        <v>376.48862280000003</v>
      </c>
      <c r="W40" s="34">
        <f t="shared" si="0"/>
        <v>9.9870421369875189</v>
      </c>
      <c r="X40" s="34">
        <f t="shared" si="8"/>
        <v>9.9870421369875189</v>
      </c>
      <c r="Y40" s="143">
        <f t="shared" si="9"/>
        <v>23.46954902192067</v>
      </c>
      <c r="Z40" s="37">
        <f t="shared" si="10"/>
        <v>63.699562296815458</v>
      </c>
      <c r="AA40" s="37"/>
      <c r="AB40" s="37"/>
      <c r="AC40" s="34">
        <f t="shared" si="1"/>
        <v>10.948275862068966</v>
      </c>
      <c r="AD40" s="34">
        <f t="shared" si="2"/>
        <v>10.948275862068966</v>
      </c>
      <c r="AE40" s="33">
        <f t="shared" si="3"/>
        <v>16367.672413793105</v>
      </c>
      <c r="AF40" s="33">
        <f t="shared" si="4"/>
        <v>136.55118110236219</v>
      </c>
      <c r="AG40" s="121">
        <v>7.5</v>
      </c>
      <c r="AH40" s="59">
        <v>10.9</v>
      </c>
      <c r="AI40" s="39">
        <v>9.4</v>
      </c>
      <c r="AJ40" s="59" t="s">
        <v>237</v>
      </c>
      <c r="AK40" s="44" t="str">
        <f>VLOOKUP(F40,Hoja1!$A$9:$D$15,2,TRUE)</f>
        <v>Executive</v>
      </c>
      <c r="AL40" s="59">
        <v>11</v>
      </c>
      <c r="AM40" s="59" t="s">
        <v>37</v>
      </c>
      <c r="AN40" s="36" t="s">
        <v>38</v>
      </c>
    </row>
    <row r="41" spans="1:40" s="38" customFormat="1">
      <c r="A41" s="132">
        <v>140</v>
      </c>
      <c r="B41" s="134" t="s">
        <v>50</v>
      </c>
      <c r="C41" s="134" t="s">
        <v>98</v>
      </c>
      <c r="D41" s="35" t="s">
        <v>60</v>
      </c>
      <c r="E41" s="32" t="str">
        <f>VLOOKUP(D41,Hoja1!$B$17:$C$21,2,TRUE)</f>
        <v>T</v>
      </c>
      <c r="F41" s="35" t="s">
        <v>31</v>
      </c>
      <c r="G41" s="32">
        <f>VLOOKUP(F41,Hoja1!$A$9:$D$15,3,TRUE)</f>
        <v>90</v>
      </c>
      <c r="H41" s="32">
        <f>VLOOKUP(F41,Hoja1!$A$9:$D$15,4,TRUE)</f>
        <v>4250</v>
      </c>
      <c r="I41" s="35">
        <v>2019</v>
      </c>
      <c r="J41" s="134" t="s">
        <v>32</v>
      </c>
      <c r="K41" s="133" t="str">
        <f>VLOOKUP(J41,Hoja1!$A$2:$B$3,2,FALSE)</f>
        <v>G</v>
      </c>
      <c r="L41" s="134">
        <v>2488</v>
      </c>
      <c r="M41" s="133">
        <f t="shared" si="5"/>
        <v>2.488</v>
      </c>
      <c r="N41" s="35" t="s">
        <v>33</v>
      </c>
      <c r="O41" s="35" t="s">
        <v>34</v>
      </c>
      <c r="P41" s="134" t="s">
        <v>35</v>
      </c>
      <c r="Q41" s="133" t="str">
        <f>VLOOKUP(P41,Hoja1!$A$6:$B$7,2,FALSE)</f>
        <v>M</v>
      </c>
      <c r="R41" s="138">
        <v>1471</v>
      </c>
      <c r="S41" s="59">
        <v>173</v>
      </c>
      <c r="T41" s="111">
        <f t="shared" si="11"/>
        <v>254483</v>
      </c>
      <c r="U41" s="37">
        <f t="shared" si="6"/>
        <v>163.85939999999999</v>
      </c>
      <c r="V41" s="141">
        <f t="shared" si="7"/>
        <v>263.6497746</v>
      </c>
      <c r="W41" s="34">
        <f t="shared" si="0"/>
        <v>14.261372859903064</v>
      </c>
      <c r="X41" s="34">
        <f t="shared" si="8"/>
        <v>14.261372859903064</v>
      </c>
      <c r="Y41" s="143">
        <f t="shared" si="9"/>
        <v>33.514226220772201</v>
      </c>
      <c r="Z41" s="37">
        <f t="shared" si="10"/>
        <v>43.891808520653555</v>
      </c>
      <c r="AA41" s="37"/>
      <c r="AB41" s="37"/>
      <c r="AC41" s="34">
        <f t="shared" si="1"/>
        <v>7.4568965517241379</v>
      </c>
      <c r="AD41" s="34">
        <f t="shared" si="2"/>
        <v>7.4568965517241379</v>
      </c>
      <c r="AE41" s="33">
        <f t="shared" si="3"/>
        <v>10969.094827586207</v>
      </c>
      <c r="AF41" s="33">
        <f t="shared" si="4"/>
        <v>197.26705202312138</v>
      </c>
      <c r="AG41" s="122">
        <v>11</v>
      </c>
      <c r="AH41" s="35">
        <v>16.100000000000001</v>
      </c>
      <c r="AI41" s="43">
        <v>13.7</v>
      </c>
      <c r="AJ41" s="44" t="s">
        <v>252</v>
      </c>
      <c r="AK41" s="44" t="str">
        <f>VLOOKUP(F41,Hoja1!$A$9:$D$15,2,TRUE)</f>
        <v>Midsize</v>
      </c>
      <c r="AL41" s="44">
        <v>7</v>
      </c>
      <c r="AM41" s="44" t="s">
        <v>37</v>
      </c>
      <c r="AN41" s="40" t="s">
        <v>38</v>
      </c>
    </row>
    <row r="42" spans="1:40" s="38" customFormat="1">
      <c r="A42" s="132">
        <v>141</v>
      </c>
      <c r="B42" s="134" t="s">
        <v>68</v>
      </c>
      <c r="C42" s="134" t="s">
        <v>129</v>
      </c>
      <c r="D42" s="35" t="s">
        <v>60</v>
      </c>
      <c r="E42" s="32" t="str">
        <f>VLOOKUP(D42,Hoja1!$B$17:$C$21,2,TRUE)</f>
        <v>T</v>
      </c>
      <c r="F42" s="35" t="s">
        <v>31</v>
      </c>
      <c r="G42" s="32">
        <f>VLOOKUP(F42,Hoja1!$A$9:$D$15,3,TRUE)</f>
        <v>90</v>
      </c>
      <c r="H42" s="32">
        <f>VLOOKUP(F42,Hoja1!$A$9:$D$15,4,TRUE)</f>
        <v>4250</v>
      </c>
      <c r="I42" s="35">
        <v>2019</v>
      </c>
      <c r="J42" s="134" t="s">
        <v>32</v>
      </c>
      <c r="K42" s="133" t="str">
        <f>VLOOKUP(J42,Hoja1!$A$2:$B$3,2,FALSE)</f>
        <v>G</v>
      </c>
      <c r="L42" s="134">
        <v>2488</v>
      </c>
      <c r="M42" s="133">
        <f t="shared" si="5"/>
        <v>2.488</v>
      </c>
      <c r="N42" s="35" t="s">
        <v>33</v>
      </c>
      <c r="O42" s="35" t="s">
        <v>34</v>
      </c>
      <c r="P42" s="134" t="s">
        <v>74</v>
      </c>
      <c r="Q42" s="133" t="str">
        <f>VLOOKUP(P42,Hoja1!$A$6:$B$7,2,FALSE)</f>
        <v>A</v>
      </c>
      <c r="R42" s="138">
        <v>1446</v>
      </c>
      <c r="S42" s="59">
        <v>196</v>
      </c>
      <c r="T42" s="111">
        <f t="shared" si="11"/>
        <v>283416</v>
      </c>
      <c r="U42" s="37">
        <f t="shared" si="6"/>
        <v>183.77279999999999</v>
      </c>
      <c r="V42" s="141">
        <f t="shared" si="7"/>
        <v>295.69043519999997</v>
      </c>
      <c r="W42" s="34">
        <f t="shared" si="0"/>
        <v>12.716027616709329</v>
      </c>
      <c r="X42" s="34">
        <f t="shared" si="8"/>
        <v>12.716027616709329</v>
      </c>
      <c r="Y42" s="143">
        <f t="shared" si="9"/>
        <v>29.882664899266924</v>
      </c>
      <c r="Z42" s="37">
        <f t="shared" si="10"/>
        <v>48.389258617810654</v>
      </c>
      <c r="AA42" s="37"/>
      <c r="AB42" s="37"/>
      <c r="AC42" s="34">
        <f t="shared" si="1"/>
        <v>8.4482758620689662</v>
      </c>
      <c r="AD42" s="34">
        <f t="shared" si="2"/>
        <v>8.4482758620689662</v>
      </c>
      <c r="AE42" s="33">
        <f t="shared" si="3"/>
        <v>12216.206896551725</v>
      </c>
      <c r="AF42" s="33">
        <f t="shared" si="4"/>
        <v>171.15918367346939</v>
      </c>
      <c r="AG42" s="123">
        <v>9.1</v>
      </c>
      <c r="AH42" s="44">
        <v>15.1</v>
      </c>
      <c r="AI42" s="45">
        <v>12.2</v>
      </c>
      <c r="AJ42" s="44" t="s">
        <v>244</v>
      </c>
      <c r="AK42" s="44" t="str">
        <f>VLOOKUP(F42,Hoja1!$A$9:$D$15,2,TRUE)</f>
        <v>Midsize</v>
      </c>
      <c r="AL42" s="44">
        <v>7</v>
      </c>
      <c r="AM42" s="44" t="s">
        <v>37</v>
      </c>
      <c r="AN42" s="37" t="s">
        <v>38</v>
      </c>
    </row>
    <row r="43" spans="1:40" s="38" customFormat="1">
      <c r="A43" s="132">
        <v>142</v>
      </c>
      <c r="B43" s="134" t="s">
        <v>43</v>
      </c>
      <c r="C43" s="134" t="s">
        <v>47</v>
      </c>
      <c r="D43" s="35" t="s">
        <v>30</v>
      </c>
      <c r="E43" s="32" t="str">
        <f>VLOOKUP(D43,Hoja1!$B$17:$C$21,2,TRUE)</f>
        <v>C</v>
      </c>
      <c r="F43" s="35" t="s">
        <v>31</v>
      </c>
      <c r="G43" s="32">
        <f>VLOOKUP(F43,Hoja1!$A$9:$D$15,3,TRUE)</f>
        <v>90</v>
      </c>
      <c r="H43" s="32">
        <f>VLOOKUP(F43,Hoja1!$A$9:$D$15,4,TRUE)</f>
        <v>4250</v>
      </c>
      <c r="I43" s="35">
        <v>2019</v>
      </c>
      <c r="J43" s="134" t="s">
        <v>32</v>
      </c>
      <c r="K43" s="133" t="str">
        <f>VLOOKUP(J43,Hoja1!$A$2:$B$3,2,FALSE)</f>
        <v>G</v>
      </c>
      <c r="L43" s="134">
        <v>1599</v>
      </c>
      <c r="M43" s="133">
        <f t="shared" si="5"/>
        <v>1.599</v>
      </c>
      <c r="N43" s="35" t="s">
        <v>33</v>
      </c>
      <c r="O43" s="35" t="s">
        <v>34</v>
      </c>
      <c r="P43" s="134" t="s">
        <v>74</v>
      </c>
      <c r="Q43" s="133" t="str">
        <f>VLOOKUP(P43,Hoja1!$A$6:$B$7,2,FALSE)</f>
        <v>A</v>
      </c>
      <c r="R43" s="138">
        <v>1401</v>
      </c>
      <c r="S43" s="37">
        <v>170</v>
      </c>
      <c r="T43" s="111">
        <f t="shared" si="11"/>
        <v>238170</v>
      </c>
      <c r="U43" s="37">
        <f t="shared" si="6"/>
        <v>161.262</v>
      </c>
      <c r="V43" s="141">
        <f t="shared" si="7"/>
        <v>259.47055799999998</v>
      </c>
      <c r="W43" s="34">
        <f t="shared" si="0"/>
        <v>14.491076633056766</v>
      </c>
      <c r="X43" s="34">
        <f t="shared" si="8"/>
        <v>14.491076633056766</v>
      </c>
      <c r="Y43" s="143">
        <f t="shared" si="9"/>
        <v>34.054030087683401</v>
      </c>
      <c r="Z43" s="37">
        <f t="shared" si="10"/>
        <v>41.14050514410954</v>
      </c>
      <c r="AA43" s="37"/>
      <c r="AB43" s="37"/>
      <c r="AC43" s="34">
        <f t="shared" si="1"/>
        <v>7.3275862068965516</v>
      </c>
      <c r="AD43" s="34">
        <f t="shared" si="2"/>
        <v>7.3275862068965516</v>
      </c>
      <c r="AE43" s="33">
        <f t="shared" si="3"/>
        <v>10265.948275862069</v>
      </c>
      <c r="AF43" s="33">
        <f t="shared" si="4"/>
        <v>191.19529411764705</v>
      </c>
      <c r="AG43" s="123">
        <v>14.6</v>
      </c>
      <c r="AH43" s="44">
        <v>21.4</v>
      </c>
      <c r="AI43" s="45">
        <v>17.100000000000001</v>
      </c>
      <c r="AJ43" s="44" t="s">
        <v>48</v>
      </c>
      <c r="AK43" s="44" t="str">
        <f>VLOOKUP(F43,Hoja1!$A$9:$D$15,2,TRUE)</f>
        <v>Midsize</v>
      </c>
      <c r="AL43" s="44">
        <v>3</v>
      </c>
      <c r="AM43" s="44" t="s">
        <v>49</v>
      </c>
      <c r="AN43" s="36"/>
    </row>
    <row r="44" spans="1:40" s="38" customFormat="1">
      <c r="A44" s="132">
        <v>143</v>
      </c>
      <c r="B44" s="134" t="s">
        <v>68</v>
      </c>
      <c r="C44" s="134" t="s">
        <v>109</v>
      </c>
      <c r="D44" s="35" t="s">
        <v>88</v>
      </c>
      <c r="E44" s="32" t="str">
        <f>VLOOKUP(D44,Hoja1!$B$17:$C$21,2,TRUE)</f>
        <v>T</v>
      </c>
      <c r="F44" s="35" t="s">
        <v>175</v>
      </c>
      <c r="G44" s="32">
        <f>VLOOKUP(F44,Hoja1!$A$9:$D$15,3,TRUE)</f>
        <v>110</v>
      </c>
      <c r="H44" s="32">
        <f>VLOOKUP(F44,Hoja1!$A$9:$D$15,4,TRUE)</f>
        <v>5751</v>
      </c>
      <c r="I44" s="35">
        <v>2019</v>
      </c>
      <c r="J44" s="134" t="s">
        <v>32</v>
      </c>
      <c r="K44" s="133" t="str">
        <f>VLOOKUP(J44,Hoja1!$A$2:$B$3,2,FALSE)</f>
        <v>G</v>
      </c>
      <c r="L44" s="134">
        <v>2488</v>
      </c>
      <c r="M44" s="133">
        <f t="shared" si="5"/>
        <v>2.488</v>
      </c>
      <c r="N44" s="35" t="s">
        <v>33</v>
      </c>
      <c r="O44" s="35" t="s">
        <v>34</v>
      </c>
      <c r="P44" s="134" t="s">
        <v>35</v>
      </c>
      <c r="Q44" s="133" t="str">
        <f>VLOOKUP(P44,Hoja1!$A$6:$B$7,2,FALSE)</f>
        <v>M</v>
      </c>
      <c r="R44" s="138">
        <v>1395</v>
      </c>
      <c r="S44" s="59">
        <v>231</v>
      </c>
      <c r="T44" s="111">
        <f t="shared" si="11"/>
        <v>322245</v>
      </c>
      <c r="U44" s="37">
        <f t="shared" si="6"/>
        <v>214.07579999999999</v>
      </c>
      <c r="V44" s="141">
        <f t="shared" si="7"/>
        <v>344.44796219999995</v>
      </c>
      <c r="W44" s="34">
        <f t="shared" si="0"/>
        <v>10.91604001946974</v>
      </c>
      <c r="X44" s="34">
        <f t="shared" si="8"/>
        <v>10.91604001946974</v>
      </c>
      <c r="Y44" s="143">
        <f t="shared" si="9"/>
        <v>25.65269404575389</v>
      </c>
      <c r="Z44" s="37">
        <f t="shared" si="10"/>
        <v>54.380253298616196</v>
      </c>
      <c r="AA44" s="37"/>
      <c r="AB44" s="37"/>
      <c r="AC44" s="34">
        <f t="shared" si="1"/>
        <v>9.9568965517241388</v>
      </c>
      <c r="AD44" s="34">
        <f t="shared" si="2"/>
        <v>9.9568965517241388</v>
      </c>
      <c r="AE44" s="33">
        <f t="shared" si="3"/>
        <v>13889.870689655174</v>
      </c>
      <c r="AF44" s="33">
        <f t="shared" si="4"/>
        <v>140.10389610389609</v>
      </c>
      <c r="AG44" s="125">
        <v>7.9</v>
      </c>
      <c r="AH44" s="37">
        <v>12.5</v>
      </c>
      <c r="AI44" s="115">
        <v>10.3</v>
      </c>
      <c r="AJ44" s="37" t="s">
        <v>251</v>
      </c>
      <c r="AK44" s="44" t="str">
        <f>VLOOKUP(F44,Hoja1!$A$9:$D$15,2,TRUE)</f>
        <v>Executive</v>
      </c>
      <c r="AL44" s="37">
        <v>11</v>
      </c>
      <c r="AM44" s="37" t="s">
        <v>37</v>
      </c>
      <c r="AN44" s="37" t="s">
        <v>38</v>
      </c>
    </row>
    <row r="45" spans="1:40" s="38" customFormat="1">
      <c r="A45" s="132">
        <v>144</v>
      </c>
      <c r="B45" s="134" t="s">
        <v>90</v>
      </c>
      <c r="C45" s="134" t="s">
        <v>322</v>
      </c>
      <c r="D45" s="35" t="s">
        <v>30</v>
      </c>
      <c r="E45" s="32" t="str">
        <f>VLOOKUP(D45,Hoja1!$B$17:$C$21,2,TRUE)</f>
        <v>C</v>
      </c>
      <c r="F45" s="35" t="s">
        <v>31</v>
      </c>
      <c r="G45" s="32">
        <f>VLOOKUP(F45,Hoja1!$A$9:$D$15,3,TRUE)</f>
        <v>90</v>
      </c>
      <c r="H45" s="32">
        <f>VLOOKUP(F45,Hoja1!$A$9:$D$15,4,TRUE)</f>
        <v>4250</v>
      </c>
      <c r="I45" s="35">
        <v>2019</v>
      </c>
      <c r="J45" s="134" t="s">
        <v>32</v>
      </c>
      <c r="K45" s="133" t="str">
        <f>VLOOKUP(J45,Hoja1!$A$2:$B$3,2,FALSE)</f>
        <v>G</v>
      </c>
      <c r="L45" s="134">
        <v>1395</v>
      </c>
      <c r="M45" s="133">
        <f t="shared" si="5"/>
        <v>1.395</v>
      </c>
      <c r="N45" s="35" t="s">
        <v>33</v>
      </c>
      <c r="O45" s="35" t="s">
        <v>34</v>
      </c>
      <c r="P45" s="134" t="s">
        <v>74</v>
      </c>
      <c r="Q45" s="133" t="str">
        <f>VLOOKUP(P45,Hoja1!$A$6:$B$7,2,FALSE)</f>
        <v>A</v>
      </c>
      <c r="R45" s="138">
        <v>1364</v>
      </c>
      <c r="S45" s="35">
        <v>153</v>
      </c>
      <c r="T45" s="111">
        <f t="shared" si="11"/>
        <v>208692</v>
      </c>
      <c r="U45" s="37">
        <f t="shared" si="6"/>
        <v>146.54339999999999</v>
      </c>
      <c r="V45" s="141">
        <f t="shared" si="7"/>
        <v>235.78833059999999</v>
      </c>
      <c r="W45" s="34">
        <f t="shared" si="0"/>
        <v>15.946538704574893</v>
      </c>
      <c r="X45" s="34">
        <f t="shared" si="8"/>
        <v>15.946538704574893</v>
      </c>
      <c r="Y45" s="143">
        <f t="shared" si="9"/>
        <v>37.474365955750997</v>
      </c>
      <c r="Z45" s="37">
        <f t="shared" si="10"/>
        <v>36.398214224907356</v>
      </c>
      <c r="AA45" s="37"/>
      <c r="AB45" s="37"/>
      <c r="AC45" s="34">
        <f t="shared" si="1"/>
        <v>6.5948275862068968</v>
      </c>
      <c r="AD45" s="34">
        <f t="shared" si="2"/>
        <v>6.5948275862068968</v>
      </c>
      <c r="AE45" s="33">
        <f t="shared" si="3"/>
        <v>8995.3448275862065</v>
      </c>
      <c r="AF45" s="33">
        <f t="shared" si="4"/>
        <v>206.82875816993464</v>
      </c>
      <c r="AG45" s="122">
        <v>11</v>
      </c>
      <c r="AH45" s="35">
        <v>20.3</v>
      </c>
      <c r="AI45" s="43">
        <v>15.5</v>
      </c>
      <c r="AJ45" s="44" t="s">
        <v>323</v>
      </c>
      <c r="AK45" s="44" t="str">
        <f>VLOOKUP(F45,Hoja1!$A$9:$D$15,2,TRUE)</f>
        <v>Midsize</v>
      </c>
      <c r="AL45" s="44">
        <v>3</v>
      </c>
      <c r="AM45" s="112" t="s">
        <v>318</v>
      </c>
      <c r="AN45" s="40" t="s">
        <v>38</v>
      </c>
    </row>
    <row r="46" spans="1:40" s="38" customFormat="1">
      <c r="A46" s="132">
        <v>145</v>
      </c>
      <c r="B46" s="134" t="s">
        <v>68</v>
      </c>
      <c r="C46" s="134" t="s">
        <v>117</v>
      </c>
      <c r="D46" s="35" t="s">
        <v>60</v>
      </c>
      <c r="E46" s="32" t="str">
        <f>VLOOKUP(D46,Hoja1!$B$17:$C$21,2,TRUE)</f>
        <v>T</v>
      </c>
      <c r="F46" s="35" t="s">
        <v>313</v>
      </c>
      <c r="G46" s="32">
        <f>VLOOKUP(F46,Hoja1!$A$9:$D$15,3,TRUE)</f>
        <v>90</v>
      </c>
      <c r="H46" s="32">
        <f>VLOOKUP(F46,Hoja1!$A$9:$D$15,4,TRUE)</f>
        <v>4250</v>
      </c>
      <c r="I46" s="35">
        <v>2019</v>
      </c>
      <c r="J46" s="134" t="s">
        <v>32</v>
      </c>
      <c r="K46" s="133" t="str">
        <f>VLOOKUP(J46,Hoja1!$A$2:$B$3,2,FALSE)</f>
        <v>G</v>
      </c>
      <c r="L46" s="134">
        <v>1997</v>
      </c>
      <c r="M46" s="133">
        <f t="shared" si="5"/>
        <v>1.9970000000000001</v>
      </c>
      <c r="N46" s="35" t="s">
        <v>33</v>
      </c>
      <c r="O46" s="35" t="s">
        <v>34</v>
      </c>
      <c r="P46" s="134" t="s">
        <v>35</v>
      </c>
      <c r="Q46" s="133" t="str">
        <f>VLOOKUP(P46,Hoja1!$A$6:$B$7,2,FALSE)</f>
        <v>M</v>
      </c>
      <c r="R46" s="138">
        <v>1321</v>
      </c>
      <c r="S46" s="59">
        <v>179</v>
      </c>
      <c r="T46" s="111">
        <f t="shared" si="11"/>
        <v>236459</v>
      </c>
      <c r="U46" s="37">
        <f t="shared" si="6"/>
        <v>169.05420000000001</v>
      </c>
      <c r="V46" s="141">
        <f t="shared" si="7"/>
        <v>272.00820780000004</v>
      </c>
      <c r="W46" s="34">
        <f t="shared" si="0"/>
        <v>13.823140744211027</v>
      </c>
      <c r="X46" s="34">
        <f t="shared" si="8"/>
        <v>13.823140744211027</v>
      </c>
      <c r="Y46" s="143">
        <f t="shared" si="9"/>
        <v>32.484380748895916</v>
      </c>
      <c r="Z46" s="37">
        <f t="shared" si="10"/>
        <v>40.665697468925842</v>
      </c>
      <c r="AA46" s="37"/>
      <c r="AB46" s="37"/>
      <c r="AC46" s="34">
        <f t="shared" si="1"/>
        <v>7.7155172413793105</v>
      </c>
      <c r="AD46" s="34">
        <f t="shared" si="2"/>
        <v>7.7155172413793105</v>
      </c>
      <c r="AE46" s="33">
        <f t="shared" si="3"/>
        <v>10192.198275862069</v>
      </c>
      <c r="AF46" s="33">
        <f t="shared" si="4"/>
        <v>171.21340782122905</v>
      </c>
      <c r="AG46" s="122">
        <v>9.1300000000000008</v>
      </c>
      <c r="AH46" s="35">
        <v>16.7</v>
      </c>
      <c r="AI46" s="43">
        <v>13</v>
      </c>
      <c r="AJ46" s="44" t="s">
        <v>118</v>
      </c>
      <c r="AK46" s="44" t="str">
        <f>VLOOKUP(F46,Hoja1!$A$9:$D$15,2,TRUE)</f>
        <v>Midsize</v>
      </c>
      <c r="AL46" s="44">
        <v>7</v>
      </c>
      <c r="AM46" s="44" t="s">
        <v>37</v>
      </c>
      <c r="AN46" s="40" t="s">
        <v>38</v>
      </c>
    </row>
    <row r="47" spans="1:40" s="38" customFormat="1">
      <c r="A47" s="132">
        <v>146</v>
      </c>
      <c r="B47" s="134" t="s">
        <v>43</v>
      </c>
      <c r="C47" s="134" t="s">
        <v>324</v>
      </c>
      <c r="D47" s="35" t="s">
        <v>60</v>
      </c>
      <c r="E47" s="32" t="str">
        <f>VLOOKUP(D47,Hoja1!$B$17:$C$21,2,TRUE)</f>
        <v>T</v>
      </c>
      <c r="F47" s="35" t="s">
        <v>40</v>
      </c>
      <c r="G47" s="32">
        <f>VLOOKUP(F47,Hoja1!$A$9:$D$15,3,TRUE)</f>
        <v>80</v>
      </c>
      <c r="H47" s="32">
        <f>VLOOKUP(F47,Hoja1!$A$9:$D$15,4,TRUE)</f>
        <v>3500</v>
      </c>
      <c r="I47" s="35">
        <v>2019</v>
      </c>
      <c r="J47" s="134" t="s">
        <v>32</v>
      </c>
      <c r="K47" s="133" t="str">
        <f>VLOOKUP(J47,Hoja1!$A$2:$B$3,2,FALSE)</f>
        <v>G</v>
      </c>
      <c r="L47" s="134">
        <v>1998</v>
      </c>
      <c r="M47" s="133">
        <f t="shared" si="5"/>
        <v>1.998</v>
      </c>
      <c r="N47" s="35" t="s">
        <v>33</v>
      </c>
      <c r="O47" s="35" t="s">
        <v>34</v>
      </c>
      <c r="P47" s="134" t="s">
        <v>74</v>
      </c>
      <c r="Q47" s="133" t="str">
        <f>VLOOKUP(P47,Hoja1!$A$6:$B$7,2,FALSE)</f>
        <v>A</v>
      </c>
      <c r="R47" s="138">
        <f>1260+1062</f>
        <v>2322</v>
      </c>
      <c r="S47" s="35">
        <v>141</v>
      </c>
      <c r="T47" s="111">
        <f t="shared" si="11"/>
        <v>327402</v>
      </c>
      <c r="U47" s="37">
        <f t="shared" si="6"/>
        <v>136.15379999999999</v>
      </c>
      <c r="V47" s="141">
        <f t="shared" si="7"/>
        <v>219.07146419999998</v>
      </c>
      <c r="W47" s="34">
        <f t="shared" si="0"/>
        <v>17.163384349169839</v>
      </c>
      <c r="X47" s="34">
        <f t="shared" si="8"/>
        <v>17.163384349169839</v>
      </c>
      <c r="Y47" s="143">
        <f t="shared" si="9"/>
        <v>40.33395322054912</v>
      </c>
      <c r="Z47" s="37">
        <f t="shared" si="10"/>
        <v>57.569363144324775</v>
      </c>
      <c r="AA47" s="37"/>
      <c r="AB47" s="37"/>
      <c r="AC47" s="34">
        <f t="shared" si="1"/>
        <v>6.0775862068965516</v>
      </c>
      <c r="AD47" s="34">
        <f t="shared" si="2"/>
        <v>6.0775862068965516</v>
      </c>
      <c r="AE47" s="33">
        <f t="shared" si="3"/>
        <v>14112.155172413793</v>
      </c>
      <c r="AF47" s="33">
        <f t="shared" si="4"/>
        <v>382.05957446808509</v>
      </c>
      <c r="AG47" s="122">
        <v>8.8000000000000007</v>
      </c>
      <c r="AH47" s="35">
        <v>10.8</v>
      </c>
      <c r="AI47" s="43"/>
      <c r="AJ47" s="44" t="s">
        <v>160</v>
      </c>
      <c r="AK47" s="44" t="str">
        <f>VLOOKUP(F47,Hoja1!$A$9:$D$15,2,TRUE)</f>
        <v>Compact</v>
      </c>
      <c r="AL47" s="44">
        <v>2</v>
      </c>
      <c r="AM47" s="112" t="s">
        <v>161</v>
      </c>
      <c r="AN47" s="40"/>
    </row>
    <row r="48" spans="1:40" s="38" customFormat="1">
      <c r="A48" s="132">
        <v>147</v>
      </c>
      <c r="B48" s="134" t="s">
        <v>135</v>
      </c>
      <c r="C48" s="134" t="s">
        <v>325</v>
      </c>
      <c r="D48" s="35" t="s">
        <v>30</v>
      </c>
      <c r="E48" s="32" t="str">
        <f>VLOOKUP(D48,Hoja1!$B$17:$C$21,2,TRUE)</f>
        <v>C</v>
      </c>
      <c r="F48" s="35" t="s">
        <v>40</v>
      </c>
      <c r="G48" s="32">
        <f>VLOOKUP(F48,Hoja1!$A$9:$D$15,3,TRUE)</f>
        <v>80</v>
      </c>
      <c r="H48" s="32">
        <f>VLOOKUP(F48,Hoja1!$A$9:$D$15,4,TRUE)</f>
        <v>3500</v>
      </c>
      <c r="I48" s="35">
        <v>2019</v>
      </c>
      <c r="J48" s="134" t="s">
        <v>32</v>
      </c>
      <c r="K48" s="133" t="str">
        <f>VLOOKUP(J48,Hoja1!$A$2:$B$3,2,FALSE)</f>
        <v>G</v>
      </c>
      <c r="L48" s="134">
        <v>1197</v>
      </c>
      <c r="M48" s="133">
        <f t="shared" si="5"/>
        <v>1.1970000000000001</v>
      </c>
      <c r="N48" s="35" t="s">
        <v>33</v>
      </c>
      <c r="O48" s="35" t="s">
        <v>34</v>
      </c>
      <c r="P48" s="134" t="s">
        <v>35</v>
      </c>
      <c r="Q48" s="133" t="str">
        <f>VLOOKUP(P48,Hoja1!$A$6:$B$7,2,FALSE)</f>
        <v>M</v>
      </c>
      <c r="R48" s="138">
        <v>1228</v>
      </c>
      <c r="S48" s="35">
        <v>124</v>
      </c>
      <c r="T48" s="111">
        <f t="shared" si="11"/>
        <v>152272</v>
      </c>
      <c r="U48" s="37">
        <f t="shared" si="6"/>
        <v>121.43520000000001</v>
      </c>
      <c r="V48" s="141">
        <f t="shared" si="7"/>
        <v>195.38923680000002</v>
      </c>
      <c r="W48" s="34">
        <f t="shared" si="0"/>
        <v>19.243678933291172</v>
      </c>
      <c r="X48" s="34">
        <f t="shared" si="8"/>
        <v>19.243678933291172</v>
      </c>
      <c r="Y48" s="143">
        <f t="shared" si="9"/>
        <v>45.222645493234253</v>
      </c>
      <c r="Z48" s="37">
        <f t="shared" si="10"/>
        <v>27.154536993721891</v>
      </c>
      <c r="AA48" s="37"/>
      <c r="AB48" s="37"/>
      <c r="AC48" s="34">
        <f t="shared" si="1"/>
        <v>5.3448275862068968</v>
      </c>
      <c r="AD48" s="34">
        <f t="shared" si="2"/>
        <v>5.3448275862068968</v>
      </c>
      <c r="AE48" s="33">
        <f t="shared" si="3"/>
        <v>6563.4482758620688</v>
      </c>
      <c r="AF48" s="33">
        <f t="shared" si="4"/>
        <v>229.75483870967741</v>
      </c>
      <c r="AG48" s="122">
        <v>15.1</v>
      </c>
      <c r="AH48" s="35">
        <v>22.5</v>
      </c>
      <c r="AI48" s="43">
        <v>19.100000000000001</v>
      </c>
      <c r="AJ48" s="44" t="s">
        <v>209</v>
      </c>
      <c r="AK48" s="44" t="str">
        <f>VLOOKUP(F48,Hoja1!$A$9:$D$15,2,TRUE)</f>
        <v>Compact</v>
      </c>
      <c r="AL48" s="44">
        <v>2</v>
      </c>
      <c r="AM48" s="44" t="s">
        <v>37</v>
      </c>
      <c r="AN48" s="40" t="s">
        <v>38</v>
      </c>
    </row>
    <row r="49" spans="1:40" s="38" customFormat="1">
      <c r="A49" s="132">
        <v>148</v>
      </c>
      <c r="B49" s="134" t="s">
        <v>102</v>
      </c>
      <c r="C49" s="134" t="s">
        <v>174</v>
      </c>
      <c r="D49" s="35" t="s">
        <v>60</v>
      </c>
      <c r="E49" s="32" t="str">
        <f>VLOOKUP(D49,Hoja1!$B$17:$C$21,2,TRUE)</f>
        <v>T</v>
      </c>
      <c r="F49" s="35" t="s">
        <v>175</v>
      </c>
      <c r="G49" s="32">
        <f>VLOOKUP(F49,Hoja1!$A$9:$D$15,3,TRUE)</f>
        <v>110</v>
      </c>
      <c r="H49" s="32">
        <f>VLOOKUP(F49,Hoja1!$A$9:$D$15,4,TRUE)</f>
        <v>5751</v>
      </c>
      <c r="I49" s="35">
        <v>2019</v>
      </c>
      <c r="J49" s="134" t="s">
        <v>103</v>
      </c>
      <c r="K49" s="133" t="str">
        <f>VLOOKUP(J49,Hoja1!$A$2:$B$3,2,FALSE)</f>
        <v>D</v>
      </c>
      <c r="L49" s="134">
        <v>2755</v>
      </c>
      <c r="M49" s="133">
        <f t="shared" si="5"/>
        <v>2.7549999999999999</v>
      </c>
      <c r="N49" s="35" t="s">
        <v>33</v>
      </c>
      <c r="O49" s="35" t="s">
        <v>34</v>
      </c>
      <c r="P49" s="134" t="s">
        <v>35</v>
      </c>
      <c r="Q49" s="133" t="str">
        <f>VLOOKUP(P49,Hoja1!$A$6:$B$7,2,FALSE)</f>
        <v>M</v>
      </c>
      <c r="R49" s="138">
        <v>1219</v>
      </c>
      <c r="S49" s="59">
        <v>207</v>
      </c>
      <c r="T49" s="111">
        <f t="shared" si="11"/>
        <v>252333</v>
      </c>
      <c r="U49" s="37">
        <f t="shared" si="6"/>
        <v>182.96609999999998</v>
      </c>
      <c r="V49" s="141">
        <f t="shared" si="7"/>
        <v>294.39245489999996</v>
      </c>
      <c r="W49" s="34">
        <f t="shared" si="0"/>
        <v>14.671570307286434</v>
      </c>
      <c r="X49" s="34">
        <f t="shared" si="8"/>
        <v>13.584787321561512</v>
      </c>
      <c r="Y49" s="143">
        <f t="shared" si="9"/>
        <v>31.924250205669555</v>
      </c>
      <c r="Z49" s="37">
        <f t="shared" si="10"/>
        <v>38.184138770579892</v>
      </c>
      <c r="AA49" s="37"/>
      <c r="AB49" s="37"/>
      <c r="AC49" s="34">
        <f t="shared" si="1"/>
        <v>7.7284946236559131</v>
      </c>
      <c r="AD49" s="34">
        <f t="shared" si="2"/>
        <v>8.3467741935483861</v>
      </c>
      <c r="AE49" s="33">
        <f t="shared" si="3"/>
        <v>10174.717741935483</v>
      </c>
      <c r="AF49" s="33">
        <f t="shared" si="4"/>
        <v>146.04444444444445</v>
      </c>
      <c r="AG49" s="122">
        <v>10.5</v>
      </c>
      <c r="AH49" s="35">
        <v>14.6</v>
      </c>
      <c r="AI49" s="43">
        <v>12.8</v>
      </c>
      <c r="AJ49" s="44" t="s">
        <v>176</v>
      </c>
      <c r="AK49" s="44" t="str">
        <f>VLOOKUP(F49,Hoja1!$A$9:$D$15,2,TRUE)</f>
        <v>Executive</v>
      </c>
      <c r="AL49" s="44">
        <v>17</v>
      </c>
      <c r="AM49" s="44" t="s">
        <v>37</v>
      </c>
      <c r="AN49" s="40" t="s">
        <v>38</v>
      </c>
    </row>
    <row r="50" spans="1:40" s="38" customFormat="1">
      <c r="A50" s="132">
        <v>149</v>
      </c>
      <c r="B50" s="134" t="s">
        <v>55</v>
      </c>
      <c r="C50" s="134" t="s">
        <v>319</v>
      </c>
      <c r="D50" s="35" t="s">
        <v>60</v>
      </c>
      <c r="E50" s="32" t="str">
        <f>VLOOKUP(D50,Hoja1!$B$17:$C$21,2,TRUE)</f>
        <v>T</v>
      </c>
      <c r="F50" s="35" t="s">
        <v>313</v>
      </c>
      <c r="G50" s="32">
        <f>VLOOKUP(F50,Hoja1!$A$9:$D$15,3,TRUE)</f>
        <v>90</v>
      </c>
      <c r="H50" s="32">
        <f>VLOOKUP(F50,Hoja1!$A$9:$D$15,4,TRUE)</f>
        <v>4250</v>
      </c>
      <c r="I50" s="35">
        <v>2019</v>
      </c>
      <c r="J50" s="134" t="s">
        <v>32</v>
      </c>
      <c r="K50" s="133" t="str">
        <f>VLOOKUP(J50,Hoja1!$A$2:$B$3,2,FALSE)</f>
        <v>G</v>
      </c>
      <c r="L50" s="134">
        <v>1999</v>
      </c>
      <c r="M50" s="133">
        <f t="shared" si="5"/>
        <v>1.9990000000000001</v>
      </c>
      <c r="N50" s="35" t="s">
        <v>33</v>
      </c>
      <c r="O50" s="35" t="s">
        <v>34</v>
      </c>
      <c r="P50" s="134" t="s">
        <v>74</v>
      </c>
      <c r="Q50" s="133" t="str">
        <f>VLOOKUP(P50,Hoja1!$A$6:$B$7,2,FALSE)</f>
        <v>A</v>
      </c>
      <c r="R50" s="138">
        <v>1213</v>
      </c>
      <c r="S50" s="35">
        <v>204</v>
      </c>
      <c r="T50" s="111">
        <f t="shared" si="11"/>
        <v>247452</v>
      </c>
      <c r="U50" s="37">
        <f t="shared" si="6"/>
        <v>190.69919999999999</v>
      </c>
      <c r="V50" s="141">
        <f t="shared" si="7"/>
        <v>306.83501279999996</v>
      </c>
      <c r="W50" s="34">
        <f t="shared" si="0"/>
        <v>12.254167820315976</v>
      </c>
      <c r="X50" s="34">
        <f t="shared" si="8"/>
        <v>12.254167820315976</v>
      </c>
      <c r="Y50" s="143">
        <f t="shared" si="9"/>
        <v>28.797294377742546</v>
      </c>
      <c r="Z50" s="37">
        <f t="shared" si="10"/>
        <v>42.122012717192234</v>
      </c>
      <c r="AA50" s="37"/>
      <c r="AB50" s="37"/>
      <c r="AC50" s="34">
        <f t="shared" si="1"/>
        <v>8.793103448275863</v>
      </c>
      <c r="AD50" s="34">
        <f t="shared" si="2"/>
        <v>8.793103448275863</v>
      </c>
      <c r="AE50" s="33">
        <f t="shared" si="3"/>
        <v>10666.034482758621</v>
      </c>
      <c r="AF50" s="33">
        <f t="shared" si="4"/>
        <v>137.94901960784313</v>
      </c>
      <c r="AG50" s="122">
        <v>8.5</v>
      </c>
      <c r="AH50" s="35">
        <v>14.3</v>
      </c>
      <c r="AI50" s="43">
        <v>11.4</v>
      </c>
      <c r="AJ50" s="44" t="s">
        <v>326</v>
      </c>
      <c r="AK50" s="44" t="str">
        <f>VLOOKUP(F50,Hoja1!$A$9:$D$15,2,TRUE)</f>
        <v>Midsize</v>
      </c>
      <c r="AL50" s="44">
        <v>7</v>
      </c>
      <c r="AM50" s="44" t="s">
        <v>37</v>
      </c>
      <c r="AN50" s="40" t="s">
        <v>38</v>
      </c>
    </row>
    <row r="51" spans="1:40" s="38" customFormat="1">
      <c r="A51" s="132">
        <v>150</v>
      </c>
      <c r="B51" s="134" t="s">
        <v>62</v>
      </c>
      <c r="C51" s="134" t="s">
        <v>73</v>
      </c>
      <c r="D51" s="35" t="s">
        <v>60</v>
      </c>
      <c r="E51" s="32" t="str">
        <f>VLOOKUP(D51,Hoja1!$B$17:$C$21,2,TRUE)</f>
        <v>T</v>
      </c>
      <c r="F51" s="35" t="s">
        <v>313</v>
      </c>
      <c r="G51" s="32">
        <f>VLOOKUP(F51,Hoja1!$A$9:$D$15,3,TRUE)</f>
        <v>90</v>
      </c>
      <c r="H51" s="32">
        <f>VLOOKUP(F51,Hoja1!$A$9:$D$15,4,TRUE)</f>
        <v>4250</v>
      </c>
      <c r="I51" s="35">
        <v>2019</v>
      </c>
      <c r="J51" s="134" t="s">
        <v>32</v>
      </c>
      <c r="K51" s="133" t="str">
        <f>VLOOKUP(J51,Hoja1!$A$2:$B$3,2,FALSE)</f>
        <v>G</v>
      </c>
      <c r="L51" s="134">
        <v>1999</v>
      </c>
      <c r="M51" s="133">
        <f t="shared" si="5"/>
        <v>1.9990000000000001</v>
      </c>
      <c r="N51" s="35" t="s">
        <v>33</v>
      </c>
      <c r="O51" s="35" t="s">
        <v>34</v>
      </c>
      <c r="P51" s="134" t="s">
        <v>74</v>
      </c>
      <c r="Q51" s="133" t="str">
        <f>VLOOKUP(P51,Hoja1!$A$6:$B$7,2,FALSE)</f>
        <v>A</v>
      </c>
      <c r="R51" s="138">
        <v>1128</v>
      </c>
      <c r="S51" s="59">
        <v>176</v>
      </c>
      <c r="T51" s="111">
        <f t="shared" si="11"/>
        <v>198528</v>
      </c>
      <c r="U51" s="37">
        <f t="shared" si="6"/>
        <v>166.45679999999999</v>
      </c>
      <c r="V51" s="141">
        <f t="shared" si="7"/>
        <v>267.82899119999996</v>
      </c>
      <c r="W51" s="34">
        <f t="shared" si="0"/>
        <v>14.03883770443743</v>
      </c>
      <c r="X51" s="34">
        <f t="shared" si="8"/>
        <v>14.03883770443743</v>
      </c>
      <c r="Y51" s="143">
        <f t="shared" si="9"/>
        <v>32.991268605427962</v>
      </c>
      <c r="Z51" s="37">
        <f t="shared" si="10"/>
        <v>34.190864664549856</v>
      </c>
      <c r="AA51" s="37"/>
      <c r="AB51" s="37"/>
      <c r="AC51" s="34">
        <f t="shared" si="1"/>
        <v>7.5862068965517242</v>
      </c>
      <c r="AD51" s="34">
        <f t="shared" si="2"/>
        <v>7.5862068965517242</v>
      </c>
      <c r="AE51" s="33">
        <f t="shared" si="3"/>
        <v>8557.2413793103442</v>
      </c>
      <c r="AF51" s="33">
        <f t="shared" si="4"/>
        <v>148.69090909090909</v>
      </c>
      <c r="AG51" s="122">
        <v>10.1</v>
      </c>
      <c r="AH51" s="35">
        <v>16.8</v>
      </c>
      <c r="AI51" s="43">
        <v>13.6</v>
      </c>
      <c r="AJ51" s="44" t="s">
        <v>75</v>
      </c>
      <c r="AK51" s="44" t="str">
        <f>VLOOKUP(F51,Hoja1!$A$9:$D$15,2,TRUE)</f>
        <v>Midsize</v>
      </c>
      <c r="AL51" s="44">
        <v>7</v>
      </c>
      <c r="AM51" s="44" t="s">
        <v>37</v>
      </c>
      <c r="AN51" s="40" t="s">
        <v>38</v>
      </c>
    </row>
    <row r="52" spans="1:40" s="38" customFormat="1">
      <c r="A52" s="132">
        <v>151</v>
      </c>
      <c r="B52" s="134" t="s">
        <v>43</v>
      </c>
      <c r="C52" s="134" t="s">
        <v>47</v>
      </c>
      <c r="D52" s="35" t="s">
        <v>30</v>
      </c>
      <c r="E52" s="32" t="str">
        <f>VLOOKUP(D52,Hoja1!$B$17:$C$21,2,TRUE)</f>
        <v>C</v>
      </c>
      <c r="F52" s="35" t="s">
        <v>313</v>
      </c>
      <c r="G52" s="32">
        <f>VLOOKUP(F52,Hoja1!$A$9:$D$15,3,TRUE)</f>
        <v>90</v>
      </c>
      <c r="H52" s="32">
        <f>VLOOKUP(F52,Hoja1!$A$9:$D$15,4,TRUE)</f>
        <v>4250</v>
      </c>
      <c r="I52" s="35">
        <v>2019</v>
      </c>
      <c r="J52" s="134" t="s">
        <v>32</v>
      </c>
      <c r="K52" s="133" t="str">
        <f>VLOOKUP(J52,Hoja1!$A$2:$B$3,2,FALSE)</f>
        <v>G</v>
      </c>
      <c r="L52" s="134">
        <v>1599</v>
      </c>
      <c r="M52" s="133">
        <f t="shared" si="5"/>
        <v>1.599</v>
      </c>
      <c r="N52" s="35" t="s">
        <v>33</v>
      </c>
      <c r="O52" s="35" t="s">
        <v>34</v>
      </c>
      <c r="P52" s="134" t="s">
        <v>35</v>
      </c>
      <c r="Q52" s="133" t="str">
        <f>VLOOKUP(P52,Hoja1!$A$6:$B$7,2,FALSE)</f>
        <v>M</v>
      </c>
      <c r="R52" s="138">
        <v>1105</v>
      </c>
      <c r="S52" s="59">
        <v>168.11997410071942</v>
      </c>
      <c r="T52" s="111">
        <f t="shared" si="11"/>
        <v>185772.57138129495</v>
      </c>
      <c r="U52" s="37">
        <f t="shared" si="6"/>
        <v>159.63427357640288</v>
      </c>
      <c r="V52" s="141">
        <f t="shared" si="7"/>
        <v>256.85154618443221</v>
      </c>
      <c r="W52" s="34">
        <f t="shared" si="0"/>
        <v>14.638836307802979</v>
      </c>
      <c r="X52" s="34">
        <f t="shared" si="8"/>
        <v>14.638836307802979</v>
      </c>
      <c r="Y52" s="143">
        <f t="shared" si="9"/>
        <v>34.401265323337</v>
      </c>
      <c r="Z52" s="37">
        <f t="shared" si="10"/>
        <v>32.120911530844019</v>
      </c>
      <c r="AA52" s="37"/>
      <c r="AB52" s="37"/>
      <c r="AC52" s="34">
        <f t="shared" si="1"/>
        <v>7.2465506077896302</v>
      </c>
      <c r="AD52" s="34">
        <f t="shared" si="2"/>
        <v>7.2465506077896302</v>
      </c>
      <c r="AE52" s="33">
        <f t="shared" si="3"/>
        <v>8007.4384216075414</v>
      </c>
      <c r="AF52" s="33">
        <f t="shared" si="4"/>
        <v>152.48634278662013</v>
      </c>
      <c r="AG52" s="123">
        <v>11.9</v>
      </c>
      <c r="AH52" s="44">
        <v>17.399999999999999</v>
      </c>
      <c r="AI52" s="45">
        <v>13.9</v>
      </c>
      <c r="AJ52" s="44" t="s">
        <v>48</v>
      </c>
      <c r="AK52" s="44" t="str">
        <f>VLOOKUP(F52,Hoja1!$A$9:$D$15,2,TRUE)</f>
        <v>Midsize</v>
      </c>
      <c r="AL52" s="44">
        <v>3</v>
      </c>
      <c r="AM52" s="44" t="s">
        <v>141</v>
      </c>
      <c r="AN52" s="37" t="s">
        <v>314</v>
      </c>
    </row>
    <row r="53" spans="1:40" s="38" customFormat="1">
      <c r="A53" s="132">
        <v>152</v>
      </c>
      <c r="B53" s="134" t="s">
        <v>68</v>
      </c>
      <c r="C53" s="134" t="s">
        <v>117</v>
      </c>
      <c r="D53" s="35" t="s">
        <v>60</v>
      </c>
      <c r="E53" s="32" t="str">
        <f>VLOOKUP(D53,Hoja1!$B$17:$C$21,2,TRUE)</f>
        <v>T</v>
      </c>
      <c r="F53" s="35" t="s">
        <v>313</v>
      </c>
      <c r="G53" s="32">
        <f>VLOOKUP(F53,Hoja1!$A$9:$D$15,3,TRUE)</f>
        <v>90</v>
      </c>
      <c r="H53" s="32">
        <f>VLOOKUP(F53,Hoja1!$A$9:$D$15,4,TRUE)</f>
        <v>4250</v>
      </c>
      <c r="I53" s="35">
        <v>2019</v>
      </c>
      <c r="J53" s="134" t="s">
        <v>32</v>
      </c>
      <c r="K53" s="133" t="str">
        <f>VLOOKUP(J53,Hoja1!$A$2:$B$3,2,FALSE)</f>
        <v>G</v>
      </c>
      <c r="L53" s="134">
        <v>1997</v>
      </c>
      <c r="M53" s="133">
        <f t="shared" si="5"/>
        <v>1.9970000000000001</v>
      </c>
      <c r="N53" s="35" t="s">
        <v>33</v>
      </c>
      <c r="O53" s="35" t="s">
        <v>34</v>
      </c>
      <c r="P53" s="134" t="s">
        <v>74</v>
      </c>
      <c r="Q53" s="133" t="str">
        <f>VLOOKUP(P53,Hoja1!$A$6:$B$7,2,FALSE)</f>
        <v>A</v>
      </c>
      <c r="R53" s="138">
        <v>1081</v>
      </c>
      <c r="S53" s="35">
        <v>169</v>
      </c>
      <c r="T53" s="111">
        <f t="shared" si="11"/>
        <v>182689</v>
      </c>
      <c r="U53" s="37">
        <f t="shared" si="6"/>
        <v>160.39619999999999</v>
      </c>
      <c r="V53" s="141">
        <f t="shared" si="7"/>
        <v>258.07748579999998</v>
      </c>
      <c r="W53" s="34">
        <f t="shared" si="0"/>
        <v>14.569297776381237</v>
      </c>
      <c r="X53" s="34">
        <f t="shared" si="8"/>
        <v>14.569297776381237</v>
      </c>
      <c r="Y53" s="143">
        <f t="shared" si="9"/>
        <v>34.237849774495906</v>
      </c>
      <c r="Z53" s="37">
        <f t="shared" si="10"/>
        <v>31.573244439119158</v>
      </c>
      <c r="AA53" s="37"/>
      <c r="AB53" s="37"/>
      <c r="AC53" s="34">
        <f t="shared" si="1"/>
        <v>7.2844827586206895</v>
      </c>
      <c r="AD53" s="34">
        <f t="shared" si="2"/>
        <v>7.2844827586206895</v>
      </c>
      <c r="AE53" s="33">
        <f t="shared" si="3"/>
        <v>7874.5258620689656</v>
      </c>
      <c r="AF53" s="33">
        <f t="shared" si="4"/>
        <v>148.39763313609467</v>
      </c>
      <c r="AG53" s="122">
        <v>10.4</v>
      </c>
      <c r="AH53" s="35">
        <v>16.7</v>
      </c>
      <c r="AI53" s="43">
        <v>13.7</v>
      </c>
      <c r="AJ53" s="44" t="s">
        <v>271</v>
      </c>
      <c r="AK53" s="44" t="str">
        <f>VLOOKUP(F53,Hoja1!$A$9:$D$15,2,TRUE)</f>
        <v>Midsize</v>
      </c>
      <c r="AL53" s="44">
        <v>7</v>
      </c>
      <c r="AM53" s="44" t="s">
        <v>37</v>
      </c>
      <c r="AN53" s="40" t="s">
        <v>38</v>
      </c>
    </row>
    <row r="54" spans="1:40" s="38" customFormat="1">
      <c r="A54" s="132">
        <v>153</v>
      </c>
      <c r="B54" s="135" t="s">
        <v>55</v>
      </c>
      <c r="C54" s="135" t="s">
        <v>78</v>
      </c>
      <c r="D54" s="116" t="s">
        <v>30</v>
      </c>
      <c r="E54" s="32" t="str">
        <f>VLOOKUP(D54,Hoja1!$B$17:$C$21,2,TRUE)</f>
        <v>C</v>
      </c>
      <c r="F54" s="116" t="s">
        <v>313</v>
      </c>
      <c r="G54" s="32">
        <f>VLOOKUP(F54,Hoja1!$A$9:$D$15,3,TRUE)</f>
        <v>90</v>
      </c>
      <c r="H54" s="32">
        <f>VLOOKUP(F54,Hoja1!$A$9:$D$15,4,TRUE)</f>
        <v>4250</v>
      </c>
      <c r="I54" s="116">
        <v>2019</v>
      </c>
      <c r="J54" s="135" t="s">
        <v>32</v>
      </c>
      <c r="K54" s="133" t="str">
        <f>VLOOKUP(J54,Hoja1!$A$2:$B$3,2,FALSE)</f>
        <v>G</v>
      </c>
      <c r="L54" s="135">
        <v>1368</v>
      </c>
      <c r="M54" s="133">
        <f t="shared" si="5"/>
        <v>1.3680000000000001</v>
      </c>
      <c r="N54" s="116" t="s">
        <v>33</v>
      </c>
      <c r="O54" s="35" t="s">
        <v>34</v>
      </c>
      <c r="P54" s="135" t="s">
        <v>74</v>
      </c>
      <c r="Q54" s="133" t="str">
        <f>VLOOKUP(P54,Hoja1!$A$6:$B$7,2,FALSE)</f>
        <v>A</v>
      </c>
      <c r="R54" s="139">
        <v>1078</v>
      </c>
      <c r="S54" s="116">
        <v>156</v>
      </c>
      <c r="T54" s="111">
        <f t="shared" si="11"/>
        <v>168168</v>
      </c>
      <c r="U54" s="37">
        <f t="shared" si="6"/>
        <v>149.14079999999998</v>
      </c>
      <c r="V54" s="141">
        <f t="shared" si="7"/>
        <v>239.96754719999998</v>
      </c>
      <c r="W54" s="34">
        <f t="shared" si="0"/>
        <v>15.668817654189869</v>
      </c>
      <c r="X54" s="34">
        <f t="shared" si="8"/>
        <v>15.668817654189869</v>
      </c>
      <c r="Y54" s="143">
        <f t="shared" si="9"/>
        <v>36.821721487346196</v>
      </c>
      <c r="Z54" s="37">
        <f t="shared" si="10"/>
        <v>29.276197756545827</v>
      </c>
      <c r="AA54" s="37"/>
      <c r="AB54" s="37"/>
      <c r="AC54" s="34">
        <f t="shared" si="1"/>
        <v>6.7241379310344831</v>
      </c>
      <c r="AD54" s="34">
        <f t="shared" si="2"/>
        <v>6.7241379310344831</v>
      </c>
      <c r="AE54" s="33">
        <f t="shared" si="3"/>
        <v>7248.620689655173</v>
      </c>
      <c r="AF54" s="33">
        <f t="shared" si="4"/>
        <v>160.31794871794872</v>
      </c>
      <c r="AG54" s="122">
        <v>11.2</v>
      </c>
      <c r="AH54" s="35">
        <v>19.5</v>
      </c>
      <c r="AI54" s="43">
        <v>15.3</v>
      </c>
      <c r="AJ54" s="59" t="s">
        <v>327</v>
      </c>
      <c r="AK54" s="44" t="str">
        <f>VLOOKUP(F54,Hoja1!$A$9:$D$15,2,TRUE)</f>
        <v>Midsize</v>
      </c>
      <c r="AL54" s="59">
        <v>3</v>
      </c>
      <c r="AM54" s="44" t="s">
        <v>37</v>
      </c>
      <c r="AN54" s="36" t="s">
        <v>38</v>
      </c>
    </row>
    <row r="55" spans="1:40" s="38" customFormat="1">
      <c r="A55" s="132">
        <v>154</v>
      </c>
      <c r="B55" s="134" t="s">
        <v>62</v>
      </c>
      <c r="C55" s="134" t="s">
        <v>264</v>
      </c>
      <c r="D55" s="35" t="s">
        <v>60</v>
      </c>
      <c r="E55" s="32" t="str">
        <f>VLOOKUP(D55,Hoja1!$B$17:$C$21,2,TRUE)</f>
        <v>T</v>
      </c>
      <c r="F55" s="35" t="s">
        <v>31</v>
      </c>
      <c r="G55" s="32">
        <f>VLOOKUP(F55,Hoja1!$A$9:$D$15,3,TRUE)</f>
        <v>90</v>
      </c>
      <c r="H55" s="32">
        <f>VLOOKUP(F55,Hoja1!$A$9:$D$15,4,TRUE)</f>
        <v>4250</v>
      </c>
      <c r="I55" s="35">
        <v>2019</v>
      </c>
      <c r="J55" s="134" t="s">
        <v>103</v>
      </c>
      <c r="K55" s="133" t="str">
        <f>VLOOKUP(J55,Hoja1!$A$2:$B$3,2,FALSE)</f>
        <v>D</v>
      </c>
      <c r="L55" s="134">
        <v>3198</v>
      </c>
      <c r="M55" s="133">
        <f t="shared" si="5"/>
        <v>3.198</v>
      </c>
      <c r="N55" s="35" t="s">
        <v>33</v>
      </c>
      <c r="O55" s="35" t="s">
        <v>34</v>
      </c>
      <c r="P55" s="134" t="s">
        <v>74</v>
      </c>
      <c r="Q55" s="133" t="str">
        <f>VLOOKUP(P55,Hoja1!$A$6:$B$7,2,FALSE)</f>
        <v>A</v>
      </c>
      <c r="R55" s="138">
        <v>1077</v>
      </c>
      <c r="S55" s="35">
        <v>240</v>
      </c>
      <c r="T55" s="111">
        <f t="shared" si="11"/>
        <v>258480</v>
      </c>
      <c r="U55" s="37">
        <f t="shared" si="6"/>
        <v>208.32</v>
      </c>
      <c r="V55" s="141">
        <f t="shared" si="7"/>
        <v>335.18687999999997</v>
      </c>
      <c r="W55" s="34">
        <f t="shared" si="0"/>
        <v>12.885944700460831</v>
      </c>
      <c r="X55" s="34">
        <f t="shared" si="8"/>
        <v>11.931430278204472</v>
      </c>
      <c r="Y55" s="143">
        <f t="shared" si="9"/>
        <v>28.038861153780509</v>
      </c>
      <c r="Z55" s="37">
        <f t="shared" si="10"/>
        <v>38.410975185230981</v>
      </c>
      <c r="AA55" s="37"/>
      <c r="AB55" s="37"/>
      <c r="AC55" s="34">
        <f t="shared" si="1"/>
        <v>8.9605734767025087</v>
      </c>
      <c r="AD55" s="34">
        <f t="shared" si="2"/>
        <v>9.67741935483871</v>
      </c>
      <c r="AE55" s="33">
        <f t="shared" si="3"/>
        <v>10422.58064516129</v>
      </c>
      <c r="AF55" s="33">
        <f t="shared" si="4"/>
        <v>111.28999999999999</v>
      </c>
      <c r="AG55" s="122">
        <v>8.6999999999999993</v>
      </c>
      <c r="AH55" s="35">
        <v>13</v>
      </c>
      <c r="AI55" s="43">
        <v>11</v>
      </c>
      <c r="AJ55" s="44" t="s">
        <v>265</v>
      </c>
      <c r="AK55" s="44" t="str">
        <f>VLOOKUP(F55,Hoja1!$A$9:$D$15,2,TRUE)</f>
        <v>Midsize</v>
      </c>
      <c r="AL55" s="44">
        <v>15</v>
      </c>
      <c r="AM55" s="44" t="s">
        <v>37</v>
      </c>
      <c r="AN55" s="40" t="s">
        <v>38</v>
      </c>
    </row>
    <row r="56" spans="1:40" s="38" customFormat="1">
      <c r="A56" s="132">
        <v>155</v>
      </c>
      <c r="B56" s="134" t="s">
        <v>62</v>
      </c>
      <c r="C56" s="134" t="s">
        <v>100</v>
      </c>
      <c r="D56" s="35" t="s">
        <v>60</v>
      </c>
      <c r="E56" s="32" t="str">
        <f>VLOOKUP(D56,Hoja1!$B$17:$C$21,2,TRUE)</f>
        <v>T</v>
      </c>
      <c r="F56" s="35" t="s">
        <v>175</v>
      </c>
      <c r="G56" s="32">
        <f>VLOOKUP(F56,Hoja1!$A$9:$D$15,3,TRUE)</f>
        <v>110</v>
      </c>
      <c r="H56" s="32">
        <f>VLOOKUP(F56,Hoja1!$A$9:$D$15,4,TRUE)</f>
        <v>5751</v>
      </c>
      <c r="I56" s="35">
        <v>2019</v>
      </c>
      <c r="J56" s="134" t="s">
        <v>32</v>
      </c>
      <c r="K56" s="133" t="str">
        <f>VLOOKUP(J56,Hoja1!$A$2:$B$3,2,FALSE)</f>
        <v>G</v>
      </c>
      <c r="L56" s="134">
        <v>2260</v>
      </c>
      <c r="M56" s="133">
        <f t="shared" si="5"/>
        <v>2.2599999999999998</v>
      </c>
      <c r="N56" s="35" t="s">
        <v>33</v>
      </c>
      <c r="O56" s="35" t="s">
        <v>34</v>
      </c>
      <c r="P56" s="134" t="s">
        <v>74</v>
      </c>
      <c r="Q56" s="133" t="str">
        <f>VLOOKUP(P56,Hoja1!$A$6:$B$7,2,FALSE)</f>
        <v>A</v>
      </c>
      <c r="R56" s="138">
        <v>1070</v>
      </c>
      <c r="S56" s="59">
        <v>247</v>
      </c>
      <c r="T56" s="111">
        <f t="shared" si="11"/>
        <v>264290</v>
      </c>
      <c r="U56" s="37">
        <f t="shared" si="6"/>
        <v>227.92859999999999</v>
      </c>
      <c r="V56" s="141">
        <f t="shared" si="7"/>
        <v>366.73711739999999</v>
      </c>
      <c r="W56" s="34">
        <f t="shared" si="0"/>
        <v>10.252596646493684</v>
      </c>
      <c r="X56" s="34">
        <f t="shared" si="8"/>
        <v>10.252596646493684</v>
      </c>
      <c r="Y56" s="143">
        <f t="shared" si="9"/>
        <v>24.093602119260158</v>
      </c>
      <c r="Z56" s="37">
        <f t="shared" si="10"/>
        <v>44.410129905177357</v>
      </c>
      <c r="AA56" s="37"/>
      <c r="AB56" s="37"/>
      <c r="AC56" s="34">
        <f t="shared" si="1"/>
        <v>10.646551724137931</v>
      </c>
      <c r="AD56" s="34">
        <f t="shared" si="2"/>
        <v>10.646551724137931</v>
      </c>
      <c r="AE56" s="33">
        <f t="shared" si="3"/>
        <v>11391.810344827585</v>
      </c>
      <c r="AF56" s="33">
        <f t="shared" si="4"/>
        <v>100.50202429149797</v>
      </c>
      <c r="AG56" s="122">
        <v>7</v>
      </c>
      <c r="AH56" s="35">
        <v>11.7</v>
      </c>
      <c r="AI56" s="43">
        <v>9.4</v>
      </c>
      <c r="AJ56" s="44" t="s">
        <v>258</v>
      </c>
      <c r="AK56" s="44" t="str">
        <f>VLOOKUP(F56,Hoja1!$A$9:$D$15,2,TRUE)</f>
        <v>Executive</v>
      </c>
      <c r="AL56" s="44">
        <v>11</v>
      </c>
      <c r="AM56" s="44" t="s">
        <v>37</v>
      </c>
      <c r="AN56" s="40" t="s">
        <v>38</v>
      </c>
    </row>
    <row r="57" spans="1:40" s="38" customFormat="1">
      <c r="A57" s="132">
        <v>156</v>
      </c>
      <c r="B57" s="134" t="s">
        <v>102</v>
      </c>
      <c r="C57" s="134" t="s">
        <v>328</v>
      </c>
      <c r="D57" s="35" t="s">
        <v>30</v>
      </c>
      <c r="E57" s="32" t="str">
        <f>VLOOKUP(D57,Hoja1!$B$17:$C$21,2,TRUE)</f>
        <v>C</v>
      </c>
      <c r="F57" s="35" t="s">
        <v>31</v>
      </c>
      <c r="G57" s="32">
        <f>VLOOKUP(F57,Hoja1!$A$9:$D$15,3,TRUE)</f>
        <v>90</v>
      </c>
      <c r="H57" s="32">
        <f>VLOOKUP(F57,Hoja1!$A$9:$D$15,4,TRUE)</f>
        <v>4250</v>
      </c>
      <c r="I57" s="35">
        <v>2019</v>
      </c>
      <c r="J57" s="134" t="s">
        <v>32</v>
      </c>
      <c r="K57" s="133" t="str">
        <f>VLOOKUP(J57,Hoja1!$A$2:$B$3,2,FALSE)</f>
        <v>G</v>
      </c>
      <c r="L57" s="134">
        <v>1798</v>
      </c>
      <c r="M57" s="133">
        <f t="shared" si="5"/>
        <v>1.798</v>
      </c>
      <c r="N57" s="35" t="s">
        <v>33</v>
      </c>
      <c r="O57" s="35" t="s">
        <v>34</v>
      </c>
      <c r="P57" s="134" t="s">
        <v>35</v>
      </c>
      <c r="Q57" s="133" t="str">
        <f>VLOOKUP(P57,Hoja1!$A$6:$B$7,2,FALSE)</f>
        <v>M</v>
      </c>
      <c r="R57" s="138">
        <v>1070</v>
      </c>
      <c r="S57" s="35">
        <v>165</v>
      </c>
      <c r="T57" s="111">
        <f t="shared" si="11"/>
        <v>176550</v>
      </c>
      <c r="U57" s="37">
        <f t="shared" si="6"/>
        <v>156.93299999999999</v>
      </c>
      <c r="V57" s="141">
        <f t="shared" si="7"/>
        <v>252.50519699999998</v>
      </c>
      <c r="W57" s="34">
        <f t="shared" si="0"/>
        <v>14.890813277003563</v>
      </c>
      <c r="X57" s="34">
        <f t="shared" si="8"/>
        <v>14.890813277003563</v>
      </c>
      <c r="Y57" s="143">
        <f t="shared" si="9"/>
        <v>34.993411200958377</v>
      </c>
      <c r="Z57" s="37">
        <f t="shared" si="10"/>
        <v>30.577184769305816</v>
      </c>
      <c r="AA57" s="37"/>
      <c r="AB57" s="37"/>
      <c r="AC57" s="34">
        <f t="shared" si="1"/>
        <v>7.112068965517242</v>
      </c>
      <c r="AD57" s="34">
        <f t="shared" si="2"/>
        <v>7.112068965517242</v>
      </c>
      <c r="AE57" s="33">
        <f t="shared" si="3"/>
        <v>7609.9137931034493</v>
      </c>
      <c r="AF57" s="33">
        <f t="shared" si="4"/>
        <v>150.44848484848484</v>
      </c>
      <c r="AG57" s="122">
        <v>10.9</v>
      </c>
      <c r="AH57" s="35">
        <v>17.8</v>
      </c>
      <c r="AI57" s="43">
        <v>14.4</v>
      </c>
      <c r="AJ57" s="44" t="s">
        <v>329</v>
      </c>
      <c r="AK57" s="44" t="str">
        <f>VLOOKUP(F57,Hoja1!$A$9:$D$15,2,TRUE)</f>
        <v>Midsize</v>
      </c>
      <c r="AL57" s="44">
        <v>3</v>
      </c>
      <c r="AM57" s="44" t="s">
        <v>318</v>
      </c>
      <c r="AN57" s="40" t="s">
        <v>38</v>
      </c>
    </row>
    <row r="58" spans="1:40" s="38" customFormat="1">
      <c r="A58" s="132">
        <v>157</v>
      </c>
      <c r="B58" s="134" t="s">
        <v>50</v>
      </c>
      <c r="C58" s="134" t="s">
        <v>98</v>
      </c>
      <c r="D58" s="35" t="s">
        <v>60</v>
      </c>
      <c r="E58" s="32" t="str">
        <f>VLOOKUP(D58,Hoja1!$B$17:$C$21,2,TRUE)</f>
        <v>T</v>
      </c>
      <c r="F58" s="35" t="s">
        <v>31</v>
      </c>
      <c r="G58" s="32">
        <f>VLOOKUP(F58,Hoja1!$A$9:$D$15,3,TRUE)</f>
        <v>90</v>
      </c>
      <c r="H58" s="32">
        <f>VLOOKUP(F58,Hoja1!$A$9:$D$15,4,TRUE)</f>
        <v>4250</v>
      </c>
      <c r="I58" s="35">
        <v>2019</v>
      </c>
      <c r="J58" s="134" t="s">
        <v>32</v>
      </c>
      <c r="K58" s="133" t="str">
        <f>VLOOKUP(J58,Hoja1!$A$2:$B$3,2,FALSE)</f>
        <v>G</v>
      </c>
      <c r="L58" s="134">
        <v>1998</v>
      </c>
      <c r="M58" s="133">
        <f t="shared" si="5"/>
        <v>1.998</v>
      </c>
      <c r="N58" s="35" t="s">
        <v>33</v>
      </c>
      <c r="O58" s="35" t="s">
        <v>34</v>
      </c>
      <c r="P58" s="134" t="s">
        <v>35</v>
      </c>
      <c r="Q58" s="133" t="str">
        <f>VLOOKUP(P58,Hoja1!$A$6:$B$7,2,FALSE)</f>
        <v>M</v>
      </c>
      <c r="R58" s="138">
        <v>1042</v>
      </c>
      <c r="S58" s="59">
        <v>173</v>
      </c>
      <c r="T58" s="111">
        <f t="shared" si="11"/>
        <v>180266</v>
      </c>
      <c r="U58" s="37">
        <f t="shared" si="6"/>
        <v>163.85939999999999</v>
      </c>
      <c r="V58" s="141">
        <f t="shared" si="7"/>
        <v>263.6497746</v>
      </c>
      <c r="W58" s="34">
        <f t="shared" si="0"/>
        <v>14.261372859903064</v>
      </c>
      <c r="X58" s="34">
        <f t="shared" si="8"/>
        <v>14.261372859903064</v>
      </c>
      <c r="Y58" s="143">
        <f t="shared" si="9"/>
        <v>33.514226220772201</v>
      </c>
      <c r="Z58" s="37">
        <f t="shared" si="10"/>
        <v>31.091274288593475</v>
      </c>
      <c r="AA58" s="37"/>
      <c r="AB58" s="37"/>
      <c r="AC58" s="34">
        <f t="shared" si="1"/>
        <v>7.4568965517241379</v>
      </c>
      <c r="AD58" s="34">
        <f t="shared" si="2"/>
        <v>7.4568965517241379</v>
      </c>
      <c r="AE58" s="33">
        <f t="shared" si="3"/>
        <v>7770.0862068965516</v>
      </c>
      <c r="AF58" s="33">
        <f t="shared" si="4"/>
        <v>139.73641618497109</v>
      </c>
      <c r="AG58" s="122">
        <v>11</v>
      </c>
      <c r="AH58" s="35">
        <v>16.100000000000001</v>
      </c>
      <c r="AI58" s="127">
        <v>13.7</v>
      </c>
      <c r="AJ58" s="44" t="s">
        <v>252</v>
      </c>
      <c r="AK58" s="44" t="str">
        <f>VLOOKUP(F58,Hoja1!$A$9:$D$15,2,TRUE)</f>
        <v>Midsize</v>
      </c>
      <c r="AL58" s="44">
        <v>7</v>
      </c>
      <c r="AM58" s="44" t="s">
        <v>37</v>
      </c>
      <c r="AN58" s="40" t="s">
        <v>38</v>
      </c>
    </row>
    <row r="59" spans="1:40" s="38" customFormat="1">
      <c r="A59" s="132">
        <v>158</v>
      </c>
      <c r="B59" s="134" t="s">
        <v>90</v>
      </c>
      <c r="C59" s="134" t="s">
        <v>241</v>
      </c>
      <c r="D59" s="35" t="s">
        <v>30</v>
      </c>
      <c r="E59" s="32" t="str">
        <f>VLOOKUP(D59,Hoja1!$B$17:$C$21,2,TRUE)</f>
        <v>C</v>
      </c>
      <c r="F59" s="35" t="s">
        <v>31</v>
      </c>
      <c r="G59" s="32">
        <f>VLOOKUP(F59,Hoja1!$A$9:$D$15,3,TRUE)</f>
        <v>90</v>
      </c>
      <c r="H59" s="32">
        <f>VLOOKUP(F59,Hoja1!$A$9:$D$15,4,TRUE)</f>
        <v>4250</v>
      </c>
      <c r="I59" s="35">
        <v>2019</v>
      </c>
      <c r="J59" s="134" t="s">
        <v>32</v>
      </c>
      <c r="K59" s="133" t="str">
        <f>VLOOKUP(J59,Hoja1!$A$2:$B$3,2,FALSE)</f>
        <v>G</v>
      </c>
      <c r="L59" s="134">
        <v>1598</v>
      </c>
      <c r="M59" s="133">
        <f t="shared" si="5"/>
        <v>1.5980000000000001</v>
      </c>
      <c r="N59" s="35" t="s">
        <v>33</v>
      </c>
      <c r="O59" s="35" t="s">
        <v>34</v>
      </c>
      <c r="P59" s="134" t="s">
        <v>35</v>
      </c>
      <c r="Q59" s="133" t="str">
        <f>VLOOKUP(P59,Hoja1!$A$6:$B$7,2,FALSE)</f>
        <v>M</v>
      </c>
      <c r="R59" s="138">
        <v>1033</v>
      </c>
      <c r="S59" s="59">
        <v>164</v>
      </c>
      <c r="T59" s="111">
        <f t="shared" si="11"/>
        <v>169412</v>
      </c>
      <c r="U59" s="37">
        <f t="shared" si="6"/>
        <v>156.06719999999999</v>
      </c>
      <c r="V59" s="141">
        <f t="shared" si="7"/>
        <v>251.11212479999998</v>
      </c>
      <c r="W59" s="34">
        <f t="shared" si="0"/>
        <v>14.973421705521726</v>
      </c>
      <c r="X59" s="34">
        <f t="shared" si="8"/>
        <v>14.973421705521726</v>
      </c>
      <c r="Y59" s="143">
        <f t="shared" si="9"/>
        <v>35.187541007976058</v>
      </c>
      <c r="Z59" s="37">
        <f t="shared" si="10"/>
        <v>29.356981772777104</v>
      </c>
      <c r="AA59" s="37"/>
      <c r="AB59" s="37"/>
      <c r="AC59" s="34">
        <f t="shared" si="1"/>
        <v>7.0689655172413799</v>
      </c>
      <c r="AD59" s="34">
        <f t="shared" si="2"/>
        <v>7.0689655172413799</v>
      </c>
      <c r="AE59" s="33">
        <f t="shared" si="3"/>
        <v>7302.2413793103451</v>
      </c>
      <c r="AF59" s="33">
        <f t="shared" si="4"/>
        <v>146.13170731707316</v>
      </c>
      <c r="AG59" s="122">
        <v>10.8</v>
      </c>
      <c r="AH59" s="35">
        <v>18</v>
      </c>
      <c r="AI59" s="127">
        <v>14.4</v>
      </c>
      <c r="AJ59" s="44" t="s">
        <v>128</v>
      </c>
      <c r="AK59" s="44" t="str">
        <f>VLOOKUP(F59,Hoja1!$A$9:$D$15,2,TRUE)</f>
        <v>Midsize</v>
      </c>
      <c r="AL59" s="44">
        <v>3</v>
      </c>
      <c r="AM59" s="44" t="s">
        <v>37</v>
      </c>
      <c r="AN59" s="40" t="s">
        <v>38</v>
      </c>
    </row>
    <row r="60" spans="1:40" s="38" customFormat="1">
      <c r="A60" s="132">
        <v>159</v>
      </c>
      <c r="B60" s="134" t="s">
        <v>28</v>
      </c>
      <c r="C60" s="134" t="s">
        <v>247</v>
      </c>
      <c r="D60" s="35" t="s">
        <v>60</v>
      </c>
      <c r="E60" s="32" t="str">
        <f>VLOOKUP(D60,Hoja1!$B$17:$C$21,2,TRUE)</f>
        <v>T</v>
      </c>
      <c r="F60" s="35" t="s">
        <v>147</v>
      </c>
      <c r="G60" s="32">
        <f>VLOOKUP(F60,Hoja1!$A$9:$D$15,3,TRUE)</f>
        <v>100</v>
      </c>
      <c r="H60" s="32">
        <f>VLOOKUP(F60,Hoja1!$A$9:$D$15,4,TRUE)</f>
        <v>5250</v>
      </c>
      <c r="I60" s="35">
        <v>2019</v>
      </c>
      <c r="J60" s="134" t="s">
        <v>32</v>
      </c>
      <c r="K60" s="133" t="str">
        <f>VLOOKUP(J60,Hoja1!$A$2:$B$3,2,FALSE)</f>
        <v>G</v>
      </c>
      <c r="L60" s="134">
        <v>1490</v>
      </c>
      <c r="M60" s="133">
        <f t="shared" si="5"/>
        <v>1.49</v>
      </c>
      <c r="N60" s="35" t="s">
        <v>33</v>
      </c>
      <c r="O60" s="35" t="s">
        <v>34</v>
      </c>
      <c r="P60" s="134" t="s">
        <v>74</v>
      </c>
      <c r="Q60" s="133" t="str">
        <f>VLOOKUP(P60,Hoja1!$A$6:$B$7,2,FALSE)</f>
        <v>A</v>
      </c>
      <c r="R60" s="138">
        <v>1032</v>
      </c>
      <c r="S60" s="35">
        <v>185</v>
      </c>
      <c r="T60" s="111">
        <f t="shared" si="11"/>
        <v>190920</v>
      </c>
      <c r="U60" s="37">
        <f t="shared" si="6"/>
        <v>174.249</v>
      </c>
      <c r="V60" s="141">
        <f t="shared" si="7"/>
        <v>280.36664100000002</v>
      </c>
      <c r="W60" s="34">
        <f t="shared" si="0"/>
        <v>13.411038226905177</v>
      </c>
      <c r="X60" s="34">
        <f t="shared" si="8"/>
        <v>13.411038226905177</v>
      </c>
      <c r="Y60" s="143">
        <f t="shared" si="9"/>
        <v>31.515939833227169</v>
      </c>
      <c r="Z60" s="37">
        <f t="shared" si="10"/>
        <v>32.745334756349713</v>
      </c>
      <c r="AA60" s="37"/>
      <c r="AB60" s="37"/>
      <c r="AC60" s="34">
        <f t="shared" si="1"/>
        <v>7.9741379310344831</v>
      </c>
      <c r="AD60" s="34">
        <f t="shared" si="2"/>
        <v>7.9741379310344831</v>
      </c>
      <c r="AE60" s="33">
        <f t="shared" si="3"/>
        <v>8229.310344827587</v>
      </c>
      <c r="AF60" s="33">
        <f t="shared" si="4"/>
        <v>129.41837837837838</v>
      </c>
      <c r="AG60" s="122">
        <v>9.6999999999999993</v>
      </c>
      <c r="AH60" s="35">
        <v>15.7</v>
      </c>
      <c r="AI60" s="43">
        <v>12.8</v>
      </c>
      <c r="AJ60" s="44" t="s">
        <v>248</v>
      </c>
      <c r="AK60" s="44" t="str">
        <f>VLOOKUP(F60,Hoja1!$A$9:$D$15,2,TRUE)</f>
        <v>Large</v>
      </c>
      <c r="AL60" s="44">
        <v>11</v>
      </c>
      <c r="AM60" s="44" t="s">
        <v>37</v>
      </c>
      <c r="AN60" s="40" t="s">
        <v>38</v>
      </c>
    </row>
    <row r="61" spans="1:40" s="38" customFormat="1">
      <c r="A61" s="132">
        <v>160</v>
      </c>
      <c r="B61" s="134" t="s">
        <v>151</v>
      </c>
      <c r="C61" s="134" t="s">
        <v>177</v>
      </c>
      <c r="D61" s="35" t="s">
        <v>30</v>
      </c>
      <c r="E61" s="32" t="str">
        <f>VLOOKUP(D61,Hoja1!$B$17:$C$21,2,TRUE)</f>
        <v>C</v>
      </c>
      <c r="F61" s="35" t="s">
        <v>313</v>
      </c>
      <c r="G61" s="32">
        <f>VLOOKUP(F61,Hoja1!$A$9:$D$15,3,TRUE)</f>
        <v>90</v>
      </c>
      <c r="H61" s="32">
        <f>VLOOKUP(F61,Hoja1!$A$9:$D$15,4,TRUE)</f>
        <v>4250</v>
      </c>
      <c r="I61" s="35">
        <v>2019</v>
      </c>
      <c r="J61" s="134" t="s">
        <v>32</v>
      </c>
      <c r="K61" s="133" t="str">
        <f>VLOOKUP(J61,Hoja1!$A$2:$B$3,2,FALSE)</f>
        <v>G</v>
      </c>
      <c r="L61" s="134">
        <v>1591</v>
      </c>
      <c r="M61" s="133">
        <f t="shared" si="5"/>
        <v>1.591</v>
      </c>
      <c r="N61" s="35" t="s">
        <v>33</v>
      </c>
      <c r="O61" s="35" t="s">
        <v>34</v>
      </c>
      <c r="P61" s="134" t="s">
        <v>35</v>
      </c>
      <c r="Q61" s="133" t="str">
        <f>VLOOKUP(P61,Hoja1!$A$6:$B$7,2,FALSE)</f>
        <v>M</v>
      </c>
      <c r="R61" s="138">
        <v>984</v>
      </c>
      <c r="S61" s="35">
        <v>158</v>
      </c>
      <c r="T61" s="111">
        <f t="shared" si="11"/>
        <v>155472</v>
      </c>
      <c r="U61" s="37">
        <f t="shared" si="6"/>
        <v>150.8724</v>
      </c>
      <c r="V61" s="141">
        <f t="shared" si="7"/>
        <v>242.7536916</v>
      </c>
      <c r="W61" s="34">
        <f t="shared" si="0"/>
        <v>15.488982743033187</v>
      </c>
      <c r="X61" s="34">
        <f t="shared" si="8"/>
        <v>15.488982743033187</v>
      </c>
      <c r="Y61" s="143">
        <f t="shared" si="9"/>
        <v>36.399109446127994</v>
      </c>
      <c r="Z61" s="37">
        <f t="shared" si="10"/>
        <v>27.033628431386646</v>
      </c>
      <c r="AA61" s="37"/>
      <c r="AB61" s="37"/>
      <c r="AC61" s="34">
        <f t="shared" si="1"/>
        <v>6.8103448275862073</v>
      </c>
      <c r="AD61" s="34">
        <f t="shared" si="2"/>
        <v>6.8103448275862073</v>
      </c>
      <c r="AE61" s="33">
        <f t="shared" si="3"/>
        <v>6701.3793103448279</v>
      </c>
      <c r="AF61" s="33">
        <f t="shared" si="4"/>
        <v>144.48607594936709</v>
      </c>
      <c r="AG61" s="122">
        <v>11.3</v>
      </c>
      <c r="AH61" s="35">
        <v>18.600000000000001</v>
      </c>
      <c r="AI61" s="43">
        <v>15</v>
      </c>
      <c r="AJ61" s="44" t="s">
        <v>330</v>
      </c>
      <c r="AK61" s="44" t="str">
        <f>VLOOKUP(F61,Hoja1!$A$9:$D$15,2,TRUE)</f>
        <v>Midsize</v>
      </c>
      <c r="AL61" s="44">
        <v>3</v>
      </c>
      <c r="AM61" s="44" t="s">
        <v>318</v>
      </c>
      <c r="AN61" s="40" t="s">
        <v>331</v>
      </c>
    </row>
    <row r="62" spans="1:40" s="38" customFormat="1">
      <c r="A62" s="132">
        <v>161</v>
      </c>
      <c r="B62" s="134" t="s">
        <v>135</v>
      </c>
      <c r="C62" s="134" t="s">
        <v>266</v>
      </c>
      <c r="D62" s="35" t="s">
        <v>94</v>
      </c>
      <c r="E62" s="32" t="str">
        <f>VLOOKUP(D62,Hoja1!$B$17:$C$21,2,TRUE)</f>
        <v>T</v>
      </c>
      <c r="F62" s="35" t="s">
        <v>313</v>
      </c>
      <c r="G62" s="32">
        <f>VLOOKUP(F62,Hoja1!$A$9:$D$15,3,TRUE)</f>
        <v>90</v>
      </c>
      <c r="H62" s="32">
        <f>VLOOKUP(F62,Hoja1!$A$9:$D$15,4,TRUE)</f>
        <v>4250</v>
      </c>
      <c r="I62" s="35">
        <v>2019</v>
      </c>
      <c r="J62" s="134" t="s">
        <v>32</v>
      </c>
      <c r="K62" s="133" t="str">
        <f>VLOOKUP(J62,Hoja1!$A$2:$B$3,2,FALSE)</f>
        <v>G</v>
      </c>
      <c r="L62" s="134">
        <v>2393</v>
      </c>
      <c r="M62" s="133">
        <f t="shared" si="5"/>
        <v>2.3929999999999998</v>
      </c>
      <c r="N62" s="35" t="s">
        <v>33</v>
      </c>
      <c r="O62" s="35" t="s">
        <v>34</v>
      </c>
      <c r="P62" s="134" t="s">
        <v>35</v>
      </c>
      <c r="Q62" s="133" t="str">
        <f>VLOOKUP(P62,Hoja1!$A$6:$B$7,2,FALSE)</f>
        <v>M</v>
      </c>
      <c r="R62" s="138">
        <v>979</v>
      </c>
      <c r="S62" s="35">
        <v>217</v>
      </c>
      <c r="T62" s="111">
        <f t="shared" si="11"/>
        <v>212443</v>
      </c>
      <c r="U62" s="37">
        <f t="shared" si="6"/>
        <v>201.9546</v>
      </c>
      <c r="V62" s="141">
        <f t="shared" si="7"/>
        <v>324.94495139999998</v>
      </c>
      <c r="W62" s="34">
        <f t="shared" si="0"/>
        <v>11.571214520491241</v>
      </c>
      <c r="X62" s="34">
        <f t="shared" si="8"/>
        <v>11.571214520491241</v>
      </c>
      <c r="Y62" s="143">
        <f t="shared" si="9"/>
        <v>27.192354123154416</v>
      </c>
      <c r="Z62" s="37">
        <f t="shared" si="10"/>
        <v>36.00276737961341</v>
      </c>
      <c r="AA62" s="37"/>
      <c r="AB62" s="37"/>
      <c r="AC62" s="34">
        <f t="shared" si="1"/>
        <v>9.3534482758620694</v>
      </c>
      <c r="AD62" s="34">
        <f t="shared" si="2"/>
        <v>9.3534482758620694</v>
      </c>
      <c r="AE62" s="33">
        <f t="shared" si="3"/>
        <v>9157.0258620689656</v>
      </c>
      <c r="AF62" s="33">
        <f t="shared" si="4"/>
        <v>104.66728110599078</v>
      </c>
      <c r="AG62" s="122">
        <v>8.4</v>
      </c>
      <c r="AH62" s="35">
        <v>13.4</v>
      </c>
      <c r="AI62" s="43">
        <v>11</v>
      </c>
      <c r="AJ62" s="44" t="s">
        <v>158</v>
      </c>
      <c r="AK62" s="44" t="str">
        <f>VLOOKUP(F62,Hoja1!$A$9:$D$15,2,TRUE)</f>
        <v>Midsize</v>
      </c>
      <c r="AL62" s="44">
        <v>7</v>
      </c>
      <c r="AM62" s="44" t="s">
        <v>37</v>
      </c>
      <c r="AN62" s="40" t="s">
        <v>38</v>
      </c>
    </row>
    <row r="63" spans="1:40" s="38" customFormat="1">
      <c r="A63" s="132">
        <v>162</v>
      </c>
      <c r="B63" s="134" t="s">
        <v>190</v>
      </c>
      <c r="C63" s="134" t="s">
        <v>332</v>
      </c>
      <c r="D63" s="35" t="s">
        <v>60</v>
      </c>
      <c r="E63" s="32" t="str">
        <f>VLOOKUP(D63,Hoja1!$B$17:$C$21,2,TRUE)</f>
        <v>T</v>
      </c>
      <c r="F63" s="35" t="s">
        <v>31</v>
      </c>
      <c r="G63" s="32">
        <f>VLOOKUP(F63,Hoja1!$A$9:$D$15,3,TRUE)</f>
        <v>90</v>
      </c>
      <c r="H63" s="32">
        <f>VLOOKUP(F63,Hoja1!$A$9:$D$15,4,TRUE)</f>
        <v>4250</v>
      </c>
      <c r="I63" s="35">
        <v>2019</v>
      </c>
      <c r="J63" s="134" t="s">
        <v>32</v>
      </c>
      <c r="K63" s="133" t="str">
        <f>VLOOKUP(J63,Hoja1!$A$2:$B$3,2,FALSE)</f>
        <v>G</v>
      </c>
      <c r="L63" s="134">
        <v>2356</v>
      </c>
      <c r="M63" s="133">
        <f t="shared" si="5"/>
        <v>2.3559999999999999</v>
      </c>
      <c r="N63" s="35" t="s">
        <v>33</v>
      </c>
      <c r="O63" s="35" t="s">
        <v>34</v>
      </c>
      <c r="P63" s="134" t="s">
        <v>74</v>
      </c>
      <c r="Q63" s="133" t="str">
        <f>VLOOKUP(P63,Hoja1!$A$6:$B$7,2,FALSE)</f>
        <v>A</v>
      </c>
      <c r="R63" s="138">
        <v>946</v>
      </c>
      <c r="S63" s="35">
        <v>180</v>
      </c>
      <c r="T63" s="111">
        <f t="shared" si="11"/>
        <v>170280</v>
      </c>
      <c r="U63" s="37">
        <f t="shared" si="6"/>
        <v>169.92</v>
      </c>
      <c r="V63" s="141">
        <f t="shared" si="7"/>
        <v>273.40127999999999</v>
      </c>
      <c r="W63" s="34">
        <f t="shared" si="0"/>
        <v>13.752707156308853</v>
      </c>
      <c r="X63" s="34">
        <f t="shared" si="8"/>
        <v>13.752707156308853</v>
      </c>
      <c r="Y63" s="143">
        <f t="shared" si="9"/>
        <v>32.318861817325804</v>
      </c>
      <c r="Z63" s="37">
        <f t="shared" si="10"/>
        <v>29.270832783252885</v>
      </c>
      <c r="AA63" s="37"/>
      <c r="AB63" s="37"/>
      <c r="AC63" s="34">
        <f t="shared" si="1"/>
        <v>7.7586206896551726</v>
      </c>
      <c r="AD63" s="34">
        <f t="shared" si="2"/>
        <v>7.7586206896551726</v>
      </c>
      <c r="AE63" s="33">
        <f t="shared" si="3"/>
        <v>7339.6551724137935</v>
      </c>
      <c r="AF63" s="33">
        <f t="shared" si="4"/>
        <v>121.92888888888889</v>
      </c>
      <c r="AG63" s="122">
        <v>9.9</v>
      </c>
      <c r="AH63" s="35">
        <v>16.3</v>
      </c>
      <c r="AI63" s="43">
        <v>13.2</v>
      </c>
      <c r="AJ63" s="44" t="s">
        <v>191</v>
      </c>
      <c r="AK63" s="44" t="str">
        <f>VLOOKUP(F63,Hoja1!$A$9:$D$15,2,TRUE)</f>
        <v>Midsize</v>
      </c>
      <c r="AL63" s="44">
        <v>7</v>
      </c>
      <c r="AM63" s="44" t="s">
        <v>37</v>
      </c>
      <c r="AN63" s="40" t="s">
        <v>181</v>
      </c>
    </row>
    <row r="64" spans="1:40" s="38" customFormat="1">
      <c r="A64" s="132">
        <v>163</v>
      </c>
      <c r="B64" s="134" t="s">
        <v>102</v>
      </c>
      <c r="C64" s="134" t="s">
        <v>328</v>
      </c>
      <c r="D64" s="35" t="s">
        <v>30</v>
      </c>
      <c r="E64" s="32" t="str">
        <f>VLOOKUP(D64,Hoja1!$B$17:$C$21,2,TRUE)</f>
        <v>C</v>
      </c>
      <c r="F64" s="35" t="s">
        <v>31</v>
      </c>
      <c r="G64" s="32">
        <f>VLOOKUP(F64,Hoja1!$A$9:$D$15,3,TRUE)</f>
        <v>90</v>
      </c>
      <c r="H64" s="32">
        <f>VLOOKUP(F64,Hoja1!$A$9:$D$15,4,TRUE)</f>
        <v>4250</v>
      </c>
      <c r="I64" s="35">
        <v>2019</v>
      </c>
      <c r="J64" s="134" t="s">
        <v>32</v>
      </c>
      <c r="K64" s="133" t="str">
        <f>VLOOKUP(J64,Hoja1!$A$2:$B$3,2,FALSE)</f>
        <v>G</v>
      </c>
      <c r="L64" s="134">
        <v>1798</v>
      </c>
      <c r="M64" s="133">
        <f t="shared" si="5"/>
        <v>1.798</v>
      </c>
      <c r="N64" s="35" t="s">
        <v>33</v>
      </c>
      <c r="O64" s="35" t="s">
        <v>34</v>
      </c>
      <c r="P64" s="134" t="s">
        <v>74</v>
      </c>
      <c r="Q64" s="133" t="str">
        <f>VLOOKUP(P64,Hoja1!$A$6:$B$7,2,FALSE)</f>
        <v>A</v>
      </c>
      <c r="R64" s="138">
        <v>946</v>
      </c>
      <c r="S64" s="35">
        <v>157</v>
      </c>
      <c r="T64" s="111">
        <f t="shared" si="11"/>
        <v>148522</v>
      </c>
      <c r="U64" s="37">
        <f t="shared" si="6"/>
        <v>150.00659999999999</v>
      </c>
      <c r="V64" s="141">
        <f t="shared" si="7"/>
        <v>241.36061939999999</v>
      </c>
      <c r="W64" s="34">
        <f t="shared" si="0"/>
        <v>15.578381217893082</v>
      </c>
      <c r="X64" s="34">
        <f t="shared" si="8"/>
        <v>15.578381217893082</v>
      </c>
      <c r="Y64" s="143">
        <f t="shared" si="9"/>
        <v>36.609195862048743</v>
      </c>
      <c r="Z64" s="37">
        <f t="shared" si="10"/>
        <v>25.840502030274845</v>
      </c>
      <c r="AA64" s="37"/>
      <c r="AB64" s="37"/>
      <c r="AC64" s="34">
        <f t="shared" si="1"/>
        <v>6.7672413793103452</v>
      </c>
      <c r="AD64" s="34">
        <f t="shared" si="2"/>
        <v>6.7672413793103452</v>
      </c>
      <c r="AE64" s="33">
        <f t="shared" si="3"/>
        <v>6401.810344827587</v>
      </c>
      <c r="AF64" s="33">
        <f t="shared" si="4"/>
        <v>139.79108280254778</v>
      </c>
      <c r="AG64" s="122">
        <v>11.3</v>
      </c>
      <c r="AH64" s="35">
        <v>19</v>
      </c>
      <c r="AI64" s="43">
        <v>15.2</v>
      </c>
      <c r="AJ64" s="44" t="s">
        <v>333</v>
      </c>
      <c r="AK64" s="44" t="str">
        <f>VLOOKUP(F64,Hoja1!$A$9:$D$15,2,TRUE)</f>
        <v>Midsize</v>
      </c>
      <c r="AL64" s="44">
        <v>3</v>
      </c>
      <c r="AM64" s="44" t="s">
        <v>318</v>
      </c>
      <c r="AN64" s="40" t="s">
        <v>38</v>
      </c>
    </row>
    <row r="65" spans="1:40" s="38" customFormat="1">
      <c r="A65" s="132">
        <v>164</v>
      </c>
      <c r="B65" s="134" t="s">
        <v>50</v>
      </c>
      <c r="C65" s="134" t="s">
        <v>119</v>
      </c>
      <c r="D65" s="35" t="s">
        <v>60</v>
      </c>
      <c r="E65" s="32" t="str">
        <f>VLOOKUP(D65,Hoja1!$B$17:$C$21,2,TRUE)</f>
        <v>T</v>
      </c>
      <c r="F65" s="35" t="s">
        <v>40</v>
      </c>
      <c r="G65" s="32">
        <f>VLOOKUP(F65,Hoja1!$A$9:$D$15,3,TRUE)</f>
        <v>80</v>
      </c>
      <c r="H65" s="32">
        <f>VLOOKUP(F65,Hoja1!$A$9:$D$15,4,TRUE)</f>
        <v>3500</v>
      </c>
      <c r="I65" s="35">
        <v>2019</v>
      </c>
      <c r="J65" s="134" t="s">
        <v>32</v>
      </c>
      <c r="K65" s="133" t="str">
        <f>VLOOKUP(J65,Hoja1!$A$2:$B$3,2,FALSE)</f>
        <v>G</v>
      </c>
      <c r="L65" s="134">
        <v>1998</v>
      </c>
      <c r="M65" s="133">
        <f t="shared" si="5"/>
        <v>1.998</v>
      </c>
      <c r="N65" s="35" t="s">
        <v>33</v>
      </c>
      <c r="O65" s="35" t="s">
        <v>34</v>
      </c>
      <c r="P65" s="134" t="s">
        <v>74</v>
      </c>
      <c r="Q65" s="133" t="str">
        <f>VLOOKUP(P65,Hoja1!$A$6:$B$7,2,FALSE)</f>
        <v>A</v>
      </c>
      <c r="R65" s="138">
        <v>899</v>
      </c>
      <c r="S65" s="35">
        <v>152</v>
      </c>
      <c r="T65" s="111">
        <f t="shared" si="11"/>
        <v>136648</v>
      </c>
      <c r="U65" s="37">
        <f t="shared" si="6"/>
        <v>145.67759999999998</v>
      </c>
      <c r="V65" s="141">
        <f t="shared" si="7"/>
        <v>234.39525839999996</v>
      </c>
      <c r="W65" s="34">
        <f t="shared" si="0"/>
        <v>16.041313146290168</v>
      </c>
      <c r="X65" s="34">
        <f t="shared" si="8"/>
        <v>16.041313146290168</v>
      </c>
      <c r="Y65" s="143">
        <f t="shared" si="9"/>
        <v>37.697085893781896</v>
      </c>
      <c r="Z65" s="37">
        <f t="shared" si="10"/>
        <v>23.847997230690165</v>
      </c>
      <c r="AA65" s="37"/>
      <c r="AB65" s="37"/>
      <c r="AC65" s="34">
        <f t="shared" si="1"/>
        <v>6.5517241379310347</v>
      </c>
      <c r="AD65" s="34">
        <f t="shared" si="2"/>
        <v>6.5517241379310347</v>
      </c>
      <c r="AE65" s="33">
        <f t="shared" si="3"/>
        <v>5890</v>
      </c>
      <c r="AF65" s="33">
        <f t="shared" si="4"/>
        <v>137.2157894736842</v>
      </c>
      <c r="AG65" s="122">
        <v>12.4</v>
      </c>
      <c r="AH65" s="35">
        <v>17.8</v>
      </c>
      <c r="AI65" s="43">
        <v>15.3</v>
      </c>
      <c r="AJ65" s="44" t="s">
        <v>334</v>
      </c>
      <c r="AK65" s="44" t="str">
        <f>VLOOKUP(F65,Hoja1!$A$9:$D$15,2,TRUE)</f>
        <v>Compact</v>
      </c>
      <c r="AL65" s="44">
        <v>2</v>
      </c>
      <c r="AM65" s="112" t="s">
        <v>318</v>
      </c>
      <c r="AN65" s="40" t="s">
        <v>38</v>
      </c>
    </row>
    <row r="66" spans="1:40" s="38" customFormat="1">
      <c r="A66" s="132">
        <v>165</v>
      </c>
      <c r="B66" s="134" t="s">
        <v>151</v>
      </c>
      <c r="C66" s="134" t="s">
        <v>335</v>
      </c>
      <c r="D66" s="35" t="s">
        <v>60</v>
      </c>
      <c r="E66" s="32" t="str">
        <f>VLOOKUP(D66,Hoja1!$B$17:$C$21,2,TRUE)</f>
        <v>T</v>
      </c>
      <c r="F66" s="35" t="s">
        <v>313</v>
      </c>
      <c r="G66" s="32">
        <f>VLOOKUP(F66,Hoja1!$A$9:$D$15,3,TRUE)</f>
        <v>90</v>
      </c>
      <c r="H66" s="32">
        <f>VLOOKUP(F66,Hoja1!$A$9:$D$15,4,TRUE)</f>
        <v>4250</v>
      </c>
      <c r="I66" s="35">
        <v>2019</v>
      </c>
      <c r="J66" s="134" t="s">
        <v>32</v>
      </c>
      <c r="K66" s="133" t="str">
        <f>VLOOKUP(J66,Hoja1!$A$2:$B$3,2,FALSE)</f>
        <v>G</v>
      </c>
      <c r="L66" s="134">
        <v>1999</v>
      </c>
      <c r="M66" s="133">
        <f t="shared" si="5"/>
        <v>1.9990000000000001</v>
      </c>
      <c r="N66" s="35" t="s">
        <v>33</v>
      </c>
      <c r="O66" s="35" t="s">
        <v>34</v>
      </c>
      <c r="P66" s="134" t="s">
        <v>74</v>
      </c>
      <c r="Q66" s="133" t="str">
        <f>VLOOKUP(P66,Hoja1!$A$6:$B$7,2,FALSE)</f>
        <v>A</v>
      </c>
      <c r="R66" s="138">
        <v>848</v>
      </c>
      <c r="S66" s="35">
        <v>189</v>
      </c>
      <c r="T66" s="111">
        <f t="shared" si="11"/>
        <v>160272</v>
      </c>
      <c r="U66" s="37">
        <f t="shared" si="6"/>
        <v>177.7122</v>
      </c>
      <c r="V66" s="141">
        <f t="shared" si="7"/>
        <v>285.93892979999998</v>
      </c>
      <c r="W66" s="34">
        <f t="shared" ref="W66:W127" si="12">IF(J66="GASOLINA",2336.86/U66,2684.4/U66)</f>
        <v>13.149688091194641</v>
      </c>
      <c r="X66" s="34">
        <f t="shared" si="8"/>
        <v>13.149688091194641</v>
      </c>
      <c r="Y66" s="143">
        <f t="shared" si="9"/>
        <v>30.901767014307406</v>
      </c>
      <c r="Z66" s="37">
        <f t="shared" si="10"/>
        <v>27.441796438610744</v>
      </c>
      <c r="AA66" s="37"/>
      <c r="AB66" s="37"/>
      <c r="AC66" s="34">
        <f t="shared" ref="AC66:AC127" si="13">IF(J66="GASOLINA",(S66/23.2),(S66/(1.08*24.8)))</f>
        <v>8.1465517241379306</v>
      </c>
      <c r="AD66" s="34">
        <f t="shared" ref="AD66:AD127" si="14">IF(J66="GASOLINA",AC66,AC66*1.08)</f>
        <v>8.1465517241379306</v>
      </c>
      <c r="AE66" s="33">
        <f t="shared" ref="AE66:AE127" si="15">AD66*R66</f>
        <v>6908.2758620689656</v>
      </c>
      <c r="AF66" s="33">
        <f t="shared" ref="AF66:AF127" si="16">R66/AD66</f>
        <v>104.0931216931217</v>
      </c>
      <c r="AG66" s="122">
        <v>8.8000000000000007</v>
      </c>
      <c r="AH66" s="35">
        <v>15.9</v>
      </c>
      <c r="AI66" s="43">
        <v>12.3</v>
      </c>
      <c r="AJ66" s="44" t="s">
        <v>336</v>
      </c>
      <c r="AK66" s="44" t="str">
        <f>VLOOKUP(F66,Hoja1!$A$9:$D$15,2,TRUE)</f>
        <v>Midsize</v>
      </c>
      <c r="AL66" s="44">
        <v>7</v>
      </c>
      <c r="AM66" s="112" t="s">
        <v>318</v>
      </c>
      <c r="AN66" s="40" t="s">
        <v>277</v>
      </c>
    </row>
    <row r="67" spans="1:40" s="38" customFormat="1">
      <c r="A67" s="132">
        <v>166</v>
      </c>
      <c r="B67" s="134" t="s">
        <v>28</v>
      </c>
      <c r="C67" s="134" t="s">
        <v>113</v>
      </c>
      <c r="D67" s="35" t="s">
        <v>114</v>
      </c>
      <c r="E67" s="32" t="str">
        <f>VLOOKUP(D67,Hoja1!$B$17:$C$21,2,TRUE)</f>
        <v>T</v>
      </c>
      <c r="F67" s="35" t="s">
        <v>115</v>
      </c>
      <c r="G67" s="32">
        <f>VLOOKUP(F67,Hoja1!$A$9:$D$15,3,TRUE)</f>
        <v>60</v>
      </c>
      <c r="H67" s="32">
        <f>VLOOKUP(F67,Hoja1!$A$9:$D$15,4,TRUE)</f>
        <v>2250</v>
      </c>
      <c r="I67" s="35">
        <v>2019</v>
      </c>
      <c r="J67" s="134" t="s">
        <v>32</v>
      </c>
      <c r="K67" s="133" t="str">
        <f>VLOOKUP(J67,Hoja1!$A$2:$B$3,2,FALSE)</f>
        <v>G</v>
      </c>
      <c r="L67" s="134">
        <v>1206</v>
      </c>
      <c r="M67" s="133">
        <f t="shared" ref="M67:M127" si="17">L67/1000</f>
        <v>1.206</v>
      </c>
      <c r="N67" s="35" t="s">
        <v>33</v>
      </c>
      <c r="O67" s="35" t="s">
        <v>34</v>
      </c>
      <c r="P67" s="134" t="s">
        <v>35</v>
      </c>
      <c r="Q67" s="133" t="str">
        <f>VLOOKUP(P67,Hoja1!$A$6:$B$7,2,FALSE)</f>
        <v>M</v>
      </c>
      <c r="R67" s="138">
        <v>815</v>
      </c>
      <c r="S67" s="35">
        <v>171</v>
      </c>
      <c r="T67" s="111">
        <f t="shared" si="11"/>
        <v>139365</v>
      </c>
      <c r="U67" s="37">
        <f t="shared" ref="U67:U127" si="18">IF(J67="GASOLINA",S67*0.8658+14.076,S67*0.7683+23.928)</f>
        <v>162.12780000000001</v>
      </c>
      <c r="V67" s="141">
        <f t="shared" ref="V67:V127" si="19">U67*1.609</f>
        <v>260.86363019999999</v>
      </c>
      <c r="W67" s="34">
        <f t="shared" si="12"/>
        <v>14.413690927774262</v>
      </c>
      <c r="X67" s="34">
        <f t="shared" ref="X67:X127" si="20">IF(J67="GASOLINA",W67,W67/1.08)</f>
        <v>14.413690927774262</v>
      </c>
      <c r="Y67" s="143">
        <f t="shared" ref="Y67:Y127" si="21">X67*2.35</f>
        <v>33.872173680269519</v>
      </c>
      <c r="Z67" s="37">
        <f t="shared" ref="Z67:Z127" si="22">R67/Y67</f>
        <v>24.061048094906766</v>
      </c>
      <c r="AA67" s="37"/>
      <c r="AB67" s="37"/>
      <c r="AC67" s="34">
        <f t="shared" si="13"/>
        <v>7.3706896551724137</v>
      </c>
      <c r="AD67" s="34">
        <f t="shared" si="14"/>
        <v>7.3706896551724137</v>
      </c>
      <c r="AE67" s="33">
        <f t="shared" si="15"/>
        <v>6007.1120689655172</v>
      </c>
      <c r="AF67" s="33">
        <f t="shared" si="16"/>
        <v>110.57309941520468</v>
      </c>
      <c r="AG67" s="122">
        <v>11.2</v>
      </c>
      <c r="AH67" s="35">
        <v>16.7</v>
      </c>
      <c r="AI67" s="43">
        <v>14.1</v>
      </c>
      <c r="AJ67" s="44" t="s">
        <v>116</v>
      </c>
      <c r="AK67" s="44" t="str">
        <f>VLOOKUP(F67,Hoja1!$A$9:$D$15,2,TRUE)</f>
        <v>Subcompact</v>
      </c>
      <c r="AL67" s="44">
        <v>1</v>
      </c>
      <c r="AM67" s="44" t="s">
        <v>37</v>
      </c>
      <c r="AN67" s="40" t="s">
        <v>38</v>
      </c>
    </row>
    <row r="68" spans="1:40" s="38" customFormat="1">
      <c r="A68" s="132">
        <v>167</v>
      </c>
      <c r="B68" s="135" t="s">
        <v>102</v>
      </c>
      <c r="C68" s="135" t="s">
        <v>121</v>
      </c>
      <c r="D68" s="116" t="s">
        <v>94</v>
      </c>
      <c r="E68" s="32" t="str">
        <f>VLOOKUP(D68,Hoja1!$B$17:$C$21,2,TRUE)</f>
        <v>T</v>
      </c>
      <c r="F68" s="116" t="s">
        <v>374</v>
      </c>
      <c r="G68" s="32">
        <f>VLOOKUP(F68,Hoja1!$A$9:$D$15,3,TRUE)</f>
        <v>110</v>
      </c>
      <c r="H68" s="32">
        <f>VLOOKUP(F68,Hoja1!$A$9:$D$15,4,TRUE)</f>
        <v>5751</v>
      </c>
      <c r="I68" s="116">
        <v>2019</v>
      </c>
      <c r="J68" s="135" t="s">
        <v>32</v>
      </c>
      <c r="K68" s="133" t="str">
        <f>VLOOKUP(J68,Hoja1!$A$2:$B$3,2,FALSE)</f>
        <v>G</v>
      </c>
      <c r="L68" s="135">
        <v>3956</v>
      </c>
      <c r="M68" s="133">
        <f t="shared" si="17"/>
        <v>3.956</v>
      </c>
      <c r="N68" s="116" t="s">
        <v>33</v>
      </c>
      <c r="O68" s="35" t="s">
        <v>34</v>
      </c>
      <c r="P68" s="135" t="s">
        <v>74</v>
      </c>
      <c r="Q68" s="133" t="str">
        <f>VLOOKUP(P68,Hoja1!$A$6:$B$7,2,FALSE)</f>
        <v>A</v>
      </c>
      <c r="R68" s="139">
        <v>808</v>
      </c>
      <c r="S68" s="59">
        <v>274</v>
      </c>
      <c r="T68" s="111">
        <f t="shared" si="11"/>
        <v>221392</v>
      </c>
      <c r="U68" s="37">
        <f t="shared" si="18"/>
        <v>251.30519999999999</v>
      </c>
      <c r="V68" s="141">
        <f t="shared" si="19"/>
        <v>404.35006679999998</v>
      </c>
      <c r="W68" s="34">
        <f t="shared" si="12"/>
        <v>9.2988923428564156</v>
      </c>
      <c r="X68" s="34">
        <f t="shared" si="20"/>
        <v>9.2988923428564156</v>
      </c>
      <c r="Y68" s="143">
        <f t="shared" si="21"/>
        <v>21.852397005712579</v>
      </c>
      <c r="Z68" s="37">
        <f t="shared" si="22"/>
        <v>36.975348735828632</v>
      </c>
      <c r="AA68" s="37"/>
      <c r="AB68" s="37"/>
      <c r="AC68" s="34">
        <f t="shared" si="13"/>
        <v>11.810344827586206</v>
      </c>
      <c r="AD68" s="34">
        <f t="shared" si="14"/>
        <v>11.810344827586206</v>
      </c>
      <c r="AE68" s="33">
        <f t="shared" si="15"/>
        <v>9542.758620689654</v>
      </c>
      <c r="AF68" s="33">
        <f t="shared" si="16"/>
        <v>68.414598540145988</v>
      </c>
      <c r="AG68" s="122">
        <v>6.5</v>
      </c>
      <c r="AH68" s="35">
        <v>10.8</v>
      </c>
      <c r="AI68" s="43">
        <v>8.6999999999999993</v>
      </c>
      <c r="AJ68" s="44" t="s">
        <v>254</v>
      </c>
      <c r="AK68" s="44" t="str">
        <f>VLOOKUP(F68,Hoja1!$A$9:$D$15,2,TRUE)</f>
        <v>Luxury</v>
      </c>
      <c r="AL68" s="44">
        <v>11</v>
      </c>
      <c r="AM68" s="44" t="s">
        <v>37</v>
      </c>
      <c r="AN68" s="40" t="s">
        <v>38</v>
      </c>
    </row>
    <row r="69" spans="1:40" s="38" customFormat="1">
      <c r="A69" s="132">
        <v>168</v>
      </c>
      <c r="B69" s="134" t="s">
        <v>135</v>
      </c>
      <c r="C69" s="134" t="s">
        <v>337</v>
      </c>
      <c r="D69" s="35" t="s">
        <v>30</v>
      </c>
      <c r="E69" s="32" t="str">
        <f>VLOOKUP(D69,Hoja1!$B$17:$C$21,2,TRUE)</f>
        <v>C</v>
      </c>
      <c r="F69" s="35" t="s">
        <v>57</v>
      </c>
      <c r="G69" s="32">
        <f>VLOOKUP(F69,Hoja1!$A$9:$D$15,3,TRUE)</f>
        <v>60</v>
      </c>
      <c r="H69" s="32">
        <f>VLOOKUP(F69,Hoja1!$A$9:$D$15,4,TRUE)</f>
        <v>2250</v>
      </c>
      <c r="I69" s="35">
        <v>2019</v>
      </c>
      <c r="J69" s="134" t="s">
        <v>32</v>
      </c>
      <c r="K69" s="133" t="str">
        <f>VLOOKUP(J69,Hoja1!$A$2:$B$3,2,FALSE)</f>
        <v>G</v>
      </c>
      <c r="L69" s="134">
        <v>796</v>
      </c>
      <c r="M69" s="133">
        <f t="shared" si="17"/>
        <v>0.79600000000000004</v>
      </c>
      <c r="N69" s="35" t="s">
        <v>33</v>
      </c>
      <c r="O69" s="35" t="s">
        <v>34</v>
      </c>
      <c r="P69" s="134" t="s">
        <v>35</v>
      </c>
      <c r="Q69" s="133" t="str">
        <f>VLOOKUP(P69,Hoja1!$A$6:$B$7,2,FALSE)</f>
        <v>M</v>
      </c>
      <c r="R69" s="138">
        <v>793</v>
      </c>
      <c r="S69" s="59">
        <v>116</v>
      </c>
      <c r="T69" s="111">
        <f t="shared" si="11"/>
        <v>91988</v>
      </c>
      <c r="U69" s="37">
        <f t="shared" si="18"/>
        <v>114.50880000000001</v>
      </c>
      <c r="V69" s="141">
        <f t="shared" si="19"/>
        <v>184.2446592</v>
      </c>
      <c r="W69" s="34">
        <f t="shared" si="12"/>
        <v>20.407689190699752</v>
      </c>
      <c r="X69" s="34">
        <f t="shared" si="20"/>
        <v>20.407689190699752</v>
      </c>
      <c r="Y69" s="143">
        <f t="shared" si="21"/>
        <v>47.958069598144419</v>
      </c>
      <c r="Z69" s="37">
        <f t="shared" si="22"/>
        <v>16.535277725829953</v>
      </c>
      <c r="AA69" s="37"/>
      <c r="AB69" s="37"/>
      <c r="AC69" s="34">
        <f t="shared" si="13"/>
        <v>5</v>
      </c>
      <c r="AD69" s="34">
        <f t="shared" si="14"/>
        <v>5</v>
      </c>
      <c r="AE69" s="33">
        <f t="shared" si="15"/>
        <v>3965</v>
      </c>
      <c r="AF69" s="33">
        <f t="shared" si="16"/>
        <v>158.6</v>
      </c>
      <c r="AG69" s="122">
        <v>17.399999999999999</v>
      </c>
      <c r="AH69" s="35">
        <v>22.7</v>
      </c>
      <c r="AI69" s="43">
        <v>20.399999999999999</v>
      </c>
      <c r="AJ69" s="44" t="s">
        <v>180</v>
      </c>
      <c r="AK69" s="44" t="str">
        <f>VLOOKUP(F69,Hoja1!$A$9:$D$15,2,TRUE)</f>
        <v>Subcompact</v>
      </c>
      <c r="AL69" s="44">
        <v>1</v>
      </c>
      <c r="AM69" s="44" t="s">
        <v>37</v>
      </c>
      <c r="AN69" s="40" t="s">
        <v>181</v>
      </c>
    </row>
    <row r="70" spans="1:40" s="38" customFormat="1">
      <c r="A70" s="132">
        <v>169</v>
      </c>
      <c r="B70" s="134" t="s">
        <v>90</v>
      </c>
      <c r="C70" s="134" t="s">
        <v>269</v>
      </c>
      <c r="D70" s="35" t="s">
        <v>60</v>
      </c>
      <c r="E70" s="32" t="str">
        <f>VLOOKUP(D70,Hoja1!$B$17:$C$21,2,TRUE)</f>
        <v>T</v>
      </c>
      <c r="F70" s="35" t="s">
        <v>147</v>
      </c>
      <c r="G70" s="32">
        <f>VLOOKUP(F70,Hoja1!$A$9:$D$15,3,TRUE)</f>
        <v>100</v>
      </c>
      <c r="H70" s="32">
        <f>VLOOKUP(F70,Hoja1!$A$9:$D$15,4,TRUE)</f>
        <v>5250</v>
      </c>
      <c r="I70" s="35">
        <v>2019</v>
      </c>
      <c r="J70" s="134" t="s">
        <v>32</v>
      </c>
      <c r="K70" s="133" t="str">
        <f>VLOOKUP(J70,Hoja1!$A$2:$B$3,2,FALSE)</f>
        <v>G</v>
      </c>
      <c r="L70" s="134">
        <v>1984</v>
      </c>
      <c r="M70" s="133">
        <f t="shared" si="17"/>
        <v>1.984</v>
      </c>
      <c r="N70" s="35" t="s">
        <v>33</v>
      </c>
      <c r="O70" s="35" t="s">
        <v>34</v>
      </c>
      <c r="P70" s="134" t="s">
        <v>74</v>
      </c>
      <c r="Q70" s="133" t="str">
        <f>VLOOKUP(P70,Hoja1!$A$6:$B$7,2,FALSE)</f>
        <v>A</v>
      </c>
      <c r="R70" s="138">
        <v>793</v>
      </c>
      <c r="S70" s="35">
        <v>207</v>
      </c>
      <c r="T70" s="111">
        <f t="shared" si="11"/>
        <v>164151</v>
      </c>
      <c r="U70" s="37">
        <f t="shared" si="18"/>
        <v>193.29659999999998</v>
      </c>
      <c r="V70" s="141">
        <f t="shared" si="19"/>
        <v>311.01422939999998</v>
      </c>
      <c r="W70" s="34">
        <f t="shared" si="12"/>
        <v>12.089503902293162</v>
      </c>
      <c r="X70" s="34">
        <f t="shared" si="20"/>
        <v>12.089503902293162</v>
      </c>
      <c r="Y70" s="143">
        <f t="shared" si="21"/>
        <v>28.410334170388932</v>
      </c>
      <c r="Z70" s="37">
        <f t="shared" si="22"/>
        <v>27.912378476227687</v>
      </c>
      <c r="AA70" s="37"/>
      <c r="AB70" s="37"/>
      <c r="AC70" s="34">
        <f t="shared" si="13"/>
        <v>8.9224137931034484</v>
      </c>
      <c r="AD70" s="34">
        <f t="shared" si="14"/>
        <v>8.9224137931034484</v>
      </c>
      <c r="AE70" s="33">
        <f t="shared" si="15"/>
        <v>7075.4741379310344</v>
      </c>
      <c r="AF70" s="33">
        <f t="shared" si="16"/>
        <v>88.877294685990336</v>
      </c>
      <c r="AG70" s="122">
        <v>8.3000000000000007</v>
      </c>
      <c r="AH70" s="35">
        <v>14.5</v>
      </c>
      <c r="AI70" s="43">
        <v>11.4</v>
      </c>
      <c r="AJ70" s="44" t="s">
        <v>270</v>
      </c>
      <c r="AK70" s="44" t="str">
        <f>VLOOKUP(F70,Hoja1!$A$9:$D$15,2,TRUE)</f>
        <v>Large</v>
      </c>
      <c r="AL70" s="44">
        <v>11</v>
      </c>
      <c r="AM70" s="44" t="s">
        <v>37</v>
      </c>
      <c r="AN70" s="40" t="s">
        <v>38</v>
      </c>
    </row>
    <row r="71" spans="1:40" s="38" customFormat="1">
      <c r="A71" s="132">
        <v>170</v>
      </c>
      <c r="B71" s="134" t="s">
        <v>50</v>
      </c>
      <c r="C71" s="134" t="s">
        <v>98</v>
      </c>
      <c r="D71" s="35" t="s">
        <v>60</v>
      </c>
      <c r="E71" s="32" t="str">
        <f>VLOOKUP(D71,Hoja1!$B$17:$C$21,2,TRUE)</f>
        <v>T</v>
      </c>
      <c r="F71" s="35" t="s">
        <v>31</v>
      </c>
      <c r="G71" s="32">
        <f>VLOOKUP(F71,Hoja1!$A$9:$D$15,3,TRUE)</f>
        <v>90</v>
      </c>
      <c r="H71" s="32">
        <f>VLOOKUP(F71,Hoja1!$A$9:$D$15,4,TRUE)</f>
        <v>4250</v>
      </c>
      <c r="I71" s="35">
        <v>2019</v>
      </c>
      <c r="J71" s="134" t="s">
        <v>32</v>
      </c>
      <c r="K71" s="133" t="str">
        <f>VLOOKUP(J71,Hoja1!$A$2:$B$3,2,FALSE)</f>
        <v>G</v>
      </c>
      <c r="L71" s="134">
        <v>2488</v>
      </c>
      <c r="M71" s="133">
        <f t="shared" si="17"/>
        <v>2.488</v>
      </c>
      <c r="N71" s="35" t="s">
        <v>33</v>
      </c>
      <c r="O71" s="35" t="s">
        <v>34</v>
      </c>
      <c r="P71" s="134" t="s">
        <v>74</v>
      </c>
      <c r="Q71" s="133" t="str">
        <f>VLOOKUP(P71,Hoja1!$A$6:$B$7,2,FALSE)</f>
        <v>A</v>
      </c>
      <c r="R71" s="138">
        <v>791</v>
      </c>
      <c r="S71" s="59">
        <v>175</v>
      </c>
      <c r="T71" s="111">
        <f t="shared" ref="T71:T127" si="23">S71*R71</f>
        <v>138425</v>
      </c>
      <c r="U71" s="37">
        <f t="shared" si="18"/>
        <v>165.59100000000001</v>
      </c>
      <c r="V71" s="141">
        <f t="shared" si="19"/>
        <v>266.43591900000001</v>
      </c>
      <c r="W71" s="34">
        <f t="shared" si="12"/>
        <v>14.112240399538623</v>
      </c>
      <c r="X71" s="34">
        <f t="shared" si="20"/>
        <v>14.112240399538623</v>
      </c>
      <c r="Y71" s="143">
        <f t="shared" si="21"/>
        <v>33.163764938915762</v>
      </c>
      <c r="Z71" s="37">
        <f t="shared" si="22"/>
        <v>23.851332967078392</v>
      </c>
      <c r="AA71" s="37"/>
      <c r="AB71" s="37"/>
      <c r="AC71" s="34">
        <f t="shared" si="13"/>
        <v>7.5431034482758621</v>
      </c>
      <c r="AD71" s="34">
        <f t="shared" si="14"/>
        <v>7.5431034482758621</v>
      </c>
      <c r="AE71" s="33">
        <f t="shared" si="15"/>
        <v>5966.5948275862065</v>
      </c>
      <c r="AF71" s="33">
        <f t="shared" si="16"/>
        <v>104.864</v>
      </c>
      <c r="AG71" s="122">
        <v>10.8</v>
      </c>
      <c r="AH71" s="35">
        <v>15.5</v>
      </c>
      <c r="AI71" s="43">
        <v>13.3</v>
      </c>
      <c r="AJ71" s="44" t="s">
        <v>99</v>
      </c>
      <c r="AK71" s="44" t="str">
        <f>VLOOKUP(F71,Hoja1!$A$9:$D$15,2,TRUE)</f>
        <v>Midsize</v>
      </c>
      <c r="AL71" s="44">
        <v>7</v>
      </c>
      <c r="AM71" s="44" t="s">
        <v>37</v>
      </c>
      <c r="AN71" s="40" t="s">
        <v>38</v>
      </c>
    </row>
    <row r="72" spans="1:40" s="38" customFormat="1">
      <c r="A72" s="132">
        <v>171</v>
      </c>
      <c r="B72" s="134" t="s">
        <v>168</v>
      </c>
      <c r="C72" s="134" t="s">
        <v>169</v>
      </c>
      <c r="D72" s="35" t="s">
        <v>60</v>
      </c>
      <c r="E72" s="32" t="str">
        <f>VLOOKUP(D72,Hoja1!$B$17:$C$21,2,TRUE)</f>
        <v>T</v>
      </c>
      <c r="F72" s="35" t="s">
        <v>40</v>
      </c>
      <c r="G72" s="32">
        <f>VLOOKUP(F72,Hoja1!$A$9:$D$15,3,TRUE)</f>
        <v>80</v>
      </c>
      <c r="H72" s="32">
        <f>VLOOKUP(F72,Hoja1!$A$9:$D$15,4,TRUE)</f>
        <v>3500</v>
      </c>
      <c r="I72" s="35">
        <v>2019</v>
      </c>
      <c r="J72" s="134" t="s">
        <v>32</v>
      </c>
      <c r="K72" s="133" t="str">
        <f>VLOOKUP(J72,Hoja1!$A$2:$B$3,2,FALSE)</f>
        <v>G</v>
      </c>
      <c r="L72" s="134">
        <v>1499</v>
      </c>
      <c r="M72" s="133">
        <f t="shared" si="17"/>
        <v>1.4990000000000001</v>
      </c>
      <c r="N72" s="35" t="s">
        <v>33</v>
      </c>
      <c r="O72" s="35" t="s">
        <v>34</v>
      </c>
      <c r="P72" s="134" t="s">
        <v>35</v>
      </c>
      <c r="Q72" s="133" t="str">
        <f>VLOOKUP(P72,Hoja1!$A$6:$B$7,2,FALSE)</f>
        <v>M</v>
      </c>
      <c r="R72" s="138">
        <v>789</v>
      </c>
      <c r="S72" s="59">
        <v>162</v>
      </c>
      <c r="T72" s="111">
        <f t="shared" si="23"/>
        <v>127818</v>
      </c>
      <c r="U72" s="37">
        <f t="shared" si="18"/>
        <v>154.3356</v>
      </c>
      <c r="V72" s="141">
        <f t="shared" si="19"/>
        <v>248.32598039999999</v>
      </c>
      <c r="W72" s="34">
        <f t="shared" si="12"/>
        <v>15.141419089309272</v>
      </c>
      <c r="X72" s="34">
        <f t="shared" si="20"/>
        <v>15.141419089309272</v>
      </c>
      <c r="Y72" s="143">
        <f t="shared" si="21"/>
        <v>35.582334859876788</v>
      </c>
      <c r="Z72" s="37">
        <f t="shared" si="22"/>
        <v>22.173924311237066</v>
      </c>
      <c r="AA72" s="37"/>
      <c r="AB72" s="37"/>
      <c r="AC72" s="34">
        <f t="shared" si="13"/>
        <v>6.9827586206896557</v>
      </c>
      <c r="AD72" s="34">
        <f t="shared" si="14"/>
        <v>6.9827586206896557</v>
      </c>
      <c r="AE72" s="33">
        <f t="shared" si="15"/>
        <v>5509.3965517241386</v>
      </c>
      <c r="AF72" s="33">
        <f t="shared" si="16"/>
        <v>112.99259259259259</v>
      </c>
      <c r="AG72" s="122">
        <v>11.5</v>
      </c>
      <c r="AH72" s="35">
        <v>17.600000000000001</v>
      </c>
      <c r="AI72" s="43">
        <v>14.7</v>
      </c>
      <c r="AJ72" s="44" t="s">
        <v>261</v>
      </c>
      <c r="AK72" s="44" t="str">
        <f>VLOOKUP(F72,Hoja1!$A$9:$D$15,2,TRUE)</f>
        <v>Compact</v>
      </c>
      <c r="AL72" s="44">
        <v>2</v>
      </c>
      <c r="AM72" s="44" t="s">
        <v>37</v>
      </c>
      <c r="AN72" s="40" t="s">
        <v>38</v>
      </c>
    </row>
    <row r="73" spans="1:40" s="38" customFormat="1">
      <c r="A73" s="132">
        <v>172</v>
      </c>
      <c r="B73" s="134" t="s">
        <v>55</v>
      </c>
      <c r="C73" s="134" t="s">
        <v>125</v>
      </c>
      <c r="D73" s="35" t="s">
        <v>30</v>
      </c>
      <c r="E73" s="32" t="str">
        <f>VLOOKUP(D73,Hoja1!$B$17:$C$21,2,TRUE)</f>
        <v>C</v>
      </c>
      <c r="F73" s="35" t="s">
        <v>313</v>
      </c>
      <c r="G73" s="32">
        <f>VLOOKUP(F73,Hoja1!$A$9:$D$15,3,TRUE)</f>
        <v>90</v>
      </c>
      <c r="H73" s="32">
        <f>VLOOKUP(F73,Hoja1!$A$9:$D$15,4,TRUE)</f>
        <v>4250</v>
      </c>
      <c r="I73" s="35">
        <v>2019</v>
      </c>
      <c r="J73" s="134" t="s">
        <v>32</v>
      </c>
      <c r="K73" s="133" t="str">
        <f>VLOOKUP(J73,Hoja1!$A$2:$B$3,2,FALSE)</f>
        <v>G</v>
      </c>
      <c r="L73" s="134">
        <v>1591</v>
      </c>
      <c r="M73" s="133">
        <f t="shared" si="17"/>
        <v>1.591</v>
      </c>
      <c r="N73" s="35" t="s">
        <v>33</v>
      </c>
      <c r="O73" s="35" t="s">
        <v>34</v>
      </c>
      <c r="P73" s="134" t="s">
        <v>35</v>
      </c>
      <c r="Q73" s="133" t="str">
        <f>VLOOKUP(P73,Hoja1!$A$6:$B$7,2,FALSE)</f>
        <v>M</v>
      </c>
      <c r="R73" s="138">
        <v>777</v>
      </c>
      <c r="S73" s="59">
        <v>149</v>
      </c>
      <c r="T73" s="111">
        <f t="shared" si="23"/>
        <v>115773</v>
      </c>
      <c r="U73" s="37">
        <f t="shared" si="18"/>
        <v>143.08019999999999</v>
      </c>
      <c r="V73" s="141">
        <f t="shared" si="19"/>
        <v>230.21604179999997</v>
      </c>
      <c r="W73" s="34">
        <f t="shared" si="12"/>
        <v>16.332518405761245</v>
      </c>
      <c r="X73" s="34">
        <f t="shared" si="20"/>
        <v>16.332518405761245</v>
      </c>
      <c r="Y73" s="143">
        <f t="shared" si="21"/>
        <v>38.381418253538925</v>
      </c>
      <c r="Z73" s="37">
        <f t="shared" si="22"/>
        <v>20.244171147280557</v>
      </c>
      <c r="AA73" s="37"/>
      <c r="AB73" s="37"/>
      <c r="AC73" s="34">
        <f t="shared" si="13"/>
        <v>6.4224137931034484</v>
      </c>
      <c r="AD73" s="34">
        <f t="shared" si="14"/>
        <v>6.4224137931034484</v>
      </c>
      <c r="AE73" s="33">
        <f t="shared" si="15"/>
        <v>4990.2155172413795</v>
      </c>
      <c r="AF73" s="33">
        <f t="shared" si="16"/>
        <v>120.98255033557047</v>
      </c>
      <c r="AG73" s="122">
        <v>12</v>
      </c>
      <c r="AH73" s="35">
        <v>19.3</v>
      </c>
      <c r="AI73" s="43">
        <v>15.8</v>
      </c>
      <c r="AJ73" s="44" t="s">
        <v>267</v>
      </c>
      <c r="AK73" s="44" t="str">
        <f>VLOOKUP(F73,Hoja1!$A$9:$D$15,2,TRUE)</f>
        <v>Midsize</v>
      </c>
      <c r="AL73" s="44">
        <v>3</v>
      </c>
      <c r="AM73" s="44" t="s">
        <v>37</v>
      </c>
      <c r="AN73" s="40" t="s">
        <v>38</v>
      </c>
    </row>
    <row r="74" spans="1:40" s="38" customFormat="1">
      <c r="A74" s="132">
        <v>173</v>
      </c>
      <c r="B74" s="134" t="s">
        <v>50</v>
      </c>
      <c r="C74" s="134" t="s">
        <v>119</v>
      </c>
      <c r="D74" s="35" t="s">
        <v>60</v>
      </c>
      <c r="E74" s="32" t="str">
        <f>VLOOKUP(D74,Hoja1!$B$17:$C$21,2,TRUE)</f>
        <v>T</v>
      </c>
      <c r="F74" s="35" t="s">
        <v>40</v>
      </c>
      <c r="G74" s="32">
        <f>VLOOKUP(F74,Hoja1!$A$9:$D$15,3,TRUE)</f>
        <v>80</v>
      </c>
      <c r="H74" s="32">
        <f>VLOOKUP(F74,Hoja1!$A$9:$D$15,4,TRUE)</f>
        <v>3500</v>
      </c>
      <c r="I74" s="35">
        <v>2019</v>
      </c>
      <c r="J74" s="134" t="s">
        <v>32</v>
      </c>
      <c r="K74" s="133" t="str">
        <f>VLOOKUP(J74,Hoja1!$A$2:$B$3,2,FALSE)</f>
        <v>G</v>
      </c>
      <c r="L74" s="134">
        <v>1998</v>
      </c>
      <c r="M74" s="133">
        <f t="shared" si="17"/>
        <v>1.998</v>
      </c>
      <c r="N74" s="35" t="s">
        <v>33</v>
      </c>
      <c r="O74" s="35" t="s">
        <v>34</v>
      </c>
      <c r="P74" s="134" t="s">
        <v>35</v>
      </c>
      <c r="Q74" s="133" t="str">
        <f>VLOOKUP(P74,Hoja1!$A$6:$B$7,2,FALSE)</f>
        <v>M</v>
      </c>
      <c r="R74" s="138">
        <v>748</v>
      </c>
      <c r="S74" s="35">
        <v>158</v>
      </c>
      <c r="T74" s="111">
        <f t="shared" si="23"/>
        <v>118184</v>
      </c>
      <c r="U74" s="37">
        <f t="shared" si="18"/>
        <v>150.8724</v>
      </c>
      <c r="V74" s="141">
        <f t="shared" si="19"/>
        <v>242.7536916</v>
      </c>
      <c r="W74" s="34">
        <f t="shared" si="12"/>
        <v>15.488982743033187</v>
      </c>
      <c r="X74" s="34">
        <f t="shared" si="20"/>
        <v>15.488982743033187</v>
      </c>
      <c r="Y74" s="143">
        <f t="shared" si="21"/>
        <v>36.399109446127994</v>
      </c>
      <c r="Z74" s="37">
        <f t="shared" si="22"/>
        <v>20.549953319793914</v>
      </c>
      <c r="AA74" s="37"/>
      <c r="AB74" s="37"/>
      <c r="AC74" s="34">
        <f t="shared" si="13"/>
        <v>6.8103448275862073</v>
      </c>
      <c r="AD74" s="34">
        <f t="shared" si="14"/>
        <v>6.8103448275862073</v>
      </c>
      <c r="AE74" s="33">
        <f t="shared" si="15"/>
        <v>5094.1379310344828</v>
      </c>
      <c r="AF74" s="33">
        <f t="shared" si="16"/>
        <v>109.83291139240505</v>
      </c>
      <c r="AG74" s="122">
        <v>12.1</v>
      </c>
      <c r="AH74" s="35">
        <v>17</v>
      </c>
      <c r="AI74" s="43">
        <v>14.8</v>
      </c>
      <c r="AJ74" s="44" t="s">
        <v>338</v>
      </c>
      <c r="AK74" s="44" t="str">
        <f>VLOOKUP(F74,Hoja1!$A$9:$D$15,2,TRUE)</f>
        <v>Compact</v>
      </c>
      <c r="AL74" s="44">
        <v>2</v>
      </c>
      <c r="AM74" s="112" t="s">
        <v>318</v>
      </c>
      <c r="AN74" s="40" t="s">
        <v>38</v>
      </c>
    </row>
    <row r="75" spans="1:40" s="38" customFormat="1">
      <c r="A75" s="132">
        <v>174</v>
      </c>
      <c r="B75" s="134" t="s">
        <v>339</v>
      </c>
      <c r="C75" s="134" t="s">
        <v>340</v>
      </c>
      <c r="D75" s="35" t="s">
        <v>60</v>
      </c>
      <c r="E75" s="32" t="str">
        <f>VLOOKUP(D75,Hoja1!$B$17:$C$21,2,TRUE)</f>
        <v>T</v>
      </c>
      <c r="F75" s="35" t="s">
        <v>40</v>
      </c>
      <c r="G75" s="32">
        <f>VLOOKUP(F75,Hoja1!$A$9:$D$15,3,TRUE)</f>
        <v>80</v>
      </c>
      <c r="H75" s="32">
        <f>VLOOKUP(F75,Hoja1!$A$9:$D$15,4,TRUE)</f>
        <v>3500</v>
      </c>
      <c r="I75" s="35">
        <v>2019</v>
      </c>
      <c r="J75" s="134" t="s">
        <v>32</v>
      </c>
      <c r="K75" s="133" t="str">
        <f>VLOOKUP(J75,Hoja1!$A$2:$B$3,2,FALSE)</f>
        <v>G</v>
      </c>
      <c r="L75" s="134">
        <v>1747</v>
      </c>
      <c r="M75" s="133">
        <f t="shared" si="17"/>
        <v>1.7470000000000001</v>
      </c>
      <c r="N75" s="35" t="s">
        <v>33</v>
      </c>
      <c r="O75" s="35" t="s">
        <v>34</v>
      </c>
      <c r="P75" s="134" t="s">
        <v>74</v>
      </c>
      <c r="Q75" s="133" t="str">
        <f>VLOOKUP(P75,Hoja1!$A$6:$B$7,2,FALSE)</f>
        <v>A</v>
      </c>
      <c r="R75" s="138">
        <v>702</v>
      </c>
      <c r="S75" s="35">
        <v>185</v>
      </c>
      <c r="T75" s="111">
        <f t="shared" si="23"/>
        <v>129870</v>
      </c>
      <c r="U75" s="37">
        <f t="shared" si="18"/>
        <v>174.249</v>
      </c>
      <c r="V75" s="141">
        <f t="shared" si="19"/>
        <v>280.36664100000002</v>
      </c>
      <c r="W75" s="34">
        <f t="shared" si="12"/>
        <v>13.411038226905177</v>
      </c>
      <c r="X75" s="34">
        <f t="shared" si="20"/>
        <v>13.411038226905177</v>
      </c>
      <c r="Y75" s="143">
        <f t="shared" si="21"/>
        <v>31.515939833227169</v>
      </c>
      <c r="Z75" s="37">
        <f t="shared" si="22"/>
        <v>22.274442828447189</v>
      </c>
      <c r="AA75" s="37"/>
      <c r="AB75" s="37"/>
      <c r="AC75" s="34">
        <f t="shared" si="13"/>
        <v>7.9741379310344831</v>
      </c>
      <c r="AD75" s="34">
        <f t="shared" si="14"/>
        <v>7.9741379310344831</v>
      </c>
      <c r="AE75" s="33">
        <f t="shared" si="15"/>
        <v>5597.8448275862074</v>
      </c>
      <c r="AF75" s="33">
        <f t="shared" si="16"/>
        <v>88.034594594594594</v>
      </c>
      <c r="AG75" s="122">
        <v>9.3000000000000007</v>
      </c>
      <c r="AH75" s="35">
        <v>16.3</v>
      </c>
      <c r="AI75" s="43">
        <v>12.8</v>
      </c>
      <c r="AJ75" s="44" t="s">
        <v>341</v>
      </c>
      <c r="AK75" s="44" t="str">
        <f>VLOOKUP(F75,Hoja1!$A$9:$D$15,2,TRUE)</f>
        <v>Compact</v>
      </c>
      <c r="AL75" s="44">
        <v>2</v>
      </c>
      <c r="AM75" s="112" t="s">
        <v>318</v>
      </c>
      <c r="AN75" s="40" t="s">
        <v>277</v>
      </c>
    </row>
    <row r="76" spans="1:40" s="38" customFormat="1">
      <c r="A76" s="132">
        <v>175</v>
      </c>
      <c r="B76" s="134" t="s">
        <v>43</v>
      </c>
      <c r="C76" s="134" t="s">
        <v>44</v>
      </c>
      <c r="D76" s="35" t="s">
        <v>30</v>
      </c>
      <c r="E76" s="32" t="str">
        <f>VLOOKUP(D76,Hoja1!$B$17:$C$21,2,TRUE)</f>
        <v>C</v>
      </c>
      <c r="F76" s="35" t="s">
        <v>31</v>
      </c>
      <c r="G76" s="32">
        <f>VLOOKUP(F76,Hoja1!$A$9:$D$15,3,TRUE)</f>
        <v>90</v>
      </c>
      <c r="H76" s="32">
        <f>VLOOKUP(F76,Hoja1!$A$9:$D$15,4,TRUE)</f>
        <v>4250</v>
      </c>
      <c r="I76" s="35">
        <v>2019</v>
      </c>
      <c r="J76" s="134" t="s">
        <v>32</v>
      </c>
      <c r="K76" s="133" t="str">
        <f>VLOOKUP(J76,Hoja1!$A$2:$B$3,2,FALSE)</f>
        <v>G</v>
      </c>
      <c r="L76" s="134">
        <v>1599</v>
      </c>
      <c r="M76" s="133">
        <f t="shared" si="17"/>
        <v>1.599</v>
      </c>
      <c r="N76" s="35" t="s">
        <v>41</v>
      </c>
      <c r="O76" s="35" t="s">
        <v>34</v>
      </c>
      <c r="P76" s="134" t="s">
        <v>35</v>
      </c>
      <c r="Q76" s="133" t="str">
        <f>VLOOKUP(P76,Hoja1!$A$6:$B$7,2,FALSE)</f>
        <v>M</v>
      </c>
      <c r="R76" s="138">
        <v>644</v>
      </c>
      <c r="S76" s="40">
        <f>1.1325*U76-13.739</f>
        <v>151.71440050377834</v>
      </c>
      <c r="T76" s="119">
        <f>S76*R76</f>
        <v>97704.073924433251</v>
      </c>
      <c r="U76" s="33">
        <f>(23.2*100*2.35)/Y76</f>
        <v>146.09571788413098</v>
      </c>
      <c r="V76" s="141">
        <f t="shared" si="19"/>
        <v>235.06801007556675</v>
      </c>
      <c r="W76" s="34">
        <f t="shared" si="12"/>
        <v>15.995403793103449</v>
      </c>
      <c r="X76" s="34">
        <f>AI76</f>
        <v>15.88</v>
      </c>
      <c r="Y76" s="142">
        <f>X76*2.35</f>
        <v>37.318000000000005</v>
      </c>
      <c r="Z76" s="33">
        <f>R76/Y76</f>
        <v>17.257087732461546</v>
      </c>
      <c r="AA76" s="33">
        <f>U76</f>
        <v>146.09571788413098</v>
      </c>
      <c r="AB76" s="33">
        <f>S76</f>
        <v>151.71440050377834</v>
      </c>
      <c r="AC76" s="34">
        <f t="shared" si="13"/>
        <v>6.5394138148180323</v>
      </c>
      <c r="AD76" s="34">
        <f t="shared" si="14"/>
        <v>6.5394138148180323</v>
      </c>
      <c r="AE76" s="33">
        <f t="shared" si="15"/>
        <v>4211.3824967428127</v>
      </c>
      <c r="AF76" s="33">
        <f t="shared" si="16"/>
        <v>98.479774829469193</v>
      </c>
      <c r="AG76" s="122">
        <v>13.7</v>
      </c>
      <c r="AH76" s="35">
        <v>19.7</v>
      </c>
      <c r="AI76" s="43">
        <v>15.88</v>
      </c>
      <c r="AJ76" s="44" t="s">
        <v>54</v>
      </c>
      <c r="AK76" s="44" t="str">
        <f>VLOOKUP(F76,Hoja1!$A$9:$D$15,2,TRUE)</f>
        <v>Midsize</v>
      </c>
      <c r="AL76" s="44">
        <v>7</v>
      </c>
      <c r="AM76" s="44" t="s">
        <v>46</v>
      </c>
      <c r="AN76" s="40"/>
    </row>
    <row r="77" spans="1:40" s="38" customFormat="1">
      <c r="A77" s="132">
        <v>176</v>
      </c>
      <c r="B77" s="134" t="s">
        <v>62</v>
      </c>
      <c r="C77" s="134" t="s">
        <v>73</v>
      </c>
      <c r="D77" s="35" t="s">
        <v>60</v>
      </c>
      <c r="E77" s="32" t="str">
        <f>VLOOKUP(D77,Hoja1!$B$17:$C$21,2,TRUE)</f>
        <v>T</v>
      </c>
      <c r="F77" s="35" t="s">
        <v>31</v>
      </c>
      <c r="G77" s="32">
        <f>VLOOKUP(F77,Hoja1!$A$9:$D$15,3,TRUE)</f>
        <v>90</v>
      </c>
      <c r="H77" s="32">
        <f>VLOOKUP(F77,Hoja1!$A$9:$D$15,4,TRUE)</f>
        <v>4250</v>
      </c>
      <c r="I77" s="35">
        <v>2019</v>
      </c>
      <c r="J77" s="134" t="s">
        <v>32</v>
      </c>
      <c r="K77" s="133" t="str">
        <f>VLOOKUP(J77,Hoja1!$A$2:$B$3,2,FALSE)</f>
        <v>G</v>
      </c>
      <c r="L77" s="134">
        <v>1497</v>
      </c>
      <c r="M77" s="133">
        <f t="shared" si="17"/>
        <v>1.4970000000000001</v>
      </c>
      <c r="N77" s="35" t="s">
        <v>33</v>
      </c>
      <c r="O77" s="35" t="s">
        <v>34</v>
      </c>
      <c r="P77" s="134" t="s">
        <v>35</v>
      </c>
      <c r="Q77" s="133" t="str">
        <f>VLOOKUP(P77,Hoja1!$A$6:$B$7,2,FALSE)</f>
        <v>M</v>
      </c>
      <c r="R77" s="138">
        <v>611</v>
      </c>
      <c r="S77" s="35">
        <v>159</v>
      </c>
      <c r="T77" s="111">
        <f t="shared" si="23"/>
        <v>97149</v>
      </c>
      <c r="U77" s="37">
        <f t="shared" si="18"/>
        <v>151.73820000000001</v>
      </c>
      <c r="V77" s="141">
        <f t="shared" si="19"/>
        <v>244.1467638</v>
      </c>
      <c r="W77" s="34">
        <f t="shared" si="12"/>
        <v>15.400604462159167</v>
      </c>
      <c r="X77" s="34">
        <f t="shared" si="20"/>
        <v>15.400604462159167</v>
      </c>
      <c r="Y77" s="143">
        <f t="shared" si="21"/>
        <v>36.191420486074044</v>
      </c>
      <c r="Z77" s="37">
        <f t="shared" si="22"/>
        <v>16.882454233458571</v>
      </c>
      <c r="AA77" s="37"/>
      <c r="AB77" s="37"/>
      <c r="AC77" s="34">
        <f t="shared" si="13"/>
        <v>6.8534482758620694</v>
      </c>
      <c r="AD77" s="34">
        <f t="shared" si="14"/>
        <v>6.8534482758620694</v>
      </c>
      <c r="AE77" s="33">
        <f t="shared" si="15"/>
        <v>4187.4568965517246</v>
      </c>
      <c r="AF77" s="33">
        <f t="shared" si="16"/>
        <v>89.152201257861634</v>
      </c>
      <c r="AG77" s="122">
        <v>11.2</v>
      </c>
      <c r="AH77" s="35">
        <v>18.3</v>
      </c>
      <c r="AI77" s="43">
        <v>14.8</v>
      </c>
      <c r="AJ77" s="44" t="s">
        <v>301</v>
      </c>
      <c r="AK77" s="44" t="str">
        <f>VLOOKUP(F77,Hoja1!$A$9:$D$15,2,TRUE)</f>
        <v>Midsize</v>
      </c>
      <c r="AL77" s="44">
        <v>7</v>
      </c>
      <c r="AM77" s="44" t="s">
        <v>37</v>
      </c>
      <c r="AN77" s="40" t="s">
        <v>38</v>
      </c>
    </row>
    <row r="78" spans="1:40" s="38" customFormat="1">
      <c r="A78" s="132">
        <v>177</v>
      </c>
      <c r="B78" s="134" t="s">
        <v>43</v>
      </c>
      <c r="C78" s="134" t="s">
        <v>286</v>
      </c>
      <c r="D78" s="35" t="s">
        <v>94</v>
      </c>
      <c r="E78" s="32" t="str">
        <f>VLOOKUP(D78,Hoja1!$B$17:$C$21,2,TRUE)</f>
        <v>T</v>
      </c>
      <c r="F78" s="35" t="s">
        <v>147</v>
      </c>
      <c r="G78" s="32">
        <f>VLOOKUP(F78,Hoja1!$A$9:$D$15,3,TRUE)</f>
        <v>100</v>
      </c>
      <c r="H78" s="32">
        <f>VLOOKUP(F78,Hoja1!$A$9:$D$15,4,TRUE)</f>
        <v>5250</v>
      </c>
      <c r="I78" s="35">
        <v>2019</v>
      </c>
      <c r="J78" s="134" t="s">
        <v>32</v>
      </c>
      <c r="K78" s="133" t="str">
        <f>VLOOKUP(J78,Hoja1!$A$2:$B$3,2,FALSE)</f>
        <v>G</v>
      </c>
      <c r="L78" s="134">
        <v>2488</v>
      </c>
      <c r="M78" s="133">
        <f t="shared" si="17"/>
        <v>2.488</v>
      </c>
      <c r="N78" s="35" t="s">
        <v>33</v>
      </c>
      <c r="O78" s="35" t="s">
        <v>34</v>
      </c>
      <c r="P78" s="134" t="s">
        <v>74</v>
      </c>
      <c r="Q78" s="133" t="str">
        <f>VLOOKUP(P78,Hoja1!$A$6:$B$7,2,FALSE)</f>
        <v>A</v>
      </c>
      <c r="R78" s="138">
        <v>572</v>
      </c>
      <c r="S78" s="35">
        <v>253</v>
      </c>
      <c r="T78" s="111">
        <f t="shared" si="23"/>
        <v>144716</v>
      </c>
      <c r="U78" s="37">
        <f t="shared" si="18"/>
        <v>233.1234</v>
      </c>
      <c r="V78" s="141">
        <f t="shared" si="19"/>
        <v>375.09555060000002</v>
      </c>
      <c r="W78" s="34">
        <f t="shared" si="12"/>
        <v>10.024133141503599</v>
      </c>
      <c r="X78" s="34">
        <f t="shared" si="20"/>
        <v>10.024133141503599</v>
      </c>
      <c r="Y78" s="143">
        <f t="shared" si="21"/>
        <v>23.556712882533457</v>
      </c>
      <c r="Z78" s="37">
        <f t="shared" si="22"/>
        <v>24.281825857975267</v>
      </c>
      <c r="AA78" s="37"/>
      <c r="AB78" s="37"/>
      <c r="AC78" s="34">
        <f t="shared" si="13"/>
        <v>10.905172413793103</v>
      </c>
      <c r="AD78" s="34">
        <f t="shared" si="14"/>
        <v>10.905172413793103</v>
      </c>
      <c r="AE78" s="33">
        <f t="shared" si="15"/>
        <v>6237.7586206896549</v>
      </c>
      <c r="AF78" s="33">
        <f t="shared" si="16"/>
        <v>52.452173913043481</v>
      </c>
      <c r="AG78" s="122">
        <v>7.8</v>
      </c>
      <c r="AH78" s="35">
        <v>10.7</v>
      </c>
      <c r="AI78" s="43">
        <v>9.4</v>
      </c>
      <c r="AJ78" s="44" t="s">
        <v>287</v>
      </c>
      <c r="AK78" s="44" t="str">
        <f>VLOOKUP(F78,Hoja1!$A$9:$D$15,2,TRUE)</f>
        <v>Large</v>
      </c>
      <c r="AL78" s="44">
        <v>11</v>
      </c>
      <c r="AM78" s="44" t="s">
        <v>37</v>
      </c>
      <c r="AN78" s="40" t="s">
        <v>38</v>
      </c>
    </row>
    <row r="79" spans="1:40" s="38" customFormat="1">
      <c r="A79" s="132">
        <v>178</v>
      </c>
      <c r="B79" s="134" t="s">
        <v>68</v>
      </c>
      <c r="C79" s="134" t="s">
        <v>342</v>
      </c>
      <c r="D79" s="35" t="s">
        <v>30</v>
      </c>
      <c r="E79" s="32" t="str">
        <f>VLOOKUP(D79,Hoja1!$B$17:$C$21,2,TRUE)</f>
        <v>C</v>
      </c>
      <c r="F79" s="35" t="s">
        <v>31</v>
      </c>
      <c r="G79" s="32">
        <f>VLOOKUP(F79,Hoja1!$A$9:$D$15,3,TRUE)</f>
        <v>90</v>
      </c>
      <c r="H79" s="32">
        <f>VLOOKUP(F79,Hoja1!$A$9:$D$15,4,TRUE)</f>
        <v>4250</v>
      </c>
      <c r="I79" s="35">
        <v>2019</v>
      </c>
      <c r="J79" s="134" t="s">
        <v>32</v>
      </c>
      <c r="K79" s="133" t="str">
        <f>VLOOKUP(J79,Hoja1!$A$2:$B$3,2,FALSE)</f>
        <v>G</v>
      </c>
      <c r="L79" s="134">
        <v>1798</v>
      </c>
      <c r="M79" s="133">
        <f t="shared" si="17"/>
        <v>1.798</v>
      </c>
      <c r="N79" s="35" t="s">
        <v>33</v>
      </c>
      <c r="O79" s="35" t="s">
        <v>34</v>
      </c>
      <c r="P79" s="134" t="s">
        <v>74</v>
      </c>
      <c r="Q79" s="133" t="str">
        <f>VLOOKUP(P79,Hoja1!$A$6:$B$7,2,FALSE)</f>
        <v>A</v>
      </c>
      <c r="R79" s="138">
        <v>548</v>
      </c>
      <c r="S79" s="35">
        <v>154</v>
      </c>
      <c r="T79" s="111">
        <f t="shared" si="23"/>
        <v>84392</v>
      </c>
      <c r="U79" s="37">
        <f t="shared" si="18"/>
        <v>147.4092</v>
      </c>
      <c r="V79" s="141">
        <f t="shared" si="19"/>
        <v>237.1814028</v>
      </c>
      <c r="W79" s="34">
        <f t="shared" si="12"/>
        <v>15.852877568021535</v>
      </c>
      <c r="X79" s="34">
        <f t="shared" si="20"/>
        <v>15.852877568021535</v>
      </c>
      <c r="Y79" s="143">
        <f t="shared" si="21"/>
        <v>37.254262284850611</v>
      </c>
      <c r="Z79" s="37">
        <f t="shared" si="22"/>
        <v>14.709726253869302</v>
      </c>
      <c r="AA79" s="37"/>
      <c r="AB79" s="37"/>
      <c r="AC79" s="34">
        <f t="shared" si="13"/>
        <v>6.6379310344827589</v>
      </c>
      <c r="AD79" s="34">
        <f t="shared" si="14"/>
        <v>6.6379310344827589</v>
      </c>
      <c r="AE79" s="33">
        <f t="shared" si="15"/>
        <v>3637.5862068965521</v>
      </c>
      <c r="AF79" s="33">
        <f t="shared" si="16"/>
        <v>82.555844155844156</v>
      </c>
      <c r="AG79" s="122">
        <v>11.4</v>
      </c>
      <c r="AH79" s="35">
        <v>19.5</v>
      </c>
      <c r="AI79" s="43">
        <v>15.5</v>
      </c>
      <c r="AJ79" s="44" t="s">
        <v>343</v>
      </c>
      <c r="AK79" s="44" t="str">
        <f>VLOOKUP(F79,Hoja1!$A$9:$D$15,2,TRUE)</f>
        <v>Midsize</v>
      </c>
      <c r="AL79" s="44">
        <v>3</v>
      </c>
      <c r="AM79" s="44" t="s">
        <v>37</v>
      </c>
      <c r="AN79" s="40" t="s">
        <v>65</v>
      </c>
    </row>
    <row r="80" spans="1:40" s="38" customFormat="1">
      <c r="A80" s="132">
        <v>179</v>
      </c>
      <c r="B80" s="134" t="s">
        <v>151</v>
      </c>
      <c r="C80" s="134" t="s">
        <v>344</v>
      </c>
      <c r="D80" s="35" t="s">
        <v>60</v>
      </c>
      <c r="E80" s="32" t="str">
        <f>VLOOKUP(D80,Hoja1!$B$17:$C$21,2,TRUE)</f>
        <v>T</v>
      </c>
      <c r="F80" s="35" t="s">
        <v>40</v>
      </c>
      <c r="G80" s="32">
        <f>VLOOKUP(F80,Hoja1!$A$9:$D$15,3,TRUE)</f>
        <v>80</v>
      </c>
      <c r="H80" s="32">
        <f>VLOOKUP(F80,Hoja1!$A$9:$D$15,4,TRUE)</f>
        <v>3500</v>
      </c>
      <c r="I80" s="35">
        <v>2019</v>
      </c>
      <c r="J80" s="134" t="s">
        <v>32</v>
      </c>
      <c r="K80" s="133" t="str">
        <f>VLOOKUP(J80,Hoja1!$A$2:$B$3,2,FALSE)</f>
        <v>G</v>
      </c>
      <c r="L80" s="134">
        <v>1591</v>
      </c>
      <c r="M80" s="133">
        <f t="shared" si="17"/>
        <v>1.591</v>
      </c>
      <c r="N80" s="35" t="s">
        <v>33</v>
      </c>
      <c r="O80" s="35" t="s">
        <v>34</v>
      </c>
      <c r="P80" s="134" t="s">
        <v>74</v>
      </c>
      <c r="Q80" s="133" t="str">
        <f>VLOOKUP(P80,Hoja1!$A$6:$B$7,2,FALSE)</f>
        <v>A</v>
      </c>
      <c r="R80" s="138">
        <v>547</v>
      </c>
      <c r="S80" s="35">
        <v>175</v>
      </c>
      <c r="T80" s="111">
        <f t="shared" si="23"/>
        <v>95725</v>
      </c>
      <c r="U80" s="37">
        <f t="shared" si="18"/>
        <v>165.59100000000001</v>
      </c>
      <c r="V80" s="141">
        <f t="shared" si="19"/>
        <v>266.43591900000001</v>
      </c>
      <c r="W80" s="34">
        <f t="shared" si="12"/>
        <v>14.112240399538623</v>
      </c>
      <c r="X80" s="34">
        <f t="shared" si="20"/>
        <v>14.112240399538623</v>
      </c>
      <c r="Y80" s="143">
        <f t="shared" si="21"/>
        <v>33.163764938915762</v>
      </c>
      <c r="Z80" s="37">
        <f t="shared" si="22"/>
        <v>16.49390535144359</v>
      </c>
      <c r="AA80" s="37"/>
      <c r="AB80" s="37"/>
      <c r="AC80" s="34">
        <f t="shared" si="13"/>
        <v>7.5431034482758621</v>
      </c>
      <c r="AD80" s="34">
        <f t="shared" si="14"/>
        <v>7.5431034482758621</v>
      </c>
      <c r="AE80" s="33">
        <f t="shared" si="15"/>
        <v>4126.0775862068967</v>
      </c>
      <c r="AF80" s="33">
        <f t="shared" si="16"/>
        <v>72.516571428571424</v>
      </c>
      <c r="AG80" s="122">
        <v>10.8</v>
      </c>
      <c r="AH80" s="35">
        <v>15.9</v>
      </c>
      <c r="AI80" s="127">
        <v>13.5</v>
      </c>
      <c r="AJ80" s="44" t="s">
        <v>345</v>
      </c>
      <c r="AK80" s="44" t="str">
        <f>VLOOKUP(F80,Hoja1!$A$9:$D$15,2,TRUE)</f>
        <v>Compact</v>
      </c>
      <c r="AL80" s="44">
        <v>2</v>
      </c>
      <c r="AM80" s="112" t="s">
        <v>318</v>
      </c>
      <c r="AN80" s="40" t="s">
        <v>277</v>
      </c>
    </row>
    <row r="81" spans="1:40" s="38" customFormat="1">
      <c r="A81" s="132">
        <v>180</v>
      </c>
      <c r="B81" s="134" t="s">
        <v>135</v>
      </c>
      <c r="C81" s="134" t="s">
        <v>346</v>
      </c>
      <c r="D81" s="35" t="s">
        <v>30</v>
      </c>
      <c r="E81" s="32" t="str">
        <f>VLOOKUP(D81,Hoja1!$B$17:$C$21,2,TRUE)</f>
        <v>C</v>
      </c>
      <c r="F81" s="35" t="s">
        <v>57</v>
      </c>
      <c r="G81" s="32">
        <f>VLOOKUP(F81,Hoja1!$A$9:$D$15,3,TRUE)</f>
        <v>60</v>
      </c>
      <c r="H81" s="32">
        <f>VLOOKUP(F81,Hoja1!$A$9:$D$15,4,TRUE)</f>
        <v>2250</v>
      </c>
      <c r="I81" s="35">
        <v>2019</v>
      </c>
      <c r="J81" s="134" t="s">
        <v>32</v>
      </c>
      <c r="K81" s="133" t="str">
        <f>VLOOKUP(J81,Hoja1!$A$2:$B$3,2,FALSE)</f>
        <v>G</v>
      </c>
      <c r="L81" s="134">
        <v>998</v>
      </c>
      <c r="M81" s="133">
        <f t="shared" si="17"/>
        <v>0.998</v>
      </c>
      <c r="N81" s="35" t="s">
        <v>33</v>
      </c>
      <c r="O81" s="35" t="s">
        <v>34</v>
      </c>
      <c r="P81" s="134" t="s">
        <v>35</v>
      </c>
      <c r="Q81" s="133" t="str">
        <f>VLOOKUP(P81,Hoja1!$A$6:$B$7,2,FALSE)</f>
        <v>M</v>
      </c>
      <c r="R81" s="138">
        <v>524</v>
      </c>
      <c r="S81" s="35">
        <v>119</v>
      </c>
      <c r="T81" s="111">
        <f t="shared" si="23"/>
        <v>62356</v>
      </c>
      <c r="U81" s="37">
        <f t="shared" si="18"/>
        <v>117.1062</v>
      </c>
      <c r="V81" s="141">
        <f t="shared" si="19"/>
        <v>188.42387579999999</v>
      </c>
      <c r="W81" s="34">
        <f t="shared" si="12"/>
        <v>19.955049348369258</v>
      </c>
      <c r="X81" s="34">
        <f t="shared" si="20"/>
        <v>19.955049348369258</v>
      </c>
      <c r="Y81" s="143">
        <f t="shared" si="21"/>
        <v>46.894365968667756</v>
      </c>
      <c r="Z81" s="37">
        <f t="shared" si="22"/>
        <v>11.174050212132265</v>
      </c>
      <c r="AA81" s="37"/>
      <c r="AB81" s="37"/>
      <c r="AC81" s="34">
        <f t="shared" si="13"/>
        <v>5.1293103448275863</v>
      </c>
      <c r="AD81" s="34">
        <f t="shared" si="14"/>
        <v>5.1293103448275863</v>
      </c>
      <c r="AE81" s="33">
        <f t="shared" si="15"/>
        <v>2687.7586206896553</v>
      </c>
      <c r="AF81" s="33">
        <f t="shared" si="16"/>
        <v>102.1579831932773</v>
      </c>
      <c r="AG81" s="122">
        <v>17</v>
      </c>
      <c r="AH81" s="35">
        <v>22.1</v>
      </c>
      <c r="AI81" s="43">
        <v>19.899999999999999</v>
      </c>
      <c r="AJ81" s="44" t="s">
        <v>347</v>
      </c>
      <c r="AK81" s="44" t="str">
        <f>VLOOKUP(F81,Hoja1!$A$9:$D$15,2,TRUE)</f>
        <v>Subcompact</v>
      </c>
      <c r="AL81" s="44">
        <v>1</v>
      </c>
      <c r="AM81" s="112" t="s">
        <v>318</v>
      </c>
      <c r="AN81" s="40" t="s">
        <v>277</v>
      </c>
    </row>
    <row r="82" spans="1:40" s="38" customFormat="1">
      <c r="A82" s="132">
        <v>181</v>
      </c>
      <c r="B82" s="134" t="s">
        <v>135</v>
      </c>
      <c r="C82" s="134" t="s">
        <v>255</v>
      </c>
      <c r="D82" s="35" t="s">
        <v>30</v>
      </c>
      <c r="E82" s="32" t="str">
        <f>VLOOKUP(D82,Hoja1!$B$17:$C$21,2,TRUE)</f>
        <v>C</v>
      </c>
      <c r="F82" s="35" t="s">
        <v>57</v>
      </c>
      <c r="G82" s="32">
        <f>VLOOKUP(F82,Hoja1!$A$9:$D$15,3,TRUE)</f>
        <v>60</v>
      </c>
      <c r="H82" s="32">
        <f>VLOOKUP(F82,Hoja1!$A$9:$D$15,4,TRUE)</f>
        <v>2250</v>
      </c>
      <c r="I82" s="35">
        <v>2019</v>
      </c>
      <c r="J82" s="134" t="s">
        <v>32</v>
      </c>
      <c r="K82" s="133" t="str">
        <f>VLOOKUP(J82,Hoja1!$A$2:$B$3,2,FALSE)</f>
        <v>G</v>
      </c>
      <c r="L82" s="134">
        <v>998</v>
      </c>
      <c r="M82" s="133">
        <f t="shared" si="17"/>
        <v>0.998</v>
      </c>
      <c r="N82" s="35" t="s">
        <v>33</v>
      </c>
      <c r="O82" s="35" t="s">
        <v>34</v>
      </c>
      <c r="P82" s="134" t="s">
        <v>35</v>
      </c>
      <c r="Q82" s="133" t="str">
        <f>VLOOKUP(P82,Hoja1!$A$6:$B$7,2,FALSE)</f>
        <v>M</v>
      </c>
      <c r="R82" s="138">
        <v>475</v>
      </c>
      <c r="S82" s="35">
        <v>126</v>
      </c>
      <c r="T82" s="111">
        <f t="shared" si="23"/>
        <v>59850</v>
      </c>
      <c r="U82" s="37">
        <f t="shared" si="18"/>
        <v>123.16679999999999</v>
      </c>
      <c r="V82" s="141">
        <f t="shared" si="19"/>
        <v>198.1753812</v>
      </c>
      <c r="W82" s="34">
        <f t="shared" si="12"/>
        <v>18.973132370086745</v>
      </c>
      <c r="X82" s="34">
        <f t="shared" si="20"/>
        <v>18.973132370086745</v>
      </c>
      <c r="Y82" s="143">
        <f t="shared" si="21"/>
        <v>44.586861069703851</v>
      </c>
      <c r="Z82" s="37">
        <f t="shared" si="22"/>
        <v>10.653362641012553</v>
      </c>
      <c r="AA82" s="37"/>
      <c r="AB82" s="37"/>
      <c r="AC82" s="34">
        <f t="shared" si="13"/>
        <v>5.431034482758621</v>
      </c>
      <c r="AD82" s="34">
        <f t="shared" si="14"/>
        <v>5.431034482758621</v>
      </c>
      <c r="AE82" s="33">
        <f t="shared" si="15"/>
        <v>2579.7413793103451</v>
      </c>
      <c r="AF82" s="33">
        <f t="shared" si="16"/>
        <v>87.460317460317455</v>
      </c>
      <c r="AG82" s="122">
        <v>15.2</v>
      </c>
      <c r="AH82" s="35">
        <v>21.9</v>
      </c>
      <c r="AI82" s="43">
        <v>18.8</v>
      </c>
      <c r="AJ82" s="44" t="s">
        <v>297</v>
      </c>
      <c r="AK82" s="44" t="str">
        <f>VLOOKUP(F82,Hoja1!$A$9:$D$15,2,TRUE)</f>
        <v>Subcompact</v>
      </c>
      <c r="AL82" s="44">
        <v>1</v>
      </c>
      <c r="AM82" s="44" t="s">
        <v>37</v>
      </c>
      <c r="AN82" s="40" t="s">
        <v>38</v>
      </c>
    </row>
    <row r="83" spans="1:40" s="38" customFormat="1">
      <c r="A83" s="132">
        <v>182</v>
      </c>
      <c r="B83" s="134" t="s">
        <v>50</v>
      </c>
      <c r="C83" s="134" t="s">
        <v>98</v>
      </c>
      <c r="D83" s="35" t="s">
        <v>60</v>
      </c>
      <c r="E83" s="32" t="str">
        <f>VLOOKUP(D83,Hoja1!$B$17:$C$21,2,TRUE)</f>
        <v>T</v>
      </c>
      <c r="F83" s="35" t="s">
        <v>31</v>
      </c>
      <c r="G83" s="32">
        <f>VLOOKUP(F83,Hoja1!$A$9:$D$15,3,TRUE)</f>
        <v>90</v>
      </c>
      <c r="H83" s="32">
        <f>VLOOKUP(F83,Hoja1!$A$9:$D$15,4,TRUE)</f>
        <v>4250</v>
      </c>
      <c r="I83" s="35">
        <v>2019</v>
      </c>
      <c r="J83" s="134" t="s">
        <v>32</v>
      </c>
      <c r="K83" s="133" t="str">
        <f>VLOOKUP(J83,Hoja1!$A$2:$B$3,2,FALSE)</f>
        <v>G</v>
      </c>
      <c r="L83" s="134">
        <v>1998</v>
      </c>
      <c r="M83" s="133">
        <f t="shared" si="17"/>
        <v>1.998</v>
      </c>
      <c r="N83" s="35" t="s">
        <v>33</v>
      </c>
      <c r="O83" s="35" t="s">
        <v>34</v>
      </c>
      <c r="P83" s="134" t="s">
        <v>74</v>
      </c>
      <c r="Q83" s="133" t="str">
        <f>VLOOKUP(P83,Hoja1!$A$6:$B$7,2,FALSE)</f>
        <v>A</v>
      </c>
      <c r="R83" s="138">
        <v>473</v>
      </c>
      <c r="S83" s="59">
        <v>183</v>
      </c>
      <c r="T83" s="111">
        <f t="shared" si="23"/>
        <v>86559</v>
      </c>
      <c r="U83" s="37">
        <f t="shared" si="18"/>
        <v>172.51740000000001</v>
      </c>
      <c r="V83" s="141">
        <f t="shared" si="19"/>
        <v>277.5804966</v>
      </c>
      <c r="W83" s="34">
        <f t="shared" si="12"/>
        <v>13.545648149114234</v>
      </c>
      <c r="X83" s="34">
        <f t="shared" si="20"/>
        <v>13.545648149114234</v>
      </c>
      <c r="Y83" s="143">
        <f t="shared" si="21"/>
        <v>31.832273150418452</v>
      </c>
      <c r="Z83" s="37">
        <f t="shared" si="22"/>
        <v>14.859133614646749</v>
      </c>
      <c r="AA83" s="37"/>
      <c r="AB83" s="37"/>
      <c r="AC83" s="34">
        <f t="shared" si="13"/>
        <v>7.8879310344827589</v>
      </c>
      <c r="AD83" s="34">
        <f t="shared" si="14"/>
        <v>7.8879310344827589</v>
      </c>
      <c r="AE83" s="33">
        <f t="shared" si="15"/>
        <v>3730.9913793103451</v>
      </c>
      <c r="AF83" s="33">
        <f t="shared" si="16"/>
        <v>59.965027322404367</v>
      </c>
      <c r="AG83" s="121">
        <v>10.199999999999999</v>
      </c>
      <c r="AH83" s="59">
        <v>15.4</v>
      </c>
      <c r="AI83" s="39">
        <v>13</v>
      </c>
      <c r="AJ83" s="59" t="s">
        <v>235</v>
      </c>
      <c r="AK83" s="44" t="str">
        <f>VLOOKUP(F83,Hoja1!$A$9:$D$15,2,TRUE)</f>
        <v>Midsize</v>
      </c>
      <c r="AL83" s="59">
        <v>7</v>
      </c>
      <c r="AM83" s="59" t="s">
        <v>37</v>
      </c>
      <c r="AN83" s="36" t="s">
        <v>38</v>
      </c>
    </row>
    <row r="84" spans="1:40" s="38" customFormat="1">
      <c r="A84" s="132">
        <v>183</v>
      </c>
      <c r="B84" s="134" t="s">
        <v>62</v>
      </c>
      <c r="C84" s="134" t="s">
        <v>282</v>
      </c>
      <c r="D84" s="35" t="s">
        <v>60</v>
      </c>
      <c r="E84" s="32" t="str">
        <f>VLOOKUP(D84,Hoja1!$B$17:$C$21,2,TRUE)</f>
        <v>T</v>
      </c>
      <c r="F84" s="35" t="s">
        <v>147</v>
      </c>
      <c r="G84" s="32">
        <f>VLOOKUP(F84,Hoja1!$A$9:$D$15,3,TRUE)</f>
        <v>100</v>
      </c>
      <c r="H84" s="32">
        <f>VLOOKUP(F84,Hoja1!$A$9:$D$15,4,TRUE)</f>
        <v>5250</v>
      </c>
      <c r="I84" s="35">
        <v>2019</v>
      </c>
      <c r="J84" s="134" t="s">
        <v>32</v>
      </c>
      <c r="K84" s="133" t="str">
        <f>VLOOKUP(J84,Hoja1!$A$2:$B$3,2,FALSE)</f>
        <v>G</v>
      </c>
      <c r="L84" s="134">
        <v>1999</v>
      </c>
      <c r="M84" s="133">
        <f t="shared" si="17"/>
        <v>1.9990000000000001</v>
      </c>
      <c r="N84" s="35" t="s">
        <v>33</v>
      </c>
      <c r="O84" s="35" t="s">
        <v>34</v>
      </c>
      <c r="P84" s="134" t="s">
        <v>74</v>
      </c>
      <c r="Q84" s="133" t="str">
        <f>VLOOKUP(P84,Hoja1!$A$6:$B$7,2,FALSE)</f>
        <v>A</v>
      </c>
      <c r="R84" s="138">
        <v>471</v>
      </c>
      <c r="S84" s="35">
        <v>224</v>
      </c>
      <c r="T84" s="111">
        <f t="shared" si="23"/>
        <v>105504</v>
      </c>
      <c r="U84" s="37">
        <f t="shared" si="18"/>
        <v>208.01519999999999</v>
      </c>
      <c r="V84" s="141">
        <f t="shared" si="19"/>
        <v>334.69645679999996</v>
      </c>
      <c r="W84" s="34">
        <f t="shared" si="12"/>
        <v>11.234082893942366</v>
      </c>
      <c r="X84" s="34">
        <f t="shared" si="20"/>
        <v>11.234082893942366</v>
      </c>
      <c r="Y84" s="143">
        <f t="shared" si="21"/>
        <v>26.400094800764563</v>
      </c>
      <c r="Z84" s="37">
        <f t="shared" si="22"/>
        <v>17.840845025539814</v>
      </c>
      <c r="AA84" s="37"/>
      <c r="AB84" s="37"/>
      <c r="AC84" s="34">
        <f t="shared" si="13"/>
        <v>9.6551724137931032</v>
      </c>
      <c r="AD84" s="34">
        <f t="shared" si="14"/>
        <v>9.6551724137931032</v>
      </c>
      <c r="AE84" s="33">
        <f t="shared" si="15"/>
        <v>4547.5862068965516</v>
      </c>
      <c r="AF84" s="33">
        <f t="shared" si="16"/>
        <v>48.782142857142858</v>
      </c>
      <c r="AG84" s="122">
        <v>7.8</v>
      </c>
      <c r="AH84" s="35">
        <v>12.9</v>
      </c>
      <c r="AI84" s="43">
        <v>10.4</v>
      </c>
      <c r="AJ84" s="44" t="s">
        <v>283</v>
      </c>
      <c r="AK84" s="44" t="str">
        <f>VLOOKUP(F84,Hoja1!$A$9:$D$15,2,TRUE)</f>
        <v>Large</v>
      </c>
      <c r="AL84" s="44">
        <v>11</v>
      </c>
      <c r="AM84" s="44" t="s">
        <v>37</v>
      </c>
      <c r="AN84" s="40" t="s">
        <v>38</v>
      </c>
    </row>
    <row r="85" spans="1:40" s="38" customFormat="1">
      <c r="A85" s="132">
        <v>184</v>
      </c>
      <c r="B85" s="134" t="s">
        <v>55</v>
      </c>
      <c r="C85" s="134" t="s">
        <v>56</v>
      </c>
      <c r="D85" s="35" t="s">
        <v>30</v>
      </c>
      <c r="E85" s="32" t="str">
        <f>VLOOKUP(D85,Hoja1!$B$17:$C$21,2,TRUE)</f>
        <v>C</v>
      </c>
      <c r="F85" s="35" t="s">
        <v>57</v>
      </c>
      <c r="G85" s="32">
        <f>VLOOKUP(F85,Hoja1!$A$9:$D$15,3,TRUE)</f>
        <v>60</v>
      </c>
      <c r="H85" s="32">
        <f>VLOOKUP(F85,Hoja1!$A$9:$D$15,4,TRUE)</f>
        <v>2250</v>
      </c>
      <c r="I85" s="35">
        <v>2019</v>
      </c>
      <c r="J85" s="134" t="s">
        <v>32</v>
      </c>
      <c r="K85" s="133" t="str">
        <f>VLOOKUP(J85,Hoja1!$A$2:$B$3,2,FALSE)</f>
        <v>G</v>
      </c>
      <c r="L85" s="134">
        <v>1248</v>
      </c>
      <c r="M85" s="133">
        <f t="shared" si="17"/>
        <v>1.248</v>
      </c>
      <c r="N85" s="35" t="s">
        <v>33</v>
      </c>
      <c r="O85" s="35" t="s">
        <v>34</v>
      </c>
      <c r="P85" s="134" t="s">
        <v>74</v>
      </c>
      <c r="Q85" s="133" t="str">
        <f>VLOOKUP(P85,Hoja1!$A$6:$B$7,2,FALSE)</f>
        <v>A</v>
      </c>
      <c r="R85" s="138">
        <v>468</v>
      </c>
      <c r="S85" s="59">
        <v>117</v>
      </c>
      <c r="T85" s="111">
        <f t="shared" si="23"/>
        <v>54756</v>
      </c>
      <c r="U85" s="37">
        <f t="shared" si="18"/>
        <v>115.37460000000002</v>
      </c>
      <c r="V85" s="141">
        <f t="shared" si="19"/>
        <v>185.63773140000004</v>
      </c>
      <c r="W85" s="34">
        <f t="shared" si="12"/>
        <v>20.254544761151934</v>
      </c>
      <c r="X85" s="34">
        <f t="shared" si="20"/>
        <v>20.254544761151934</v>
      </c>
      <c r="Y85" s="143">
        <f t="shared" si="21"/>
        <v>47.598180188707047</v>
      </c>
      <c r="Z85" s="37">
        <f t="shared" si="22"/>
        <v>9.8323086753437643</v>
      </c>
      <c r="AA85" s="37"/>
      <c r="AB85" s="37"/>
      <c r="AC85" s="34">
        <f t="shared" si="13"/>
        <v>5.0431034482758621</v>
      </c>
      <c r="AD85" s="34">
        <f t="shared" si="14"/>
        <v>5.0431034482758621</v>
      </c>
      <c r="AE85" s="33">
        <f t="shared" si="15"/>
        <v>2360.1724137931033</v>
      </c>
      <c r="AF85" s="33">
        <f t="shared" si="16"/>
        <v>92.8</v>
      </c>
      <c r="AG85" s="121">
        <v>15</v>
      </c>
      <c r="AH85" s="59">
        <v>25.7</v>
      </c>
      <c r="AI85" s="39">
        <v>20.399999999999999</v>
      </c>
      <c r="AJ85" s="59" t="s">
        <v>58</v>
      </c>
      <c r="AK85" s="44" t="str">
        <f>VLOOKUP(F85,Hoja1!$A$9:$D$15,2,TRUE)</f>
        <v>Subcompact</v>
      </c>
      <c r="AL85" s="59">
        <v>1</v>
      </c>
      <c r="AM85" s="59" t="s">
        <v>37</v>
      </c>
      <c r="AN85" s="36" t="s">
        <v>38</v>
      </c>
    </row>
    <row r="86" spans="1:40" s="38" customFormat="1">
      <c r="A86" s="132">
        <v>185</v>
      </c>
      <c r="B86" s="134" t="s">
        <v>62</v>
      </c>
      <c r="C86" s="134" t="s">
        <v>73</v>
      </c>
      <c r="D86" s="35" t="s">
        <v>60</v>
      </c>
      <c r="E86" s="32" t="str">
        <f>VLOOKUP(D86,Hoja1!$B$17:$C$21,2,TRUE)</f>
        <v>T</v>
      </c>
      <c r="F86" s="35" t="s">
        <v>31</v>
      </c>
      <c r="G86" s="32">
        <f>VLOOKUP(F86,Hoja1!$A$9:$D$15,3,TRUE)</f>
        <v>90</v>
      </c>
      <c r="H86" s="32">
        <f>VLOOKUP(F86,Hoja1!$A$9:$D$15,4,TRUE)</f>
        <v>4250</v>
      </c>
      <c r="I86" s="35">
        <v>2019</v>
      </c>
      <c r="J86" s="134" t="s">
        <v>32</v>
      </c>
      <c r="K86" s="133" t="str">
        <f>VLOOKUP(J86,Hoja1!$A$2:$B$3,2,FALSE)</f>
        <v>G</v>
      </c>
      <c r="L86" s="134">
        <v>1497</v>
      </c>
      <c r="M86" s="133">
        <f t="shared" si="17"/>
        <v>1.4970000000000001</v>
      </c>
      <c r="N86" s="35" t="s">
        <v>33</v>
      </c>
      <c r="O86" s="35" t="s">
        <v>34</v>
      </c>
      <c r="P86" s="134" t="s">
        <v>74</v>
      </c>
      <c r="Q86" s="133" t="str">
        <f>VLOOKUP(P86,Hoja1!$A$6:$B$7,2,FALSE)</f>
        <v>A</v>
      </c>
      <c r="R86" s="138">
        <v>457</v>
      </c>
      <c r="S86" s="35">
        <v>164</v>
      </c>
      <c r="T86" s="111">
        <f t="shared" si="23"/>
        <v>74948</v>
      </c>
      <c r="U86" s="37">
        <f t="shared" si="18"/>
        <v>156.06719999999999</v>
      </c>
      <c r="V86" s="141">
        <f t="shared" si="19"/>
        <v>251.11212479999998</v>
      </c>
      <c r="W86" s="34">
        <f t="shared" si="12"/>
        <v>14.973421705521726</v>
      </c>
      <c r="X86" s="34">
        <f t="shared" si="20"/>
        <v>14.973421705521726</v>
      </c>
      <c r="Y86" s="143">
        <f t="shared" si="21"/>
        <v>35.187541007976058</v>
      </c>
      <c r="Z86" s="37">
        <f t="shared" si="22"/>
        <v>12.987551471596452</v>
      </c>
      <c r="AA86" s="37"/>
      <c r="AB86" s="37"/>
      <c r="AC86" s="34">
        <f t="shared" si="13"/>
        <v>7.0689655172413799</v>
      </c>
      <c r="AD86" s="34">
        <f t="shared" si="14"/>
        <v>7.0689655172413799</v>
      </c>
      <c r="AE86" s="33">
        <f t="shared" si="15"/>
        <v>3230.5172413793107</v>
      </c>
      <c r="AF86" s="33">
        <f t="shared" si="16"/>
        <v>64.648780487804871</v>
      </c>
      <c r="AG86" s="122">
        <v>10.7</v>
      </c>
      <c r="AH86" s="35">
        <v>18.100000000000001</v>
      </c>
      <c r="AI86" s="43">
        <v>14.4</v>
      </c>
      <c r="AJ86" s="44" t="s">
        <v>348</v>
      </c>
      <c r="AK86" s="44" t="str">
        <f>VLOOKUP(F86,Hoja1!$A$9:$D$15,2,TRUE)</f>
        <v>Midsize</v>
      </c>
      <c r="AL86" s="44">
        <v>7</v>
      </c>
      <c r="AM86" s="44" t="s">
        <v>37</v>
      </c>
      <c r="AN86" s="40" t="s">
        <v>38</v>
      </c>
    </row>
    <row r="87" spans="1:40" s="38" customFormat="1">
      <c r="A87" s="132">
        <v>186</v>
      </c>
      <c r="B87" s="134" t="s">
        <v>151</v>
      </c>
      <c r="C87" s="134" t="s">
        <v>335</v>
      </c>
      <c r="D87" s="35" t="s">
        <v>60</v>
      </c>
      <c r="E87" s="32" t="str">
        <f>VLOOKUP(D87,Hoja1!$B$17:$C$21,2,TRUE)</f>
        <v>T</v>
      </c>
      <c r="F87" s="35" t="s">
        <v>313</v>
      </c>
      <c r="G87" s="32">
        <f>VLOOKUP(F87,Hoja1!$A$9:$D$15,3,TRUE)</f>
        <v>90</v>
      </c>
      <c r="H87" s="32">
        <f>VLOOKUP(F87,Hoja1!$A$9:$D$15,4,TRUE)</f>
        <v>4250</v>
      </c>
      <c r="I87" s="35">
        <v>2019</v>
      </c>
      <c r="J87" s="134" t="s">
        <v>32</v>
      </c>
      <c r="K87" s="133" t="str">
        <f>VLOOKUP(J87,Hoja1!$A$2:$B$3,2,FALSE)</f>
        <v>G</v>
      </c>
      <c r="L87" s="134">
        <v>1999</v>
      </c>
      <c r="M87" s="133">
        <f t="shared" si="17"/>
        <v>1.9990000000000001</v>
      </c>
      <c r="N87" s="35" t="s">
        <v>33</v>
      </c>
      <c r="O87" s="35" t="s">
        <v>34</v>
      </c>
      <c r="P87" s="134" t="s">
        <v>35</v>
      </c>
      <c r="Q87" s="133" t="str">
        <f>VLOOKUP(P87,Hoja1!$A$6:$B$7,2,FALSE)</f>
        <v>M</v>
      </c>
      <c r="R87" s="138">
        <v>438</v>
      </c>
      <c r="S87" s="35">
        <v>186</v>
      </c>
      <c r="T87" s="111">
        <f t="shared" si="23"/>
        <v>81468</v>
      </c>
      <c r="U87" s="37">
        <f t="shared" si="18"/>
        <v>175.1148</v>
      </c>
      <c r="V87" s="141">
        <f t="shared" si="19"/>
        <v>281.75971320000002</v>
      </c>
      <c r="W87" s="34">
        <f t="shared" si="12"/>
        <v>13.344731570375549</v>
      </c>
      <c r="X87" s="34">
        <f t="shared" si="20"/>
        <v>13.344731570375549</v>
      </c>
      <c r="Y87" s="143">
        <f t="shared" si="21"/>
        <v>31.360119190382541</v>
      </c>
      <c r="Z87" s="37">
        <f t="shared" si="22"/>
        <v>13.966783650947505</v>
      </c>
      <c r="AA87" s="37"/>
      <c r="AB87" s="37"/>
      <c r="AC87" s="34">
        <f t="shared" si="13"/>
        <v>8.0172413793103452</v>
      </c>
      <c r="AD87" s="34">
        <f t="shared" si="14"/>
        <v>8.0172413793103452</v>
      </c>
      <c r="AE87" s="33">
        <f t="shared" si="15"/>
        <v>3511.5517241379312</v>
      </c>
      <c r="AF87" s="33">
        <f t="shared" si="16"/>
        <v>54.63225806451613</v>
      </c>
      <c r="AG87" s="122">
        <v>9.1999999999999993</v>
      </c>
      <c r="AH87" s="35">
        <v>15.7</v>
      </c>
      <c r="AI87" s="43">
        <v>11.6</v>
      </c>
      <c r="AJ87" s="44" t="s">
        <v>349</v>
      </c>
      <c r="AK87" s="44" t="str">
        <f>VLOOKUP(F87,Hoja1!$A$9:$D$15,2,TRUE)</f>
        <v>Midsize</v>
      </c>
      <c r="AL87" s="44">
        <v>7</v>
      </c>
      <c r="AM87" s="112" t="s">
        <v>318</v>
      </c>
      <c r="AN87" s="40" t="s">
        <v>277</v>
      </c>
    </row>
    <row r="88" spans="1:40" s="38" customFormat="1">
      <c r="A88" s="132">
        <v>187</v>
      </c>
      <c r="B88" s="134" t="s">
        <v>135</v>
      </c>
      <c r="C88" s="134" t="s">
        <v>325</v>
      </c>
      <c r="D88" s="35" t="s">
        <v>30</v>
      </c>
      <c r="E88" s="32" t="str">
        <f>VLOOKUP(D88,Hoja1!$B$17:$C$21,2,TRUE)</f>
        <v>C</v>
      </c>
      <c r="F88" s="35" t="s">
        <v>40</v>
      </c>
      <c r="G88" s="32">
        <f>VLOOKUP(F88,Hoja1!$A$9:$D$15,3,TRUE)</f>
        <v>80</v>
      </c>
      <c r="H88" s="32">
        <f>VLOOKUP(F88,Hoja1!$A$9:$D$15,4,TRUE)</f>
        <v>3500</v>
      </c>
      <c r="I88" s="35">
        <v>2019</v>
      </c>
      <c r="J88" s="134" t="s">
        <v>32</v>
      </c>
      <c r="K88" s="133" t="str">
        <f>VLOOKUP(J88,Hoja1!$A$2:$B$3,2,FALSE)</f>
        <v>G</v>
      </c>
      <c r="L88" s="134">
        <v>1197</v>
      </c>
      <c r="M88" s="133">
        <f t="shared" si="17"/>
        <v>1.1970000000000001</v>
      </c>
      <c r="N88" s="35" t="s">
        <v>33</v>
      </c>
      <c r="O88" s="35" t="s">
        <v>34</v>
      </c>
      <c r="P88" s="134" t="s">
        <v>35</v>
      </c>
      <c r="Q88" s="133" t="str">
        <f>VLOOKUP(P88,Hoja1!$A$6:$B$7,2,FALSE)</f>
        <v>M</v>
      </c>
      <c r="R88" s="138">
        <v>427</v>
      </c>
      <c r="S88" s="35">
        <v>115</v>
      </c>
      <c r="T88" s="111">
        <f t="shared" si="23"/>
        <v>49105</v>
      </c>
      <c r="U88" s="37">
        <f t="shared" si="18"/>
        <v>113.643</v>
      </c>
      <c r="V88" s="141">
        <f t="shared" si="19"/>
        <v>182.85158699999999</v>
      </c>
      <c r="W88" s="34">
        <f t="shared" si="12"/>
        <v>20.563167111040716</v>
      </c>
      <c r="X88" s="34">
        <f t="shared" si="20"/>
        <v>20.563167111040716</v>
      </c>
      <c r="Y88" s="143">
        <f t="shared" si="21"/>
        <v>48.323442710945685</v>
      </c>
      <c r="Z88" s="37">
        <f t="shared" si="22"/>
        <v>8.8362909603557842</v>
      </c>
      <c r="AA88" s="37"/>
      <c r="AB88" s="37"/>
      <c r="AC88" s="34">
        <f t="shared" si="13"/>
        <v>4.9568965517241379</v>
      </c>
      <c r="AD88" s="34">
        <f t="shared" si="14"/>
        <v>4.9568965517241379</v>
      </c>
      <c r="AE88" s="33">
        <f t="shared" si="15"/>
        <v>2116.594827586207</v>
      </c>
      <c r="AF88" s="33">
        <f t="shared" si="16"/>
        <v>86.142608695652171</v>
      </c>
      <c r="AG88" s="122">
        <v>16.3</v>
      </c>
      <c r="AH88" s="35">
        <v>24</v>
      </c>
      <c r="AI88" s="43">
        <v>20.5</v>
      </c>
      <c r="AJ88" s="44" t="s">
        <v>185</v>
      </c>
      <c r="AK88" s="44" t="str">
        <f>VLOOKUP(F88,Hoja1!$A$9:$D$15,2,TRUE)</f>
        <v>Compact</v>
      </c>
      <c r="AL88" s="44">
        <v>2</v>
      </c>
      <c r="AM88" s="44" t="s">
        <v>37</v>
      </c>
      <c r="AN88" s="40" t="s">
        <v>38</v>
      </c>
    </row>
    <row r="89" spans="1:40" s="38" customFormat="1">
      <c r="A89" s="132">
        <v>188</v>
      </c>
      <c r="B89" s="134" t="s">
        <v>62</v>
      </c>
      <c r="C89" s="134" t="s">
        <v>63</v>
      </c>
      <c r="D89" s="35" t="s">
        <v>30</v>
      </c>
      <c r="E89" s="32" t="str">
        <f>VLOOKUP(D89,Hoja1!$B$17:$C$21,2,TRUE)</f>
        <v>C</v>
      </c>
      <c r="F89" s="35" t="s">
        <v>313</v>
      </c>
      <c r="G89" s="32">
        <f>VLOOKUP(F89,Hoja1!$A$9:$D$15,3,TRUE)</f>
        <v>90</v>
      </c>
      <c r="H89" s="32">
        <f>VLOOKUP(F89,Hoja1!$A$9:$D$15,4,TRUE)</f>
        <v>4250</v>
      </c>
      <c r="I89" s="35">
        <v>2019</v>
      </c>
      <c r="J89" s="134" t="s">
        <v>32</v>
      </c>
      <c r="K89" s="133" t="str">
        <f>VLOOKUP(J89,Hoja1!$A$2:$B$3,2,FALSE)</f>
        <v>G</v>
      </c>
      <c r="L89" s="134">
        <v>1597</v>
      </c>
      <c r="M89" s="133">
        <f t="shared" si="17"/>
        <v>1.597</v>
      </c>
      <c r="N89" s="35" t="s">
        <v>33</v>
      </c>
      <c r="O89" s="35" t="s">
        <v>34</v>
      </c>
      <c r="P89" s="134" t="s">
        <v>74</v>
      </c>
      <c r="Q89" s="133" t="str">
        <f>VLOOKUP(P89,Hoja1!$A$6:$B$7,2,FALSE)</f>
        <v>A</v>
      </c>
      <c r="R89" s="138">
        <v>416</v>
      </c>
      <c r="S89" s="59">
        <v>153</v>
      </c>
      <c r="T89" s="111">
        <f t="shared" si="23"/>
        <v>63648</v>
      </c>
      <c r="U89" s="37">
        <f t="shared" si="18"/>
        <v>146.54339999999999</v>
      </c>
      <c r="V89" s="141">
        <f t="shared" si="19"/>
        <v>235.78833059999999</v>
      </c>
      <c r="W89" s="34">
        <f t="shared" si="12"/>
        <v>15.946538704574893</v>
      </c>
      <c r="X89" s="34">
        <f t="shared" si="20"/>
        <v>15.946538704574893</v>
      </c>
      <c r="Y89" s="143">
        <f t="shared" si="21"/>
        <v>37.474365955750997</v>
      </c>
      <c r="Z89" s="37">
        <f t="shared" si="22"/>
        <v>11.100921640440953</v>
      </c>
      <c r="AA89" s="37"/>
      <c r="AB89" s="37"/>
      <c r="AC89" s="34">
        <f t="shared" si="13"/>
        <v>6.5948275862068968</v>
      </c>
      <c r="AD89" s="34">
        <f t="shared" si="14"/>
        <v>6.5948275862068968</v>
      </c>
      <c r="AE89" s="33">
        <f t="shared" si="15"/>
        <v>2743.4482758620688</v>
      </c>
      <c r="AF89" s="33">
        <f t="shared" si="16"/>
        <v>63.079738562091499</v>
      </c>
      <c r="AG89" s="121">
        <v>11.4</v>
      </c>
      <c r="AH89" s="59">
        <v>19.600000000000001</v>
      </c>
      <c r="AI89" s="39">
        <v>15.5</v>
      </c>
      <c r="AJ89" s="59" t="s">
        <v>234</v>
      </c>
      <c r="AK89" s="44" t="str">
        <f>VLOOKUP(F89,Hoja1!$A$9:$D$15,2,TRUE)</f>
        <v>Midsize</v>
      </c>
      <c r="AL89" s="59">
        <v>3</v>
      </c>
      <c r="AM89" s="59" t="s">
        <v>37</v>
      </c>
      <c r="AN89" s="36" t="s">
        <v>181</v>
      </c>
    </row>
    <row r="90" spans="1:40" s="38" customFormat="1">
      <c r="A90" s="132">
        <v>189</v>
      </c>
      <c r="B90" s="134" t="s">
        <v>55</v>
      </c>
      <c r="C90" s="134" t="s">
        <v>350</v>
      </c>
      <c r="D90" s="35" t="s">
        <v>60</v>
      </c>
      <c r="E90" s="32" t="str">
        <f>VLOOKUP(D90,Hoja1!$B$17:$C$21,2,TRUE)</f>
        <v>T</v>
      </c>
      <c r="F90" s="35" t="s">
        <v>31</v>
      </c>
      <c r="G90" s="32">
        <f>VLOOKUP(F90,Hoja1!$A$9:$D$15,3,TRUE)</f>
        <v>90</v>
      </c>
      <c r="H90" s="32">
        <f>VLOOKUP(F90,Hoja1!$A$9:$D$15,4,TRUE)</f>
        <v>4250</v>
      </c>
      <c r="I90" s="35">
        <v>2019</v>
      </c>
      <c r="J90" s="134" t="s">
        <v>32</v>
      </c>
      <c r="K90" s="133" t="str">
        <f>VLOOKUP(J90,Hoja1!$A$2:$B$3,2,FALSE)</f>
        <v>G</v>
      </c>
      <c r="L90" s="134">
        <v>1580</v>
      </c>
      <c r="M90" s="133">
        <f t="shared" si="17"/>
        <v>1.58</v>
      </c>
      <c r="N90" s="35" t="s">
        <v>33</v>
      </c>
      <c r="O90" s="35" t="s">
        <v>34</v>
      </c>
      <c r="P90" s="134" t="s">
        <v>74</v>
      </c>
      <c r="Q90" s="133" t="str">
        <f>VLOOKUP(P90,Hoja1!$A$6:$B$7,2,FALSE)</f>
        <v>A</v>
      </c>
      <c r="R90" s="138">
        <v>397</v>
      </c>
      <c r="S90" s="35">
        <v>120</v>
      </c>
      <c r="T90" s="111">
        <f t="shared" si="23"/>
        <v>47640</v>
      </c>
      <c r="U90" s="37">
        <f t="shared" si="18"/>
        <v>117.97200000000001</v>
      </c>
      <c r="V90" s="141">
        <f t="shared" si="19"/>
        <v>189.81694800000002</v>
      </c>
      <c r="W90" s="34">
        <f t="shared" si="12"/>
        <v>19.808598650527244</v>
      </c>
      <c r="X90" s="34">
        <f t="shared" si="20"/>
        <v>19.808598650527244</v>
      </c>
      <c r="Y90" s="143">
        <f t="shared" si="21"/>
        <v>46.550206828739029</v>
      </c>
      <c r="Z90" s="37">
        <f t="shared" si="22"/>
        <v>8.528426124089771</v>
      </c>
      <c r="AA90" s="37"/>
      <c r="AB90" s="37"/>
      <c r="AC90" s="34">
        <f t="shared" si="13"/>
        <v>5.1724137931034484</v>
      </c>
      <c r="AD90" s="34">
        <f t="shared" si="14"/>
        <v>5.1724137931034484</v>
      </c>
      <c r="AE90" s="33">
        <f t="shared" si="15"/>
        <v>2053.4482758620688</v>
      </c>
      <c r="AF90" s="33">
        <f t="shared" si="16"/>
        <v>76.75333333333333</v>
      </c>
      <c r="AG90" s="122">
        <v>18.399999999999999</v>
      </c>
      <c r="AH90" s="35">
        <v>20.6</v>
      </c>
      <c r="AI90" s="43">
        <v>19.8</v>
      </c>
      <c r="AJ90" s="44" t="s">
        <v>351</v>
      </c>
      <c r="AK90" s="44" t="str">
        <f>VLOOKUP(F90,Hoja1!$A$9:$D$15,2,TRUE)</f>
        <v>Midsize</v>
      </c>
      <c r="AL90" s="44">
        <v>7</v>
      </c>
      <c r="AM90" s="112" t="s">
        <v>318</v>
      </c>
      <c r="AN90" s="40" t="s">
        <v>277</v>
      </c>
    </row>
    <row r="91" spans="1:40" s="38" customFormat="1">
      <c r="A91" s="132">
        <v>190</v>
      </c>
      <c r="B91" s="134" t="s">
        <v>190</v>
      </c>
      <c r="C91" s="134" t="s">
        <v>332</v>
      </c>
      <c r="D91" s="35" t="s">
        <v>94</v>
      </c>
      <c r="E91" s="32" t="str">
        <f>VLOOKUP(D91,Hoja1!$B$17:$C$21,2,TRUE)</f>
        <v>T</v>
      </c>
      <c r="F91" s="35" t="s">
        <v>31</v>
      </c>
      <c r="G91" s="32">
        <f>VLOOKUP(F91,Hoja1!$A$9:$D$15,3,TRUE)</f>
        <v>90</v>
      </c>
      <c r="H91" s="32">
        <f>VLOOKUP(F91,Hoja1!$A$9:$D$15,4,TRUE)</f>
        <v>4250</v>
      </c>
      <c r="I91" s="35">
        <v>2019</v>
      </c>
      <c r="J91" s="134" t="s">
        <v>32</v>
      </c>
      <c r="K91" s="133" t="str">
        <f>VLOOKUP(J91,Hoja1!$A$2:$B$3,2,FALSE)</f>
        <v>G</v>
      </c>
      <c r="L91" s="134">
        <v>1498</v>
      </c>
      <c r="M91" s="133">
        <f t="shared" si="17"/>
        <v>1.498</v>
      </c>
      <c r="N91" s="35" t="s">
        <v>33</v>
      </c>
      <c r="O91" s="35" t="s">
        <v>34</v>
      </c>
      <c r="P91" s="134" t="s">
        <v>74</v>
      </c>
      <c r="Q91" s="133" t="str">
        <f>VLOOKUP(P91,Hoja1!$A$6:$B$7,2,FALSE)</f>
        <v>A</v>
      </c>
      <c r="R91" s="138">
        <v>378</v>
      </c>
      <c r="S91" s="35">
        <v>169</v>
      </c>
      <c r="T91" s="111">
        <f t="shared" si="23"/>
        <v>63882</v>
      </c>
      <c r="U91" s="37">
        <f t="shared" si="18"/>
        <v>160.39619999999999</v>
      </c>
      <c r="V91" s="141">
        <f t="shared" si="19"/>
        <v>258.07748579999998</v>
      </c>
      <c r="W91" s="34">
        <f t="shared" si="12"/>
        <v>14.569297776381237</v>
      </c>
      <c r="X91" s="34">
        <f t="shared" si="20"/>
        <v>14.569297776381237</v>
      </c>
      <c r="Y91" s="143">
        <f t="shared" si="21"/>
        <v>34.237849774495906</v>
      </c>
      <c r="Z91" s="37">
        <f t="shared" si="22"/>
        <v>11.040412949109196</v>
      </c>
      <c r="AA91" s="37"/>
      <c r="AB91" s="37"/>
      <c r="AC91" s="34">
        <f t="shared" si="13"/>
        <v>7.2844827586206895</v>
      </c>
      <c r="AD91" s="34">
        <f t="shared" si="14"/>
        <v>7.2844827586206895</v>
      </c>
      <c r="AE91" s="33">
        <f t="shared" si="15"/>
        <v>2753.5344827586205</v>
      </c>
      <c r="AF91" s="33">
        <f t="shared" si="16"/>
        <v>51.891124260355028</v>
      </c>
      <c r="AG91" s="122">
        <v>10.7</v>
      </c>
      <c r="AH91" s="35">
        <v>17.2</v>
      </c>
      <c r="AI91" s="43">
        <v>14.1</v>
      </c>
      <c r="AJ91" s="44" t="s">
        <v>295</v>
      </c>
      <c r="AK91" s="44" t="str">
        <f>VLOOKUP(F91,Hoja1!$A$9:$D$15,2,TRUE)</f>
        <v>Midsize</v>
      </c>
      <c r="AL91" s="44">
        <v>7</v>
      </c>
      <c r="AM91" s="44" t="s">
        <v>37</v>
      </c>
      <c r="AN91" s="40" t="s">
        <v>38</v>
      </c>
    </row>
    <row r="92" spans="1:40" s="38" customFormat="1">
      <c r="A92" s="132">
        <v>191</v>
      </c>
      <c r="B92" s="134" t="s">
        <v>62</v>
      </c>
      <c r="C92" s="134" t="s">
        <v>282</v>
      </c>
      <c r="D92" s="35" t="s">
        <v>60</v>
      </c>
      <c r="E92" s="32" t="str">
        <f>VLOOKUP(D92,Hoja1!$B$17:$C$21,2,TRUE)</f>
        <v>T</v>
      </c>
      <c r="F92" s="35" t="s">
        <v>147</v>
      </c>
      <c r="G92" s="32">
        <f>VLOOKUP(F92,Hoja1!$A$9:$D$15,3,TRUE)</f>
        <v>100</v>
      </c>
      <c r="H92" s="32">
        <f>VLOOKUP(F92,Hoja1!$A$9:$D$15,4,TRUE)</f>
        <v>5250</v>
      </c>
      <c r="I92" s="35">
        <v>2019</v>
      </c>
      <c r="J92" s="134" t="s">
        <v>32</v>
      </c>
      <c r="K92" s="133" t="str">
        <f>VLOOKUP(J92,Hoja1!$A$2:$B$3,2,FALSE)</f>
        <v>G</v>
      </c>
      <c r="L92" s="134">
        <v>2694</v>
      </c>
      <c r="M92" s="133">
        <f t="shared" si="17"/>
        <v>2.694</v>
      </c>
      <c r="N92" s="35" t="s">
        <v>33</v>
      </c>
      <c r="O92" s="35" t="s">
        <v>34</v>
      </c>
      <c r="P92" s="134" t="s">
        <v>74</v>
      </c>
      <c r="Q92" s="133" t="str">
        <f>VLOOKUP(P92,Hoja1!$A$6:$B$7,2,FALSE)</f>
        <v>A</v>
      </c>
      <c r="R92" s="138">
        <v>352</v>
      </c>
      <c r="S92" s="35">
        <v>246</v>
      </c>
      <c r="T92" s="111">
        <f t="shared" si="23"/>
        <v>86592</v>
      </c>
      <c r="U92" s="37">
        <f t="shared" si="18"/>
        <v>227.06280000000001</v>
      </c>
      <c r="V92" s="141">
        <f t="shared" si="19"/>
        <v>365.34404520000004</v>
      </c>
      <c r="W92" s="34">
        <f t="shared" si="12"/>
        <v>10.291690228430197</v>
      </c>
      <c r="X92" s="34">
        <f t="shared" si="20"/>
        <v>10.291690228430197</v>
      </c>
      <c r="Y92" s="143">
        <f t="shared" si="21"/>
        <v>24.185472036810964</v>
      </c>
      <c r="Z92" s="37">
        <f t="shared" si="22"/>
        <v>14.554191849728886</v>
      </c>
      <c r="AA92" s="37"/>
      <c r="AB92" s="37"/>
      <c r="AC92" s="34">
        <f t="shared" si="13"/>
        <v>10.603448275862069</v>
      </c>
      <c r="AD92" s="34">
        <f t="shared" si="14"/>
        <v>10.603448275862069</v>
      </c>
      <c r="AE92" s="33">
        <f t="shared" si="15"/>
        <v>3732.4137931034484</v>
      </c>
      <c r="AF92" s="33">
        <f t="shared" si="16"/>
        <v>33.196747967479673</v>
      </c>
      <c r="AG92" s="122">
        <v>7.3</v>
      </c>
      <c r="AH92" s="35">
        <v>11.4</v>
      </c>
      <c r="AI92" s="43">
        <v>9.4</v>
      </c>
      <c r="AJ92" s="44" t="s">
        <v>352</v>
      </c>
      <c r="AK92" s="44" t="str">
        <f>VLOOKUP(F92,Hoja1!$A$9:$D$15,2,TRUE)</f>
        <v>Large</v>
      </c>
      <c r="AL92" s="44">
        <v>11</v>
      </c>
      <c r="AM92" s="44" t="s">
        <v>37</v>
      </c>
      <c r="AN92" s="40" t="s">
        <v>38</v>
      </c>
    </row>
    <row r="93" spans="1:40" s="38" customFormat="1">
      <c r="A93" s="132">
        <v>192</v>
      </c>
      <c r="B93" s="134" t="s">
        <v>68</v>
      </c>
      <c r="C93" s="134" t="s">
        <v>96</v>
      </c>
      <c r="D93" s="35" t="s">
        <v>30</v>
      </c>
      <c r="E93" s="32" t="str">
        <f>VLOOKUP(D93,Hoja1!$B$17:$C$21,2,TRUE)</f>
        <v>C</v>
      </c>
      <c r="F93" s="35" t="s">
        <v>31</v>
      </c>
      <c r="G93" s="32">
        <f>VLOOKUP(F93,Hoja1!$A$9:$D$15,3,TRUE)</f>
        <v>90</v>
      </c>
      <c r="H93" s="32">
        <f>VLOOKUP(F93,Hoja1!$A$9:$D$15,4,TRUE)</f>
        <v>4250</v>
      </c>
      <c r="I93" s="35">
        <v>2019</v>
      </c>
      <c r="J93" s="134" t="s">
        <v>32</v>
      </c>
      <c r="K93" s="133" t="str">
        <f>VLOOKUP(J93,Hoja1!$A$2:$B$3,2,FALSE)</f>
        <v>G</v>
      </c>
      <c r="L93" s="134">
        <v>1598</v>
      </c>
      <c r="M93" s="133">
        <f t="shared" si="17"/>
        <v>1.5980000000000001</v>
      </c>
      <c r="N93" s="35" t="s">
        <v>33</v>
      </c>
      <c r="O93" s="35" t="s">
        <v>34</v>
      </c>
      <c r="P93" s="134" t="s">
        <v>74</v>
      </c>
      <c r="Q93" s="133" t="str">
        <f>VLOOKUP(P93,Hoja1!$A$6:$B$7,2,FALSE)</f>
        <v>A</v>
      </c>
      <c r="R93" s="138">
        <v>350</v>
      </c>
      <c r="S93" s="59">
        <v>161</v>
      </c>
      <c r="T93" s="111">
        <f t="shared" si="23"/>
        <v>56350</v>
      </c>
      <c r="U93" s="37">
        <f t="shared" si="18"/>
        <v>153.46979999999999</v>
      </c>
      <c r="V93" s="141">
        <f t="shared" si="19"/>
        <v>246.93290819999999</v>
      </c>
      <c r="W93" s="34">
        <f t="shared" si="12"/>
        <v>15.226839417266461</v>
      </c>
      <c r="X93" s="34">
        <f t="shared" si="20"/>
        <v>15.226839417266461</v>
      </c>
      <c r="Y93" s="143">
        <f t="shared" si="21"/>
        <v>35.783072630576186</v>
      </c>
      <c r="Z93" s="37">
        <f t="shared" si="22"/>
        <v>9.7811611544205235</v>
      </c>
      <c r="AA93" s="37"/>
      <c r="AB93" s="37"/>
      <c r="AC93" s="34">
        <f t="shared" si="13"/>
        <v>6.9396551724137936</v>
      </c>
      <c r="AD93" s="34">
        <f t="shared" si="14"/>
        <v>6.9396551724137936</v>
      </c>
      <c r="AE93" s="33">
        <f t="shared" si="15"/>
        <v>2428.8793103448279</v>
      </c>
      <c r="AF93" s="33">
        <f t="shared" si="16"/>
        <v>50.434782608695649</v>
      </c>
      <c r="AG93" s="122">
        <v>11</v>
      </c>
      <c r="AH93" s="35">
        <v>18.399999999999999</v>
      </c>
      <c r="AI93" s="43">
        <v>14.8</v>
      </c>
      <c r="AJ93" s="44" t="s">
        <v>245</v>
      </c>
      <c r="AK93" s="44" t="str">
        <f>VLOOKUP(F93,Hoja1!$A$9:$D$15,2,TRUE)</f>
        <v>Midsize</v>
      </c>
      <c r="AL93" s="44">
        <v>3</v>
      </c>
      <c r="AM93" s="44" t="s">
        <v>37</v>
      </c>
      <c r="AN93" s="40" t="s">
        <v>38</v>
      </c>
    </row>
    <row r="94" spans="1:40" s="38" customFormat="1">
      <c r="A94" s="132">
        <v>193</v>
      </c>
      <c r="B94" s="134" t="s">
        <v>90</v>
      </c>
      <c r="C94" s="134" t="s">
        <v>353</v>
      </c>
      <c r="D94" s="35" t="s">
        <v>60</v>
      </c>
      <c r="E94" s="32" t="str">
        <f>VLOOKUP(D94,Hoja1!$B$17:$C$21,2,TRUE)</f>
        <v>T</v>
      </c>
      <c r="F94" s="35" t="s">
        <v>40</v>
      </c>
      <c r="G94" s="32">
        <f>VLOOKUP(F94,Hoja1!$A$9:$D$15,3,TRUE)</f>
        <v>80</v>
      </c>
      <c r="H94" s="32">
        <f>VLOOKUP(F94,Hoja1!$A$9:$D$15,4,TRUE)</f>
        <v>3500</v>
      </c>
      <c r="I94" s="35">
        <v>2019</v>
      </c>
      <c r="J94" s="134" t="s">
        <v>32</v>
      </c>
      <c r="K94" s="133" t="str">
        <f>VLOOKUP(J94,Hoja1!$A$2:$B$3,2,FALSE)</f>
        <v>G</v>
      </c>
      <c r="L94" s="134">
        <v>1598</v>
      </c>
      <c r="M94" s="133">
        <f t="shared" si="17"/>
        <v>1.5980000000000001</v>
      </c>
      <c r="N94" s="35" t="s">
        <v>33</v>
      </c>
      <c r="O94" s="35" t="s">
        <v>34</v>
      </c>
      <c r="P94" s="134" t="s">
        <v>35</v>
      </c>
      <c r="Q94" s="133" t="str">
        <f>VLOOKUP(P94,Hoja1!$A$6:$B$7,2,FALSE)</f>
        <v>M</v>
      </c>
      <c r="R94" s="138">
        <v>338</v>
      </c>
      <c r="S94" s="35">
        <v>164</v>
      </c>
      <c r="T94" s="111">
        <f t="shared" si="23"/>
        <v>55432</v>
      </c>
      <c r="U94" s="37">
        <f t="shared" si="18"/>
        <v>156.06719999999999</v>
      </c>
      <c r="V94" s="141">
        <f t="shared" si="19"/>
        <v>251.11212479999998</v>
      </c>
      <c r="W94" s="34">
        <f t="shared" si="12"/>
        <v>14.973421705521726</v>
      </c>
      <c r="X94" s="34">
        <f t="shared" si="20"/>
        <v>14.973421705521726</v>
      </c>
      <c r="Y94" s="143">
        <f t="shared" si="21"/>
        <v>35.187541007976058</v>
      </c>
      <c r="Z94" s="37">
        <f t="shared" si="22"/>
        <v>9.6056726420122569</v>
      </c>
      <c r="AA94" s="37"/>
      <c r="AB94" s="37"/>
      <c r="AC94" s="34">
        <f t="shared" si="13"/>
        <v>7.0689655172413799</v>
      </c>
      <c r="AD94" s="34">
        <f t="shared" si="14"/>
        <v>7.0689655172413799</v>
      </c>
      <c r="AE94" s="33">
        <f t="shared" si="15"/>
        <v>2389.3103448275865</v>
      </c>
      <c r="AF94" s="33">
        <f t="shared" si="16"/>
        <v>47.814634146341461</v>
      </c>
      <c r="AG94" s="122">
        <v>10.8</v>
      </c>
      <c r="AH94" s="35">
        <v>18</v>
      </c>
      <c r="AI94" s="43">
        <v>14.4</v>
      </c>
      <c r="AJ94" s="44" t="s">
        <v>354</v>
      </c>
      <c r="AK94" s="44" t="str">
        <f>VLOOKUP(F94,Hoja1!$A$9:$D$15,2,TRUE)</f>
        <v>Compact</v>
      </c>
      <c r="AL94" s="44">
        <v>2</v>
      </c>
      <c r="AM94" s="112" t="s">
        <v>318</v>
      </c>
      <c r="AN94" s="40" t="s">
        <v>277</v>
      </c>
    </row>
    <row r="95" spans="1:40" s="38" customFormat="1">
      <c r="A95" s="132">
        <v>194</v>
      </c>
      <c r="B95" s="135" t="s">
        <v>102</v>
      </c>
      <c r="C95" s="135" t="s">
        <v>240</v>
      </c>
      <c r="D95" s="116" t="s">
        <v>94</v>
      </c>
      <c r="E95" s="32" t="str">
        <f>VLOOKUP(D95,Hoja1!$B$17:$C$21,2,TRUE)</f>
        <v>T</v>
      </c>
      <c r="F95" s="116" t="s">
        <v>175</v>
      </c>
      <c r="G95" s="32">
        <f>VLOOKUP(F95,Hoja1!$A$9:$D$15,3,TRUE)</f>
        <v>110</v>
      </c>
      <c r="H95" s="32">
        <f>VLOOKUP(F95,Hoja1!$A$9:$D$15,4,TRUE)</f>
        <v>5751</v>
      </c>
      <c r="I95" s="116">
        <v>2019</v>
      </c>
      <c r="J95" s="135" t="s">
        <v>32</v>
      </c>
      <c r="K95" s="133" t="str">
        <f>VLOOKUP(J95,Hoja1!$A$2:$B$3,2,FALSE)</f>
        <v>G</v>
      </c>
      <c r="L95" s="135">
        <v>3956</v>
      </c>
      <c r="M95" s="133">
        <f t="shared" si="17"/>
        <v>3.956</v>
      </c>
      <c r="N95" s="116" t="s">
        <v>33</v>
      </c>
      <c r="O95" s="35" t="s">
        <v>34</v>
      </c>
      <c r="P95" s="135" t="s">
        <v>74</v>
      </c>
      <c r="Q95" s="133" t="str">
        <f>VLOOKUP(P95,Hoja1!$A$6:$B$7,2,FALSE)</f>
        <v>A</v>
      </c>
      <c r="R95" s="139">
        <v>333</v>
      </c>
      <c r="S95" s="35">
        <v>268</v>
      </c>
      <c r="T95" s="111">
        <f t="shared" si="23"/>
        <v>89244</v>
      </c>
      <c r="U95" s="37">
        <f t="shared" si="18"/>
        <v>246.1104</v>
      </c>
      <c r="V95" s="141">
        <f t="shared" si="19"/>
        <v>395.9916336</v>
      </c>
      <c r="W95" s="34">
        <f t="shared" si="12"/>
        <v>9.4951696474427738</v>
      </c>
      <c r="X95" s="34">
        <f t="shared" si="20"/>
        <v>9.4951696474427738</v>
      </c>
      <c r="Y95" s="143">
        <f t="shared" si="21"/>
        <v>22.313648671490519</v>
      </c>
      <c r="Z95" s="37">
        <f t="shared" si="22"/>
        <v>14.923601464849813</v>
      </c>
      <c r="AA95" s="37"/>
      <c r="AB95" s="37"/>
      <c r="AC95" s="34">
        <f t="shared" si="13"/>
        <v>11.551724137931036</v>
      </c>
      <c r="AD95" s="34">
        <f t="shared" si="14"/>
        <v>11.551724137931036</v>
      </c>
      <c r="AE95" s="33">
        <f t="shared" si="15"/>
        <v>3846.7241379310349</v>
      </c>
      <c r="AF95" s="33">
        <f t="shared" si="16"/>
        <v>28.826865671641787</v>
      </c>
      <c r="AG95" s="122">
        <v>6.5</v>
      </c>
      <c r="AH95" s="35">
        <v>10.9</v>
      </c>
      <c r="AI95" s="43">
        <v>8.6999999999999993</v>
      </c>
      <c r="AJ95" s="44" t="s">
        <v>300</v>
      </c>
      <c r="AK95" s="44" t="str">
        <f>VLOOKUP(F95,Hoja1!$A$9:$D$15,2,TRUE)</f>
        <v>Executive</v>
      </c>
      <c r="AL95" s="44">
        <v>11</v>
      </c>
      <c r="AM95" s="44" t="s">
        <v>37</v>
      </c>
      <c r="AN95" s="40" t="s">
        <v>38</v>
      </c>
    </row>
    <row r="96" spans="1:40" s="38" customFormat="1">
      <c r="A96" s="132">
        <v>195</v>
      </c>
      <c r="B96" s="134" t="s">
        <v>43</v>
      </c>
      <c r="C96" s="134" t="s">
        <v>278</v>
      </c>
      <c r="D96" s="35" t="s">
        <v>114</v>
      </c>
      <c r="E96" s="32" t="str">
        <f>VLOOKUP(D96,Hoja1!$B$17:$C$21,2,TRUE)</f>
        <v>T</v>
      </c>
      <c r="F96" s="35" t="s">
        <v>147</v>
      </c>
      <c r="G96" s="32">
        <f>VLOOKUP(F96,Hoja1!$A$9:$D$15,3,TRUE)</f>
        <v>100</v>
      </c>
      <c r="H96" s="32">
        <f>VLOOKUP(F96,Hoja1!$A$9:$D$15,4,TRUE)</f>
        <v>5250</v>
      </c>
      <c r="I96" s="35">
        <v>2019</v>
      </c>
      <c r="J96" s="134" t="s">
        <v>32</v>
      </c>
      <c r="K96" s="133" t="str">
        <f>VLOOKUP(J96,Hoja1!$A$2:$B$3,2,FALSE)</f>
        <v>G</v>
      </c>
      <c r="L96" s="134">
        <v>1598</v>
      </c>
      <c r="M96" s="133">
        <f t="shared" si="17"/>
        <v>1.5980000000000001</v>
      </c>
      <c r="N96" s="35" t="s">
        <v>33</v>
      </c>
      <c r="O96" s="35" t="s">
        <v>34</v>
      </c>
      <c r="P96" s="134" t="s">
        <v>35</v>
      </c>
      <c r="Q96" s="133" t="str">
        <f>VLOOKUP(P96,Hoja1!$A$6:$B$7,2,FALSE)</f>
        <v>M</v>
      </c>
      <c r="R96" s="138">
        <v>321</v>
      </c>
      <c r="S96" s="35">
        <v>135</v>
      </c>
      <c r="T96" s="111">
        <f t="shared" si="23"/>
        <v>43335</v>
      </c>
      <c r="U96" s="37">
        <f t="shared" si="18"/>
        <v>130.959</v>
      </c>
      <c r="V96" s="141">
        <f t="shared" si="19"/>
        <v>210.713031</v>
      </c>
      <c r="W96" s="34">
        <f t="shared" si="12"/>
        <v>17.844210783527668</v>
      </c>
      <c r="X96" s="34">
        <f t="shared" si="20"/>
        <v>17.844210783527668</v>
      </c>
      <c r="Y96" s="143">
        <f t="shared" si="21"/>
        <v>41.933895341290018</v>
      </c>
      <c r="Z96" s="37">
        <f t="shared" si="22"/>
        <v>7.6549053549034074</v>
      </c>
      <c r="AA96" s="37"/>
      <c r="AB96" s="37"/>
      <c r="AC96" s="34">
        <f t="shared" si="13"/>
        <v>5.8189655172413799</v>
      </c>
      <c r="AD96" s="34">
        <f t="shared" si="14"/>
        <v>5.8189655172413799</v>
      </c>
      <c r="AE96" s="33">
        <f t="shared" si="15"/>
        <v>1867.887931034483</v>
      </c>
      <c r="AF96" s="33">
        <f t="shared" si="16"/>
        <v>55.164444444444442</v>
      </c>
      <c r="AG96" s="122">
        <v>16.899999999999999</v>
      </c>
      <c r="AH96" s="35">
        <v>20</v>
      </c>
      <c r="AI96" s="43">
        <v>18.899999999999999</v>
      </c>
      <c r="AJ96" s="44" t="s">
        <v>279</v>
      </c>
      <c r="AK96" s="44" t="str">
        <f>VLOOKUP(F96,Hoja1!$A$9:$D$15,2,TRUE)</f>
        <v>Large</v>
      </c>
      <c r="AL96" s="44">
        <v>17</v>
      </c>
      <c r="AM96" s="44" t="s">
        <v>37</v>
      </c>
      <c r="AN96" s="40" t="s">
        <v>38</v>
      </c>
    </row>
    <row r="97" spans="1:40" s="38" customFormat="1">
      <c r="A97" s="132">
        <v>196</v>
      </c>
      <c r="B97" s="134" t="s">
        <v>135</v>
      </c>
      <c r="C97" s="134" t="s">
        <v>184</v>
      </c>
      <c r="D97" s="35" t="s">
        <v>30</v>
      </c>
      <c r="E97" s="32" t="str">
        <f>VLOOKUP(D97,Hoja1!$B$17:$C$21,2,TRUE)</f>
        <v>C</v>
      </c>
      <c r="F97" s="35" t="s">
        <v>40</v>
      </c>
      <c r="G97" s="32">
        <f>VLOOKUP(F97,Hoja1!$A$9:$D$15,3,TRUE)</f>
        <v>80</v>
      </c>
      <c r="H97" s="32">
        <f>VLOOKUP(F97,Hoja1!$A$9:$D$15,4,TRUE)</f>
        <v>3500</v>
      </c>
      <c r="I97" s="35">
        <v>2019</v>
      </c>
      <c r="J97" s="134" t="s">
        <v>32</v>
      </c>
      <c r="K97" s="133" t="str">
        <f>VLOOKUP(J97,Hoja1!$A$2:$B$3,2,FALSE)</f>
        <v>G</v>
      </c>
      <c r="L97" s="134">
        <v>1197</v>
      </c>
      <c r="M97" s="133">
        <f t="shared" si="17"/>
        <v>1.1970000000000001</v>
      </c>
      <c r="N97" s="35" t="s">
        <v>33</v>
      </c>
      <c r="O97" s="35" t="s">
        <v>34</v>
      </c>
      <c r="P97" s="134" t="s">
        <v>74</v>
      </c>
      <c r="Q97" s="133" t="str">
        <f>VLOOKUP(P97,Hoja1!$A$6:$B$7,2,FALSE)</f>
        <v>A</v>
      </c>
      <c r="R97" s="138">
        <v>311</v>
      </c>
      <c r="S97" s="35">
        <v>149</v>
      </c>
      <c r="T97" s="111">
        <f t="shared" si="23"/>
        <v>46339</v>
      </c>
      <c r="U97" s="37">
        <f t="shared" si="18"/>
        <v>143.08019999999999</v>
      </c>
      <c r="V97" s="141">
        <f t="shared" si="19"/>
        <v>230.21604179999997</v>
      </c>
      <c r="W97" s="34">
        <f t="shared" si="12"/>
        <v>16.332518405761245</v>
      </c>
      <c r="X97" s="34">
        <f t="shared" si="20"/>
        <v>16.332518405761245</v>
      </c>
      <c r="Y97" s="143">
        <f t="shared" si="21"/>
        <v>38.381418253538925</v>
      </c>
      <c r="Z97" s="37">
        <f t="shared" si="22"/>
        <v>8.1028793137763877</v>
      </c>
      <c r="AA97" s="37"/>
      <c r="AB97" s="37"/>
      <c r="AC97" s="34">
        <f t="shared" si="13"/>
        <v>6.4224137931034484</v>
      </c>
      <c r="AD97" s="34">
        <f t="shared" si="14"/>
        <v>6.4224137931034484</v>
      </c>
      <c r="AE97" s="33">
        <f t="shared" si="15"/>
        <v>1997.3706896551726</v>
      </c>
      <c r="AF97" s="33">
        <f t="shared" si="16"/>
        <v>48.424161073825502</v>
      </c>
      <c r="AG97" s="122">
        <v>12.7</v>
      </c>
      <c r="AH97" s="35">
        <v>18.7</v>
      </c>
      <c r="AI97" s="43">
        <v>16</v>
      </c>
      <c r="AJ97" s="44" t="s">
        <v>355</v>
      </c>
      <c r="AK97" s="44" t="str">
        <f>VLOOKUP(F97,Hoja1!$A$9:$D$15,2,TRUE)</f>
        <v>Compact</v>
      </c>
      <c r="AL97" s="44">
        <v>2</v>
      </c>
      <c r="AM97" s="44" t="s">
        <v>318</v>
      </c>
      <c r="AN97" s="40" t="s">
        <v>356</v>
      </c>
    </row>
    <row r="98" spans="1:40" s="38" customFormat="1">
      <c r="A98" s="132">
        <v>197</v>
      </c>
      <c r="B98" s="134" t="s">
        <v>90</v>
      </c>
      <c r="C98" s="134" t="s">
        <v>269</v>
      </c>
      <c r="D98" s="35" t="s">
        <v>60</v>
      </c>
      <c r="E98" s="32" t="str">
        <f>VLOOKUP(D98,Hoja1!$B$17:$C$21,2,TRUE)</f>
        <v>T</v>
      </c>
      <c r="F98" s="35" t="s">
        <v>147</v>
      </c>
      <c r="G98" s="32">
        <f>VLOOKUP(F98,Hoja1!$A$9:$D$15,3,TRUE)</f>
        <v>100</v>
      </c>
      <c r="H98" s="32">
        <f>VLOOKUP(F98,Hoja1!$A$9:$D$15,4,TRUE)</f>
        <v>5250</v>
      </c>
      <c r="I98" s="35">
        <v>2019</v>
      </c>
      <c r="J98" s="134" t="s">
        <v>32</v>
      </c>
      <c r="K98" s="133" t="str">
        <f>VLOOKUP(J98,Hoja1!$A$2:$B$3,2,FALSE)</f>
        <v>G</v>
      </c>
      <c r="L98" s="134">
        <v>1395</v>
      </c>
      <c r="M98" s="133">
        <f t="shared" si="17"/>
        <v>1.395</v>
      </c>
      <c r="N98" s="35" t="s">
        <v>33</v>
      </c>
      <c r="O98" s="35" t="s">
        <v>34</v>
      </c>
      <c r="P98" s="134" t="s">
        <v>35</v>
      </c>
      <c r="Q98" s="133" t="str">
        <f>VLOOKUP(P98,Hoja1!$A$6:$B$7,2,FALSE)</f>
        <v>M</v>
      </c>
      <c r="R98" s="138">
        <v>291</v>
      </c>
      <c r="S98" s="35">
        <v>187</v>
      </c>
      <c r="T98" s="111">
        <f t="shared" si="23"/>
        <v>54417</v>
      </c>
      <c r="U98" s="37">
        <f t="shared" si="18"/>
        <v>175.98060000000001</v>
      </c>
      <c r="V98" s="141">
        <f t="shared" si="19"/>
        <v>283.15278540000003</v>
      </c>
      <c r="W98" s="34">
        <f t="shared" si="12"/>
        <v>13.279077352844574</v>
      </c>
      <c r="X98" s="34">
        <f t="shared" si="20"/>
        <v>13.279077352844574</v>
      </c>
      <c r="Y98" s="143">
        <f t="shared" si="21"/>
        <v>31.205831779184749</v>
      </c>
      <c r="Z98" s="37">
        <f t="shared" si="22"/>
        <v>9.3251800515731151</v>
      </c>
      <c r="AA98" s="37"/>
      <c r="AB98" s="37"/>
      <c r="AC98" s="34">
        <f t="shared" si="13"/>
        <v>8.0603448275862064</v>
      </c>
      <c r="AD98" s="34">
        <f t="shared" si="14"/>
        <v>8.0603448275862064</v>
      </c>
      <c r="AE98" s="33">
        <f t="shared" si="15"/>
        <v>2345.5603448275861</v>
      </c>
      <c r="AF98" s="33">
        <f t="shared" si="16"/>
        <v>36.102673796791443</v>
      </c>
      <c r="AG98" s="122">
        <v>10.1</v>
      </c>
      <c r="AH98" s="35">
        <v>15.2</v>
      </c>
      <c r="AI98" s="43">
        <v>12.8</v>
      </c>
      <c r="AJ98" s="44" t="s">
        <v>298</v>
      </c>
      <c r="AK98" s="44" t="str">
        <f>VLOOKUP(F98,Hoja1!$A$9:$D$15,2,TRUE)</f>
        <v>Large</v>
      </c>
      <c r="AL98" s="44">
        <v>11</v>
      </c>
      <c r="AM98" s="44" t="s">
        <v>37</v>
      </c>
      <c r="AN98" s="40" t="s">
        <v>38</v>
      </c>
    </row>
    <row r="99" spans="1:40" s="38" customFormat="1">
      <c r="A99" s="132">
        <v>198</v>
      </c>
      <c r="B99" s="134" t="s">
        <v>151</v>
      </c>
      <c r="C99" s="134" t="s">
        <v>344</v>
      </c>
      <c r="D99" s="35" t="s">
        <v>60</v>
      </c>
      <c r="E99" s="32" t="str">
        <f>VLOOKUP(D99,Hoja1!$B$17:$C$21,2,TRUE)</f>
        <v>T</v>
      </c>
      <c r="F99" s="35" t="s">
        <v>40</v>
      </c>
      <c r="G99" s="32">
        <f>VLOOKUP(F99,Hoja1!$A$9:$D$15,3,TRUE)</f>
        <v>80</v>
      </c>
      <c r="H99" s="32">
        <f>VLOOKUP(F99,Hoja1!$A$9:$D$15,4,TRUE)</f>
        <v>3500</v>
      </c>
      <c r="I99" s="35">
        <v>2019</v>
      </c>
      <c r="J99" s="134" t="s">
        <v>32</v>
      </c>
      <c r="K99" s="133" t="str">
        <f>VLOOKUP(J99,Hoja1!$A$2:$B$3,2,FALSE)</f>
        <v>G</v>
      </c>
      <c r="L99" s="134">
        <v>1591</v>
      </c>
      <c r="M99" s="133">
        <f t="shared" si="17"/>
        <v>1.591</v>
      </c>
      <c r="N99" s="35" t="s">
        <v>33</v>
      </c>
      <c r="O99" s="35" t="s">
        <v>34</v>
      </c>
      <c r="P99" s="134" t="s">
        <v>35</v>
      </c>
      <c r="Q99" s="133" t="str">
        <f>VLOOKUP(P99,Hoja1!$A$6:$B$7,2,FALSE)</f>
        <v>M</v>
      </c>
      <c r="R99" s="138">
        <v>275</v>
      </c>
      <c r="S99" s="35">
        <v>163</v>
      </c>
      <c r="T99" s="111">
        <f t="shared" si="23"/>
        <v>44825</v>
      </c>
      <c r="U99" s="37">
        <f t="shared" si="18"/>
        <v>155.20140000000001</v>
      </c>
      <c r="V99" s="141">
        <f t="shared" si="19"/>
        <v>249.7190526</v>
      </c>
      <c r="W99" s="34">
        <f t="shared" si="12"/>
        <v>15.056951805847113</v>
      </c>
      <c r="X99" s="34">
        <f t="shared" si="20"/>
        <v>15.056951805847113</v>
      </c>
      <c r="Y99" s="143">
        <f t="shared" si="21"/>
        <v>35.383836743740716</v>
      </c>
      <c r="Z99" s="37">
        <f t="shared" si="22"/>
        <v>7.7719101518476963</v>
      </c>
      <c r="AA99" s="37"/>
      <c r="AB99" s="37"/>
      <c r="AC99" s="34">
        <f t="shared" si="13"/>
        <v>7.0258620689655178</v>
      </c>
      <c r="AD99" s="34">
        <f t="shared" si="14"/>
        <v>7.0258620689655178</v>
      </c>
      <c r="AE99" s="33">
        <f t="shared" si="15"/>
        <v>1932.1120689655174</v>
      </c>
      <c r="AF99" s="33">
        <f t="shared" si="16"/>
        <v>39.141104294478524</v>
      </c>
      <c r="AG99" s="122">
        <v>11.4</v>
      </c>
      <c r="AH99" s="35">
        <v>17.5</v>
      </c>
      <c r="AI99" s="43">
        <v>14.6</v>
      </c>
      <c r="AJ99" s="44" t="s">
        <v>189</v>
      </c>
      <c r="AK99" s="44" t="str">
        <f>VLOOKUP(F99,Hoja1!$A$9:$D$15,2,TRUE)</f>
        <v>Compact</v>
      </c>
      <c r="AL99" s="44">
        <v>2</v>
      </c>
      <c r="AM99" s="112" t="s">
        <v>318</v>
      </c>
      <c r="AN99" s="40" t="s">
        <v>277</v>
      </c>
    </row>
    <row r="100" spans="1:40" s="38" customFormat="1">
      <c r="A100" s="132">
        <v>199</v>
      </c>
      <c r="B100" s="134" t="s">
        <v>62</v>
      </c>
      <c r="C100" s="134" t="s">
        <v>264</v>
      </c>
      <c r="D100" s="35" t="s">
        <v>60</v>
      </c>
      <c r="E100" s="32" t="str">
        <f>VLOOKUP(D100,Hoja1!$B$17:$C$21,2,TRUE)</f>
        <v>T</v>
      </c>
      <c r="F100" s="35" t="s">
        <v>31</v>
      </c>
      <c r="G100" s="32">
        <f>VLOOKUP(F100,Hoja1!$A$9:$D$15,3,TRUE)</f>
        <v>90</v>
      </c>
      <c r="H100" s="32">
        <f>VLOOKUP(F100,Hoja1!$A$9:$D$15,4,TRUE)</f>
        <v>4250</v>
      </c>
      <c r="I100" s="35">
        <v>2019</v>
      </c>
      <c r="J100" s="134" t="s">
        <v>32</v>
      </c>
      <c r="K100" s="133" t="str">
        <f>VLOOKUP(J100,Hoja1!$A$2:$B$3,2,FALSE)</f>
        <v>G</v>
      </c>
      <c r="L100" s="134">
        <v>2488</v>
      </c>
      <c r="M100" s="133">
        <f t="shared" si="17"/>
        <v>2.488</v>
      </c>
      <c r="N100" s="35" t="s">
        <v>33</v>
      </c>
      <c r="O100" s="35" t="s">
        <v>34</v>
      </c>
      <c r="P100" s="134" t="s">
        <v>35</v>
      </c>
      <c r="Q100" s="133" t="str">
        <f>VLOOKUP(P100,Hoja1!$A$6:$B$7,2,FALSE)</f>
        <v>M</v>
      </c>
      <c r="R100" s="138">
        <v>264</v>
      </c>
      <c r="S100" s="35">
        <v>291</v>
      </c>
      <c r="T100" s="111">
        <f t="shared" si="23"/>
        <v>76824</v>
      </c>
      <c r="U100" s="37">
        <f t="shared" si="18"/>
        <v>266.02379999999999</v>
      </c>
      <c r="V100" s="141">
        <f t="shared" si="19"/>
        <v>428.03229419999997</v>
      </c>
      <c r="W100" s="34">
        <f t="shared" si="12"/>
        <v>8.7844019971145446</v>
      </c>
      <c r="X100" s="34">
        <f t="shared" si="20"/>
        <v>8.7844019971145446</v>
      </c>
      <c r="Y100" s="143">
        <f t="shared" si="21"/>
        <v>20.643344693219181</v>
      </c>
      <c r="Z100" s="37">
        <f t="shared" si="22"/>
        <v>12.78862528932714</v>
      </c>
      <c r="AA100" s="37"/>
      <c r="AB100" s="37"/>
      <c r="AC100" s="34">
        <f t="shared" si="13"/>
        <v>12.543103448275863</v>
      </c>
      <c r="AD100" s="34">
        <f t="shared" si="14"/>
        <v>12.543103448275863</v>
      </c>
      <c r="AE100" s="33">
        <f t="shared" si="15"/>
        <v>3311.3793103448279</v>
      </c>
      <c r="AF100" s="33">
        <f t="shared" si="16"/>
        <v>21.047422680412371</v>
      </c>
      <c r="AG100" s="122">
        <v>6.2</v>
      </c>
      <c r="AH100" s="35">
        <v>10</v>
      </c>
      <c r="AI100" s="43">
        <v>8.1</v>
      </c>
      <c r="AJ100" s="44" t="s">
        <v>357</v>
      </c>
      <c r="AK100" s="44" t="str">
        <f>VLOOKUP(F100,Hoja1!$A$9:$D$15,2,TRUE)</f>
        <v>Midsize</v>
      </c>
      <c r="AL100" s="44">
        <v>7</v>
      </c>
      <c r="AM100" s="44" t="s">
        <v>37</v>
      </c>
      <c r="AN100" s="40" t="s">
        <v>38</v>
      </c>
    </row>
    <row r="101" spans="1:40" s="38" customFormat="1">
      <c r="A101" s="132">
        <v>200</v>
      </c>
      <c r="B101" s="134" t="s">
        <v>145</v>
      </c>
      <c r="C101" s="134" t="s">
        <v>146</v>
      </c>
      <c r="D101" s="35" t="s">
        <v>60</v>
      </c>
      <c r="E101" s="32" t="str">
        <f>VLOOKUP(D101,Hoja1!$B$17:$C$21,2,TRUE)</f>
        <v>T</v>
      </c>
      <c r="F101" s="35" t="s">
        <v>147</v>
      </c>
      <c r="G101" s="32">
        <f>VLOOKUP(F101,Hoja1!$A$9:$D$15,3,TRUE)</f>
        <v>100</v>
      </c>
      <c r="H101" s="32">
        <f>VLOOKUP(F101,Hoja1!$A$9:$D$15,4,TRUE)</f>
        <v>5250</v>
      </c>
      <c r="I101" s="35">
        <v>2019</v>
      </c>
      <c r="J101" s="134" t="s">
        <v>32</v>
      </c>
      <c r="K101" s="133" t="str">
        <f>VLOOKUP(J101,Hoja1!$A$2:$B$3,2,FALSE)</f>
        <v>G</v>
      </c>
      <c r="L101" s="134">
        <v>2400</v>
      </c>
      <c r="M101" s="133">
        <f t="shared" si="17"/>
        <v>2.4</v>
      </c>
      <c r="N101" s="35" t="s">
        <v>33</v>
      </c>
      <c r="O101" s="35" t="s">
        <v>34</v>
      </c>
      <c r="P101" s="134" t="s">
        <v>74</v>
      </c>
      <c r="Q101" s="133" t="str">
        <f>VLOOKUP(P101,Hoja1!$A$6:$B$7,2,FALSE)</f>
        <v>A</v>
      </c>
      <c r="R101" s="138">
        <v>239</v>
      </c>
      <c r="S101" s="59">
        <v>225</v>
      </c>
      <c r="T101" s="111">
        <f t="shared" si="23"/>
        <v>53775</v>
      </c>
      <c r="U101" s="37">
        <f t="shared" si="18"/>
        <v>208.881</v>
      </c>
      <c r="V101" s="141">
        <f t="shared" si="19"/>
        <v>336.08952899999997</v>
      </c>
      <c r="W101" s="34">
        <f t="shared" si="12"/>
        <v>11.187518252019093</v>
      </c>
      <c r="X101" s="34">
        <f t="shared" si="20"/>
        <v>11.187518252019093</v>
      </c>
      <c r="Y101" s="143">
        <f t="shared" si="21"/>
        <v>26.290667892244869</v>
      </c>
      <c r="Z101" s="37">
        <f t="shared" si="22"/>
        <v>9.0906781440306954</v>
      </c>
      <c r="AA101" s="37"/>
      <c r="AB101" s="37"/>
      <c r="AC101" s="34">
        <f t="shared" si="13"/>
        <v>9.6982758620689662</v>
      </c>
      <c r="AD101" s="34">
        <f t="shared" si="14"/>
        <v>9.6982758620689662</v>
      </c>
      <c r="AE101" s="33">
        <f t="shared" si="15"/>
        <v>2317.8879310344828</v>
      </c>
      <c r="AF101" s="33">
        <f t="shared" si="16"/>
        <v>24.643555555555555</v>
      </c>
      <c r="AG101" s="122">
        <v>7.5</v>
      </c>
      <c r="AH101" s="35">
        <v>13.3</v>
      </c>
      <c r="AI101" s="43">
        <v>10.4</v>
      </c>
      <c r="AJ101" s="44" t="s">
        <v>148</v>
      </c>
      <c r="AK101" s="44" t="str">
        <f>VLOOKUP(F101,Hoja1!$A$9:$D$15,2,TRUE)</f>
        <v>Large</v>
      </c>
      <c r="AL101" s="44">
        <v>11</v>
      </c>
      <c r="AM101" s="44" t="s">
        <v>37</v>
      </c>
      <c r="AN101" s="40" t="s">
        <v>253</v>
      </c>
    </row>
    <row r="102" spans="1:40" s="38" customFormat="1">
      <c r="A102" s="132">
        <v>201</v>
      </c>
      <c r="B102" s="134" t="s">
        <v>102</v>
      </c>
      <c r="C102" s="134" t="s">
        <v>111</v>
      </c>
      <c r="D102" s="35" t="s">
        <v>60</v>
      </c>
      <c r="E102" s="32" t="str">
        <f>VLOOKUP(D102,Hoja1!$B$17:$C$21,2,TRUE)</f>
        <v>T</v>
      </c>
      <c r="F102" s="35" t="s">
        <v>31</v>
      </c>
      <c r="G102" s="32">
        <f>VLOOKUP(F102,Hoja1!$A$9:$D$15,3,TRUE)</f>
        <v>90</v>
      </c>
      <c r="H102" s="32">
        <f>VLOOKUP(F102,Hoja1!$A$9:$D$15,4,TRUE)</f>
        <v>4250</v>
      </c>
      <c r="I102" s="35">
        <v>2019</v>
      </c>
      <c r="J102" s="134" t="s">
        <v>32</v>
      </c>
      <c r="K102" s="133" t="str">
        <f>VLOOKUP(J102,Hoja1!$A$2:$B$3,2,FALSE)</f>
        <v>G</v>
      </c>
      <c r="L102" s="134">
        <v>1987</v>
      </c>
      <c r="M102" s="133">
        <f t="shared" si="17"/>
        <v>1.9870000000000001</v>
      </c>
      <c r="N102" s="35" t="s">
        <v>33</v>
      </c>
      <c r="O102" s="35" t="s">
        <v>34</v>
      </c>
      <c r="P102" s="134" t="s">
        <v>35</v>
      </c>
      <c r="Q102" s="133" t="str">
        <f>VLOOKUP(P102,Hoja1!$A$6:$B$7,2,FALSE)</f>
        <v>M</v>
      </c>
      <c r="R102" s="138">
        <v>225</v>
      </c>
      <c r="S102" s="59">
        <v>185</v>
      </c>
      <c r="T102" s="111">
        <f t="shared" si="23"/>
        <v>41625</v>
      </c>
      <c r="U102" s="37">
        <f t="shared" si="18"/>
        <v>174.249</v>
      </c>
      <c r="V102" s="141">
        <f t="shared" si="19"/>
        <v>280.36664100000002</v>
      </c>
      <c r="W102" s="34">
        <f t="shared" si="12"/>
        <v>13.411038226905177</v>
      </c>
      <c r="X102" s="34">
        <f t="shared" si="20"/>
        <v>13.411038226905177</v>
      </c>
      <c r="Y102" s="143">
        <f t="shared" si="21"/>
        <v>31.515939833227169</v>
      </c>
      <c r="Z102" s="37">
        <f t="shared" si="22"/>
        <v>7.1392444962971755</v>
      </c>
      <c r="AA102" s="37"/>
      <c r="AB102" s="37"/>
      <c r="AC102" s="34">
        <f t="shared" si="13"/>
        <v>7.9741379310344831</v>
      </c>
      <c r="AD102" s="34">
        <f t="shared" si="14"/>
        <v>7.9741379310344831</v>
      </c>
      <c r="AE102" s="33">
        <f t="shared" si="15"/>
        <v>1794.1810344827586</v>
      </c>
      <c r="AF102" s="33">
        <f t="shared" si="16"/>
        <v>28.216216216216214</v>
      </c>
      <c r="AG102" s="122">
        <v>10.1</v>
      </c>
      <c r="AH102" s="35">
        <v>15.3</v>
      </c>
      <c r="AI102" s="43">
        <v>12.9</v>
      </c>
      <c r="AJ102" s="44" t="s">
        <v>112</v>
      </c>
      <c r="AK102" s="44" t="str">
        <f>VLOOKUP(F102,Hoja1!$A$9:$D$15,2,TRUE)</f>
        <v>Midsize</v>
      </c>
      <c r="AL102" s="44">
        <v>7</v>
      </c>
      <c r="AM102" s="44" t="s">
        <v>37</v>
      </c>
      <c r="AN102" s="40" t="s">
        <v>38</v>
      </c>
    </row>
    <row r="103" spans="1:40" s="38" customFormat="1">
      <c r="A103" s="132">
        <v>202</v>
      </c>
      <c r="B103" s="134" t="s">
        <v>102</v>
      </c>
      <c r="C103" s="134" t="s">
        <v>174</v>
      </c>
      <c r="D103" s="35" t="s">
        <v>88</v>
      </c>
      <c r="E103" s="32" t="str">
        <f>VLOOKUP(D103,Hoja1!$B$17:$C$21,2,TRUE)</f>
        <v>T</v>
      </c>
      <c r="F103" s="35" t="s">
        <v>175</v>
      </c>
      <c r="G103" s="32">
        <f>VLOOKUP(F103,Hoja1!$A$9:$D$15,3,TRUE)</f>
        <v>110</v>
      </c>
      <c r="H103" s="32">
        <f>VLOOKUP(F103,Hoja1!$A$9:$D$15,4,TRUE)</f>
        <v>5751</v>
      </c>
      <c r="I103" s="35">
        <v>2019</v>
      </c>
      <c r="J103" s="134" t="s">
        <v>32</v>
      </c>
      <c r="K103" s="133" t="str">
        <f>VLOOKUP(J103,Hoja1!$A$2:$B$3,2,FALSE)</f>
        <v>G</v>
      </c>
      <c r="L103" s="134">
        <v>2694</v>
      </c>
      <c r="M103" s="133">
        <f t="shared" si="17"/>
        <v>2.694</v>
      </c>
      <c r="N103" s="35" t="s">
        <v>33</v>
      </c>
      <c r="O103" s="35" t="s">
        <v>34</v>
      </c>
      <c r="P103" s="134" t="s">
        <v>35</v>
      </c>
      <c r="Q103" s="133" t="str">
        <f>VLOOKUP(P103,Hoja1!$A$6:$B$7,2,FALSE)</f>
        <v>M</v>
      </c>
      <c r="R103" s="138">
        <v>207</v>
      </c>
      <c r="S103" s="35">
        <v>265</v>
      </c>
      <c r="T103" s="111">
        <f t="shared" si="23"/>
        <v>54855</v>
      </c>
      <c r="U103" s="37">
        <f t="shared" si="18"/>
        <v>243.51300000000001</v>
      </c>
      <c r="V103" s="141">
        <f t="shared" si="19"/>
        <v>391.81241699999998</v>
      </c>
      <c r="W103" s="34">
        <f t="shared" si="12"/>
        <v>9.5964486495587504</v>
      </c>
      <c r="X103" s="34">
        <f t="shared" si="20"/>
        <v>9.5964486495587504</v>
      </c>
      <c r="Y103" s="143">
        <f t="shared" si="21"/>
        <v>22.551654326463066</v>
      </c>
      <c r="Z103" s="37">
        <f t="shared" si="22"/>
        <v>9.1789274969995187</v>
      </c>
      <c r="AA103" s="37"/>
      <c r="AB103" s="37"/>
      <c r="AC103" s="34">
        <f t="shared" si="13"/>
        <v>11.422413793103448</v>
      </c>
      <c r="AD103" s="34">
        <f t="shared" si="14"/>
        <v>11.422413793103448</v>
      </c>
      <c r="AE103" s="33">
        <f t="shared" si="15"/>
        <v>2364.4396551724139</v>
      </c>
      <c r="AF103" s="33">
        <f t="shared" si="16"/>
        <v>18.122264150943398</v>
      </c>
      <c r="AG103" s="122">
        <v>7</v>
      </c>
      <c r="AH103" s="35">
        <v>10.8</v>
      </c>
      <c r="AI103" s="43">
        <v>9</v>
      </c>
      <c r="AJ103" s="44" t="s">
        <v>302</v>
      </c>
      <c r="AK103" s="44" t="str">
        <f>VLOOKUP(F103,Hoja1!$A$9:$D$15,2,TRUE)</f>
        <v>Executive</v>
      </c>
      <c r="AL103" s="44">
        <v>11</v>
      </c>
      <c r="AM103" s="44" t="s">
        <v>37</v>
      </c>
      <c r="AN103" s="40" t="s">
        <v>38</v>
      </c>
    </row>
    <row r="104" spans="1:40" s="38" customFormat="1">
      <c r="A104" s="132">
        <v>203</v>
      </c>
      <c r="B104" s="134" t="s">
        <v>68</v>
      </c>
      <c r="C104" s="134" t="s">
        <v>284</v>
      </c>
      <c r="D104" s="35" t="s">
        <v>60</v>
      </c>
      <c r="E104" s="32" t="str">
        <f>VLOOKUP(D104,Hoja1!$B$17:$C$21,2,TRUE)</f>
        <v>T</v>
      </c>
      <c r="F104" s="35" t="s">
        <v>175</v>
      </c>
      <c r="G104" s="32">
        <f>VLOOKUP(F104,Hoja1!$A$9:$D$15,3,TRUE)</f>
        <v>110</v>
      </c>
      <c r="H104" s="32">
        <f>VLOOKUP(F104,Hoja1!$A$9:$D$15,4,TRUE)</f>
        <v>5751</v>
      </c>
      <c r="I104" s="35">
        <v>2019</v>
      </c>
      <c r="J104" s="134" t="s">
        <v>32</v>
      </c>
      <c r="K104" s="133" t="str">
        <f>VLOOKUP(J104,Hoja1!$A$2:$B$3,2,FALSE)</f>
        <v>G</v>
      </c>
      <c r="L104" s="134">
        <v>3498</v>
      </c>
      <c r="M104" s="133">
        <f t="shared" si="17"/>
        <v>3.4980000000000002</v>
      </c>
      <c r="N104" s="35" t="s">
        <v>33</v>
      </c>
      <c r="O104" s="35" t="s">
        <v>34</v>
      </c>
      <c r="P104" s="134" t="s">
        <v>74</v>
      </c>
      <c r="Q104" s="133" t="str">
        <f>VLOOKUP(P104,Hoja1!$A$6:$B$7,2,FALSE)</f>
        <v>A</v>
      </c>
      <c r="R104" s="138">
        <v>196</v>
      </c>
      <c r="S104" s="35">
        <v>226</v>
      </c>
      <c r="T104" s="111">
        <f t="shared" si="23"/>
        <v>44296</v>
      </c>
      <c r="U104" s="37">
        <f t="shared" si="18"/>
        <v>209.74680000000001</v>
      </c>
      <c r="V104" s="141">
        <f t="shared" si="19"/>
        <v>337.48260120000003</v>
      </c>
      <c r="W104" s="34">
        <f t="shared" si="12"/>
        <v>11.141338032332317</v>
      </c>
      <c r="X104" s="34">
        <f t="shared" si="20"/>
        <v>11.141338032332317</v>
      </c>
      <c r="Y104" s="143">
        <f t="shared" si="21"/>
        <v>26.182144375980947</v>
      </c>
      <c r="Z104" s="37">
        <f t="shared" si="22"/>
        <v>7.4860178442758514</v>
      </c>
      <c r="AA104" s="37"/>
      <c r="AB104" s="37"/>
      <c r="AC104" s="34">
        <f t="shared" si="13"/>
        <v>9.7413793103448274</v>
      </c>
      <c r="AD104" s="34">
        <f t="shared" si="14"/>
        <v>9.7413793103448274</v>
      </c>
      <c r="AE104" s="33">
        <f t="shared" si="15"/>
        <v>1909.3103448275863</v>
      </c>
      <c r="AF104" s="33">
        <f t="shared" si="16"/>
        <v>20.120353982300884</v>
      </c>
      <c r="AG104" s="122">
        <v>7.6</v>
      </c>
      <c r="AH104" s="35">
        <v>13.2</v>
      </c>
      <c r="AI104" s="43">
        <v>9.6999999999999993</v>
      </c>
      <c r="AJ104" s="44" t="s">
        <v>285</v>
      </c>
      <c r="AK104" s="44" t="str">
        <f>VLOOKUP(F104,Hoja1!$A$9:$D$15,2,TRUE)</f>
        <v>Executive</v>
      </c>
      <c r="AL104" s="44">
        <v>11</v>
      </c>
      <c r="AM104" s="44" t="s">
        <v>37</v>
      </c>
      <c r="AN104" s="40" t="s">
        <v>38</v>
      </c>
    </row>
    <row r="105" spans="1:40" s="38" customFormat="1">
      <c r="A105" s="132">
        <v>204</v>
      </c>
      <c r="B105" s="134" t="s">
        <v>90</v>
      </c>
      <c r="C105" s="134" t="s">
        <v>291</v>
      </c>
      <c r="D105" s="35" t="s">
        <v>30</v>
      </c>
      <c r="E105" s="32" t="str">
        <f>VLOOKUP(D105,Hoja1!$B$17:$C$21,2,TRUE)</f>
        <v>C</v>
      </c>
      <c r="F105" s="35" t="s">
        <v>31</v>
      </c>
      <c r="G105" s="32">
        <f>VLOOKUP(F105,Hoja1!$A$9:$D$15,3,TRUE)</f>
        <v>90</v>
      </c>
      <c r="H105" s="32">
        <f>VLOOKUP(F105,Hoja1!$A$9:$D$15,4,TRUE)</f>
        <v>4250</v>
      </c>
      <c r="I105" s="35">
        <v>2019</v>
      </c>
      <c r="J105" s="134" t="s">
        <v>32</v>
      </c>
      <c r="K105" s="133" t="str">
        <f>VLOOKUP(J105,Hoja1!$A$2:$B$3,2,FALSE)</f>
        <v>G</v>
      </c>
      <c r="L105" s="134">
        <v>1395</v>
      </c>
      <c r="M105" s="133">
        <f t="shared" si="17"/>
        <v>1.395</v>
      </c>
      <c r="N105" s="35" t="s">
        <v>33</v>
      </c>
      <c r="O105" s="35" t="s">
        <v>34</v>
      </c>
      <c r="P105" s="134" t="s">
        <v>35</v>
      </c>
      <c r="Q105" s="133" t="str">
        <f>VLOOKUP(P105,Hoja1!$A$6:$B$7,2,FALSE)</f>
        <v>M</v>
      </c>
      <c r="R105" s="138">
        <v>193</v>
      </c>
      <c r="S105" s="35">
        <v>140</v>
      </c>
      <c r="T105" s="111">
        <f t="shared" si="23"/>
        <v>27020</v>
      </c>
      <c r="U105" s="37">
        <f t="shared" si="18"/>
        <v>135.28800000000001</v>
      </c>
      <c r="V105" s="141">
        <f t="shared" si="19"/>
        <v>217.678392</v>
      </c>
      <c r="W105" s="34">
        <f t="shared" si="12"/>
        <v>17.273224528413458</v>
      </c>
      <c r="X105" s="34">
        <f t="shared" si="20"/>
        <v>17.273224528413458</v>
      </c>
      <c r="Y105" s="143">
        <f t="shared" si="21"/>
        <v>40.592077641771624</v>
      </c>
      <c r="Z105" s="37">
        <f t="shared" si="22"/>
        <v>4.7546223601373807</v>
      </c>
      <c r="AA105" s="37"/>
      <c r="AB105" s="37"/>
      <c r="AC105" s="34">
        <f t="shared" si="13"/>
        <v>6.0344827586206895</v>
      </c>
      <c r="AD105" s="34">
        <f t="shared" si="14"/>
        <v>6.0344827586206895</v>
      </c>
      <c r="AE105" s="33">
        <f t="shared" si="15"/>
        <v>1164.655172413793</v>
      </c>
      <c r="AF105" s="33">
        <f t="shared" si="16"/>
        <v>31.982857142857142</v>
      </c>
      <c r="AG105" s="122">
        <v>12.8</v>
      </c>
      <c r="AH105" s="35">
        <v>21</v>
      </c>
      <c r="AI105" s="43">
        <v>17</v>
      </c>
      <c r="AJ105" s="44" t="s">
        <v>358</v>
      </c>
      <c r="AK105" s="44" t="str">
        <f>VLOOKUP(F105,Hoja1!$A$9:$D$15,2,TRUE)</f>
        <v>Midsize</v>
      </c>
      <c r="AL105" s="44">
        <v>3</v>
      </c>
      <c r="AM105" s="112" t="s">
        <v>318</v>
      </c>
      <c r="AN105" s="40" t="s">
        <v>38</v>
      </c>
    </row>
    <row r="106" spans="1:40" s="38" customFormat="1">
      <c r="A106" s="132">
        <v>205</v>
      </c>
      <c r="B106" s="134" t="s">
        <v>55</v>
      </c>
      <c r="C106" s="134" t="s">
        <v>125</v>
      </c>
      <c r="D106" s="35" t="s">
        <v>30</v>
      </c>
      <c r="E106" s="32" t="str">
        <f>VLOOKUP(D106,Hoja1!$B$17:$C$21,2,TRUE)</f>
        <v>C</v>
      </c>
      <c r="F106" s="35" t="s">
        <v>313</v>
      </c>
      <c r="G106" s="32">
        <f>VLOOKUP(F106,Hoja1!$A$9:$D$15,3,TRUE)</f>
        <v>90</v>
      </c>
      <c r="H106" s="32">
        <f>VLOOKUP(F106,Hoja1!$A$9:$D$15,4,TRUE)</f>
        <v>4250</v>
      </c>
      <c r="I106" s="35">
        <v>2019</v>
      </c>
      <c r="J106" s="134" t="s">
        <v>32</v>
      </c>
      <c r="K106" s="133" t="str">
        <f>VLOOKUP(J106,Hoja1!$A$2:$B$3,2,FALSE)</f>
        <v>G</v>
      </c>
      <c r="L106" s="134">
        <v>1591</v>
      </c>
      <c r="M106" s="133">
        <f t="shared" si="17"/>
        <v>1.591</v>
      </c>
      <c r="N106" s="35" t="s">
        <v>33</v>
      </c>
      <c r="O106" s="35" t="s">
        <v>34</v>
      </c>
      <c r="P106" s="134" t="s">
        <v>74</v>
      </c>
      <c r="Q106" s="133" t="str">
        <f>VLOOKUP(P106,Hoja1!$A$6:$B$7,2,FALSE)</f>
        <v>A</v>
      </c>
      <c r="R106" s="138">
        <v>189</v>
      </c>
      <c r="S106" s="35">
        <v>161</v>
      </c>
      <c r="T106" s="111">
        <f t="shared" si="23"/>
        <v>30429</v>
      </c>
      <c r="U106" s="37">
        <f t="shared" si="18"/>
        <v>153.46979999999999</v>
      </c>
      <c r="V106" s="141">
        <f t="shared" si="19"/>
        <v>246.93290819999999</v>
      </c>
      <c r="W106" s="34">
        <f t="shared" si="12"/>
        <v>15.226839417266461</v>
      </c>
      <c r="X106" s="34">
        <f t="shared" si="20"/>
        <v>15.226839417266461</v>
      </c>
      <c r="Y106" s="143">
        <f t="shared" si="21"/>
        <v>35.783072630576186</v>
      </c>
      <c r="Z106" s="37">
        <f t="shared" si="22"/>
        <v>5.2818270233870823</v>
      </c>
      <c r="AA106" s="37"/>
      <c r="AB106" s="37"/>
      <c r="AC106" s="34">
        <f t="shared" si="13"/>
        <v>6.9396551724137936</v>
      </c>
      <c r="AD106" s="34">
        <f t="shared" si="14"/>
        <v>6.9396551724137936</v>
      </c>
      <c r="AE106" s="33">
        <f t="shared" si="15"/>
        <v>1311.594827586207</v>
      </c>
      <c r="AF106" s="33">
        <f t="shared" si="16"/>
        <v>27.234782608695649</v>
      </c>
      <c r="AG106" s="122">
        <v>11</v>
      </c>
      <c r="AH106" s="35">
        <v>18.100000000000001</v>
      </c>
      <c r="AI106" s="43">
        <v>14.6</v>
      </c>
      <c r="AJ106" s="44" t="s">
        <v>126</v>
      </c>
      <c r="AK106" s="44" t="str">
        <f>VLOOKUP(F106,Hoja1!$A$9:$D$15,2,TRUE)</f>
        <v>Midsize</v>
      </c>
      <c r="AL106" s="44">
        <v>3</v>
      </c>
      <c r="AM106" s="44" t="s">
        <v>37</v>
      </c>
      <c r="AN106" s="40" t="s">
        <v>38</v>
      </c>
    </row>
    <row r="107" spans="1:40" s="38" customFormat="1">
      <c r="A107" s="132">
        <v>206</v>
      </c>
      <c r="B107" s="134" t="s">
        <v>151</v>
      </c>
      <c r="C107" s="134" t="s">
        <v>177</v>
      </c>
      <c r="D107" s="35" t="s">
        <v>30</v>
      </c>
      <c r="E107" s="32" t="str">
        <f>VLOOKUP(D107,Hoja1!$B$17:$C$21,2,TRUE)</f>
        <v>C</v>
      </c>
      <c r="F107" s="35" t="s">
        <v>313</v>
      </c>
      <c r="G107" s="32">
        <f>VLOOKUP(F107,Hoja1!$A$9:$D$15,3,TRUE)</f>
        <v>90</v>
      </c>
      <c r="H107" s="32">
        <f>VLOOKUP(F107,Hoja1!$A$9:$D$15,4,TRUE)</f>
        <v>4250</v>
      </c>
      <c r="I107" s="35">
        <v>2019</v>
      </c>
      <c r="J107" s="134" t="s">
        <v>32</v>
      </c>
      <c r="K107" s="133" t="str">
        <f>VLOOKUP(J107,Hoja1!$A$2:$B$3,2,FALSE)</f>
        <v>G</v>
      </c>
      <c r="L107" s="134">
        <v>1368</v>
      </c>
      <c r="M107" s="133">
        <f t="shared" si="17"/>
        <v>1.3680000000000001</v>
      </c>
      <c r="N107" s="35" t="s">
        <v>33</v>
      </c>
      <c r="O107" s="35" t="s">
        <v>34</v>
      </c>
      <c r="P107" s="134" t="s">
        <v>35</v>
      </c>
      <c r="Q107" s="133" t="str">
        <f>VLOOKUP(P107,Hoja1!$A$6:$B$7,2,FALSE)</f>
        <v>M</v>
      </c>
      <c r="R107" s="138">
        <v>176</v>
      </c>
      <c r="S107" s="35">
        <v>139</v>
      </c>
      <c r="T107" s="111">
        <f t="shared" si="23"/>
        <v>24464</v>
      </c>
      <c r="U107" s="37">
        <f t="shared" si="18"/>
        <v>134.4222</v>
      </c>
      <c r="V107" s="141">
        <f t="shared" si="19"/>
        <v>216.2853198</v>
      </c>
      <c r="W107" s="34">
        <f t="shared" si="12"/>
        <v>17.384479646963076</v>
      </c>
      <c r="X107" s="34">
        <f t="shared" si="20"/>
        <v>17.384479646963076</v>
      </c>
      <c r="Y107" s="143">
        <f t="shared" si="21"/>
        <v>40.853527170363229</v>
      </c>
      <c r="Z107" s="37">
        <f t="shared" si="22"/>
        <v>4.3080735542383568</v>
      </c>
      <c r="AA107" s="37"/>
      <c r="AB107" s="37"/>
      <c r="AC107" s="34">
        <f t="shared" si="13"/>
        <v>5.9913793103448274</v>
      </c>
      <c r="AD107" s="34">
        <f t="shared" si="14"/>
        <v>5.9913793103448274</v>
      </c>
      <c r="AE107" s="33">
        <f t="shared" si="15"/>
        <v>1054.4827586206895</v>
      </c>
      <c r="AF107" s="33">
        <f t="shared" si="16"/>
        <v>29.375539568345324</v>
      </c>
      <c r="AG107" s="122">
        <v>13.4</v>
      </c>
      <c r="AH107" s="35" t="s">
        <v>359</v>
      </c>
      <c r="AI107" s="43">
        <v>17</v>
      </c>
      <c r="AJ107" s="44" t="s">
        <v>360</v>
      </c>
      <c r="AK107" s="44" t="str">
        <f>VLOOKUP(F107,Hoja1!$A$9:$D$15,2,TRUE)</f>
        <v>Midsize</v>
      </c>
      <c r="AL107" s="44">
        <v>3</v>
      </c>
      <c r="AM107" s="44" t="s">
        <v>318</v>
      </c>
      <c r="AN107" s="40" t="s">
        <v>331</v>
      </c>
    </row>
    <row r="108" spans="1:40" s="38" customFormat="1">
      <c r="A108" s="132">
        <v>207</v>
      </c>
      <c r="B108" s="134" t="s">
        <v>339</v>
      </c>
      <c r="C108" s="134" t="s">
        <v>340</v>
      </c>
      <c r="D108" s="35" t="s">
        <v>60</v>
      </c>
      <c r="E108" s="32" t="str">
        <f>VLOOKUP(D108,Hoja1!$B$17:$C$21,2,TRUE)</f>
        <v>T</v>
      </c>
      <c r="F108" s="35" t="s">
        <v>40</v>
      </c>
      <c r="G108" s="32">
        <f>VLOOKUP(F108,Hoja1!$A$9:$D$15,3,TRUE)</f>
        <v>80</v>
      </c>
      <c r="H108" s="32">
        <f>VLOOKUP(F108,Hoja1!$A$9:$D$15,4,TRUE)</f>
        <v>3500</v>
      </c>
      <c r="I108" s="35">
        <v>2019</v>
      </c>
      <c r="J108" s="134" t="s">
        <v>32</v>
      </c>
      <c r="K108" s="133" t="str">
        <f>VLOOKUP(J108,Hoja1!$A$2:$B$3,2,FALSE)</f>
        <v>G</v>
      </c>
      <c r="L108" s="134">
        <v>1747</v>
      </c>
      <c r="M108" s="133">
        <f t="shared" si="17"/>
        <v>1.7470000000000001</v>
      </c>
      <c r="N108" s="35" t="s">
        <v>33</v>
      </c>
      <c r="O108" s="35" t="s">
        <v>34</v>
      </c>
      <c r="P108" s="134" t="s">
        <v>35</v>
      </c>
      <c r="Q108" s="133" t="str">
        <f>VLOOKUP(P108,Hoja1!$A$6:$B$7,2,FALSE)</f>
        <v>M</v>
      </c>
      <c r="R108" s="138">
        <v>135</v>
      </c>
      <c r="S108" s="35">
        <v>202</v>
      </c>
      <c r="T108" s="111">
        <f t="shared" si="23"/>
        <v>27270</v>
      </c>
      <c r="U108" s="37">
        <f t="shared" si="18"/>
        <v>188.9676</v>
      </c>
      <c r="V108" s="141">
        <f t="shared" si="19"/>
        <v>304.0488684</v>
      </c>
      <c r="W108" s="34">
        <f t="shared" si="12"/>
        <v>12.366458588668111</v>
      </c>
      <c r="X108" s="34">
        <f t="shared" si="20"/>
        <v>12.366458588668111</v>
      </c>
      <c r="Y108" s="143">
        <f t="shared" si="21"/>
        <v>29.061177683370062</v>
      </c>
      <c r="Z108" s="37">
        <f t="shared" si="22"/>
        <v>4.6453726504432842</v>
      </c>
      <c r="AA108" s="37"/>
      <c r="AB108" s="37"/>
      <c r="AC108" s="34">
        <f t="shared" si="13"/>
        <v>8.7068965517241388</v>
      </c>
      <c r="AD108" s="34">
        <f t="shared" si="14"/>
        <v>8.7068965517241388</v>
      </c>
      <c r="AE108" s="33">
        <f t="shared" si="15"/>
        <v>1175.4310344827588</v>
      </c>
      <c r="AF108" s="33">
        <f t="shared" si="16"/>
        <v>15.504950495049503</v>
      </c>
      <c r="AG108" s="122">
        <v>9.4</v>
      </c>
      <c r="AH108" s="35">
        <v>13.9</v>
      </c>
      <c r="AI108" s="43">
        <v>11.8</v>
      </c>
      <c r="AJ108" s="44" t="s">
        <v>361</v>
      </c>
      <c r="AK108" s="44" t="str">
        <f>VLOOKUP(F108,Hoja1!$A$9:$D$15,2,TRUE)</f>
        <v>Compact</v>
      </c>
      <c r="AL108" s="44">
        <v>2</v>
      </c>
      <c r="AM108" s="112" t="s">
        <v>318</v>
      </c>
      <c r="AN108" s="40" t="s">
        <v>277</v>
      </c>
    </row>
    <row r="109" spans="1:40" s="38" customFormat="1">
      <c r="A109" s="132">
        <v>208</v>
      </c>
      <c r="B109" s="134" t="s">
        <v>135</v>
      </c>
      <c r="C109" s="134" t="s">
        <v>266</v>
      </c>
      <c r="D109" s="35" t="s">
        <v>94</v>
      </c>
      <c r="E109" s="32" t="str">
        <f>VLOOKUP(D109,Hoja1!$B$17:$C$21,2,TRUE)</f>
        <v>T</v>
      </c>
      <c r="F109" s="35" t="s">
        <v>313</v>
      </c>
      <c r="G109" s="32">
        <f>VLOOKUP(F109,Hoja1!$A$9:$D$15,3,TRUE)</f>
        <v>90</v>
      </c>
      <c r="H109" s="32">
        <f>VLOOKUP(F109,Hoja1!$A$9:$D$15,4,TRUE)</f>
        <v>4250</v>
      </c>
      <c r="I109" s="35">
        <v>2019</v>
      </c>
      <c r="J109" s="134" t="s">
        <v>32</v>
      </c>
      <c r="K109" s="133" t="str">
        <f>VLOOKUP(J109,Hoja1!$A$2:$B$3,2,FALSE)</f>
        <v>G</v>
      </c>
      <c r="L109" s="134">
        <v>2393</v>
      </c>
      <c r="M109" s="133">
        <f t="shared" si="17"/>
        <v>2.3929999999999998</v>
      </c>
      <c r="N109" s="35" t="s">
        <v>33</v>
      </c>
      <c r="O109" s="35" t="s">
        <v>34</v>
      </c>
      <c r="P109" s="134" t="s">
        <v>74</v>
      </c>
      <c r="Q109" s="133" t="str">
        <f>VLOOKUP(P109,Hoja1!$A$6:$B$7,2,FALSE)</f>
        <v>A</v>
      </c>
      <c r="R109" s="138">
        <v>131</v>
      </c>
      <c r="S109" s="35">
        <v>238</v>
      </c>
      <c r="T109" s="111">
        <f t="shared" si="23"/>
        <v>31178</v>
      </c>
      <c r="U109" s="37">
        <f t="shared" si="18"/>
        <v>220.13640000000001</v>
      </c>
      <c r="V109" s="141">
        <f t="shared" si="19"/>
        <v>354.19946759999999</v>
      </c>
      <c r="W109" s="34">
        <f t="shared" si="12"/>
        <v>10.615509293329046</v>
      </c>
      <c r="X109" s="34">
        <f t="shared" si="20"/>
        <v>10.615509293329046</v>
      </c>
      <c r="Y109" s="143">
        <f t="shared" si="21"/>
        <v>24.946446839323258</v>
      </c>
      <c r="Z109" s="37">
        <f t="shared" si="22"/>
        <v>5.2512488389129546</v>
      </c>
      <c r="AA109" s="37"/>
      <c r="AB109" s="37"/>
      <c r="AC109" s="34">
        <f t="shared" si="13"/>
        <v>10.258620689655173</v>
      </c>
      <c r="AD109" s="34">
        <f t="shared" si="14"/>
        <v>10.258620689655173</v>
      </c>
      <c r="AE109" s="33">
        <f t="shared" si="15"/>
        <v>1343.8793103448277</v>
      </c>
      <c r="AF109" s="33">
        <f t="shared" si="16"/>
        <v>12.769747899159663</v>
      </c>
      <c r="AG109" s="122">
        <v>7.9</v>
      </c>
      <c r="AH109" s="35">
        <v>11.9</v>
      </c>
      <c r="AI109" s="43">
        <v>10</v>
      </c>
      <c r="AJ109" s="44" t="s">
        <v>362</v>
      </c>
      <c r="AK109" s="44" t="str">
        <f>VLOOKUP(F109,Hoja1!$A$9:$D$15,2,TRUE)</f>
        <v>Midsize</v>
      </c>
      <c r="AL109" s="44">
        <v>7</v>
      </c>
      <c r="AM109" s="44" t="s">
        <v>318</v>
      </c>
      <c r="AN109" s="40" t="s">
        <v>38</v>
      </c>
    </row>
    <row r="110" spans="1:40" s="38" customFormat="1">
      <c r="A110" s="132">
        <v>209</v>
      </c>
      <c r="B110" s="134" t="s">
        <v>68</v>
      </c>
      <c r="C110" s="134" t="s">
        <v>363</v>
      </c>
      <c r="D110" s="35" t="s">
        <v>30</v>
      </c>
      <c r="E110" s="32" t="str">
        <f>VLOOKUP(D110,Hoja1!$B$17:$C$21,2,TRUE)</f>
        <v>C</v>
      </c>
      <c r="F110" s="35" t="s">
        <v>40</v>
      </c>
      <c r="G110" s="32">
        <f>VLOOKUP(F110,Hoja1!$A$9:$D$15,3,TRUE)</f>
        <v>80</v>
      </c>
      <c r="H110" s="32">
        <f>VLOOKUP(F110,Hoja1!$A$9:$D$15,4,TRUE)</f>
        <v>3500</v>
      </c>
      <c r="I110" s="35">
        <v>2019</v>
      </c>
      <c r="J110" s="134" t="s">
        <v>32</v>
      </c>
      <c r="K110" s="133" t="str">
        <f>VLOOKUP(J110,Hoja1!$A$2:$B$3,2,FALSE)</f>
        <v>G</v>
      </c>
      <c r="L110" s="134">
        <v>1598</v>
      </c>
      <c r="M110" s="133">
        <f t="shared" si="17"/>
        <v>1.5980000000000001</v>
      </c>
      <c r="N110" s="35" t="s">
        <v>33</v>
      </c>
      <c r="O110" s="35" t="s">
        <v>34</v>
      </c>
      <c r="P110" s="134" t="s">
        <v>35</v>
      </c>
      <c r="Q110" s="133" t="str">
        <f>VLOOKUP(P110,Hoja1!$A$6:$B$7,2,FALSE)</f>
        <v>M</v>
      </c>
      <c r="R110" s="138">
        <v>127</v>
      </c>
      <c r="S110" s="35">
        <v>162</v>
      </c>
      <c r="T110" s="111">
        <f t="shared" si="23"/>
        <v>20574</v>
      </c>
      <c r="U110" s="37">
        <f t="shared" si="18"/>
        <v>154.3356</v>
      </c>
      <c r="V110" s="141">
        <f t="shared" si="19"/>
        <v>248.32598039999999</v>
      </c>
      <c r="W110" s="34">
        <f t="shared" si="12"/>
        <v>15.141419089309272</v>
      </c>
      <c r="X110" s="34">
        <f t="shared" si="20"/>
        <v>15.141419089309272</v>
      </c>
      <c r="Y110" s="143">
        <f t="shared" si="21"/>
        <v>35.582334859876788</v>
      </c>
      <c r="Z110" s="37">
        <f t="shared" si="22"/>
        <v>3.5691868029494387</v>
      </c>
      <c r="AA110" s="37"/>
      <c r="AB110" s="37"/>
      <c r="AC110" s="34">
        <f t="shared" si="13"/>
        <v>6.9827586206896557</v>
      </c>
      <c r="AD110" s="34">
        <f t="shared" si="14"/>
        <v>6.9827586206896557</v>
      </c>
      <c r="AE110" s="33">
        <f t="shared" si="15"/>
        <v>886.81034482758628</v>
      </c>
      <c r="AF110" s="33">
        <f t="shared" si="16"/>
        <v>18.187654320987654</v>
      </c>
      <c r="AG110" s="122">
        <v>11.2</v>
      </c>
      <c r="AH110" s="35">
        <v>18.2</v>
      </c>
      <c r="AI110" s="43">
        <v>14.8</v>
      </c>
      <c r="AJ110" s="44" t="s">
        <v>364</v>
      </c>
      <c r="AK110" s="44" t="str">
        <f>VLOOKUP(F110,Hoja1!$A$9:$D$15,2,TRUE)</f>
        <v>Compact</v>
      </c>
      <c r="AL110" s="44">
        <v>2</v>
      </c>
      <c r="AM110" s="44" t="s">
        <v>318</v>
      </c>
      <c r="AN110" s="40" t="s">
        <v>277</v>
      </c>
    </row>
    <row r="111" spans="1:40" s="38" customFormat="1">
      <c r="A111" s="132">
        <v>210</v>
      </c>
      <c r="B111" s="134" t="s">
        <v>68</v>
      </c>
      <c r="C111" s="134" t="s">
        <v>342</v>
      </c>
      <c r="D111" s="35" t="s">
        <v>30</v>
      </c>
      <c r="E111" s="32" t="str">
        <f>VLOOKUP(D111,Hoja1!$B$17:$C$21,2,TRUE)</f>
        <v>C</v>
      </c>
      <c r="F111" s="35" t="s">
        <v>31</v>
      </c>
      <c r="G111" s="32">
        <f>VLOOKUP(F111,Hoja1!$A$9:$D$15,3,TRUE)</f>
        <v>90</v>
      </c>
      <c r="H111" s="32">
        <f>VLOOKUP(F111,Hoja1!$A$9:$D$15,4,TRUE)</f>
        <v>4250</v>
      </c>
      <c r="I111" s="35">
        <v>2019</v>
      </c>
      <c r="J111" s="134" t="s">
        <v>32</v>
      </c>
      <c r="K111" s="133" t="str">
        <f>VLOOKUP(J111,Hoja1!$A$2:$B$3,2,FALSE)</f>
        <v>G</v>
      </c>
      <c r="L111" s="134">
        <v>1798</v>
      </c>
      <c r="M111" s="133">
        <f t="shared" si="17"/>
        <v>1.798</v>
      </c>
      <c r="N111" s="35" t="s">
        <v>33</v>
      </c>
      <c r="O111" s="35" t="s">
        <v>34</v>
      </c>
      <c r="P111" s="134" t="s">
        <v>35</v>
      </c>
      <c r="Q111" s="133" t="str">
        <f>VLOOKUP(P111,Hoja1!$A$6:$B$7,2,FALSE)</f>
        <v>M</v>
      </c>
      <c r="R111" s="138">
        <v>120</v>
      </c>
      <c r="S111" s="35">
        <v>182</v>
      </c>
      <c r="T111" s="111">
        <f t="shared" si="23"/>
        <v>21840</v>
      </c>
      <c r="U111" s="37">
        <f t="shared" si="18"/>
        <v>171.6516</v>
      </c>
      <c r="V111" s="141">
        <f t="shared" si="19"/>
        <v>276.1874244</v>
      </c>
      <c r="W111" s="34">
        <f t="shared" si="12"/>
        <v>13.613971556338537</v>
      </c>
      <c r="X111" s="34">
        <f t="shared" si="20"/>
        <v>13.613971556338537</v>
      </c>
      <c r="Y111" s="143">
        <f t="shared" si="21"/>
        <v>31.992833157395562</v>
      </c>
      <c r="Z111" s="37">
        <f t="shared" si="22"/>
        <v>3.7508400525090861</v>
      </c>
      <c r="AA111" s="37"/>
      <c r="AB111" s="37"/>
      <c r="AC111" s="34">
        <f t="shared" si="13"/>
        <v>7.8448275862068968</v>
      </c>
      <c r="AD111" s="34">
        <f t="shared" si="14"/>
        <v>7.8448275862068968</v>
      </c>
      <c r="AE111" s="33">
        <f t="shared" si="15"/>
        <v>941.37931034482767</v>
      </c>
      <c r="AF111" s="33">
        <f t="shared" si="16"/>
        <v>15.296703296703296</v>
      </c>
      <c r="AG111" s="122">
        <v>10.3</v>
      </c>
      <c r="AH111" s="35">
        <v>15.4</v>
      </c>
      <c r="AI111" s="43">
        <v>13</v>
      </c>
      <c r="AJ111" s="44" t="s">
        <v>164</v>
      </c>
      <c r="AK111" s="44" t="str">
        <f>VLOOKUP(F111,Hoja1!$A$9:$D$15,2,TRUE)</f>
        <v>Midsize</v>
      </c>
      <c r="AL111" s="44">
        <v>3</v>
      </c>
      <c r="AM111" s="44" t="s">
        <v>37</v>
      </c>
      <c r="AN111" s="40" t="s">
        <v>65</v>
      </c>
    </row>
    <row r="112" spans="1:40" s="38" customFormat="1">
      <c r="A112" s="132">
        <v>211</v>
      </c>
      <c r="B112" s="134" t="s">
        <v>288</v>
      </c>
      <c r="C112" s="134" t="s">
        <v>289</v>
      </c>
      <c r="D112" s="35" t="s">
        <v>94</v>
      </c>
      <c r="E112" s="32" t="str">
        <f>VLOOKUP(D112,Hoja1!$B$17:$C$21,2,TRUE)</f>
        <v>T</v>
      </c>
      <c r="F112" s="35" t="s">
        <v>175</v>
      </c>
      <c r="G112" s="32">
        <f>VLOOKUP(F112,Hoja1!$A$9:$D$15,3,TRUE)</f>
        <v>110</v>
      </c>
      <c r="H112" s="32">
        <f>VLOOKUP(F112,Hoja1!$A$9:$D$15,4,TRUE)</f>
        <v>5751</v>
      </c>
      <c r="I112" s="35">
        <v>2019</v>
      </c>
      <c r="J112" s="134" t="s">
        <v>32</v>
      </c>
      <c r="K112" s="133" t="str">
        <f>VLOOKUP(J112,Hoja1!$A$2:$B$3,2,FALSE)</f>
        <v>G</v>
      </c>
      <c r="L112" s="134">
        <v>2998</v>
      </c>
      <c r="M112" s="133">
        <f t="shared" si="17"/>
        <v>2.9980000000000002</v>
      </c>
      <c r="N112" s="35" t="s">
        <v>33</v>
      </c>
      <c r="O112" s="35" t="s">
        <v>34</v>
      </c>
      <c r="P112" s="134" t="s">
        <v>74</v>
      </c>
      <c r="Q112" s="133" t="str">
        <f>VLOOKUP(P112,Hoja1!$A$6:$B$7,2,FALSE)</f>
        <v>A</v>
      </c>
      <c r="R112" s="138">
        <v>115</v>
      </c>
      <c r="S112" s="40">
        <f>1.1325*U112-13.739</f>
        <v>217.13973462214409</v>
      </c>
      <c r="T112" s="119">
        <f>S112*R112</f>
        <v>24971.069481546569</v>
      </c>
      <c r="U112" s="33">
        <f>(23.2*100*2.35)/Y112</f>
        <v>203.86643233743408</v>
      </c>
      <c r="V112" s="141">
        <f t="shared" si="19"/>
        <v>328.02108963093144</v>
      </c>
      <c r="W112" s="34">
        <f t="shared" si="12"/>
        <v>11.462701206896554</v>
      </c>
      <c r="X112" s="34">
        <f>AI112</f>
        <v>11.38</v>
      </c>
      <c r="Y112" s="142">
        <f>X112*2.35</f>
        <v>26.743000000000002</v>
      </c>
      <c r="Z112" s="33">
        <f>R112/Y112</f>
        <v>4.300190704109486</v>
      </c>
      <c r="AA112" s="33">
        <f>U112</f>
        <v>203.86643233743408</v>
      </c>
      <c r="AB112" s="33">
        <f>S112</f>
        <v>217.13973462214409</v>
      </c>
      <c r="AC112" s="34">
        <f t="shared" si="13"/>
        <v>9.3594713199200044</v>
      </c>
      <c r="AD112" s="34">
        <f t="shared" si="14"/>
        <v>9.3594713199200044</v>
      </c>
      <c r="AE112" s="33">
        <f t="shared" si="15"/>
        <v>1076.3392017908004</v>
      </c>
      <c r="AF112" s="33">
        <f t="shared" si="16"/>
        <v>12.28701879295709</v>
      </c>
      <c r="AG112" s="122">
        <v>8.75</v>
      </c>
      <c r="AH112" s="35">
        <v>12.26</v>
      </c>
      <c r="AI112" s="43">
        <v>11.38</v>
      </c>
      <c r="AJ112" s="44" t="s">
        <v>296</v>
      </c>
      <c r="AK112" s="44" t="str">
        <f>VLOOKUP(F112,Hoja1!$A$9:$D$15,2,TRUE)</f>
        <v>Executive</v>
      </c>
      <c r="AL112" s="44">
        <v>11</v>
      </c>
      <c r="AM112" s="44" t="s">
        <v>46</v>
      </c>
      <c r="AN112" s="40"/>
    </row>
    <row r="113" spans="1:40" s="38" customFormat="1">
      <c r="A113" s="132">
        <v>212</v>
      </c>
      <c r="B113" s="134" t="s">
        <v>168</v>
      </c>
      <c r="C113" s="134" t="s">
        <v>169</v>
      </c>
      <c r="D113" s="35" t="s">
        <v>60</v>
      </c>
      <c r="E113" s="32" t="str">
        <f>VLOOKUP(D113,Hoja1!$B$17:$C$21,2,TRUE)</f>
        <v>T</v>
      </c>
      <c r="F113" s="35" t="s">
        <v>40</v>
      </c>
      <c r="G113" s="32">
        <f>VLOOKUP(F113,Hoja1!$A$9:$D$15,3,TRUE)</f>
        <v>80</v>
      </c>
      <c r="H113" s="32">
        <f>VLOOKUP(F113,Hoja1!$A$9:$D$15,4,TRUE)</f>
        <v>3500</v>
      </c>
      <c r="I113" s="35">
        <v>2019</v>
      </c>
      <c r="J113" s="134" t="s">
        <v>32</v>
      </c>
      <c r="K113" s="133" t="str">
        <f>VLOOKUP(J113,Hoja1!$A$2:$B$3,2,FALSE)</f>
        <v>G</v>
      </c>
      <c r="L113" s="134">
        <v>1499</v>
      </c>
      <c r="M113" s="133">
        <f t="shared" si="17"/>
        <v>1.4990000000000001</v>
      </c>
      <c r="N113" s="35" t="s">
        <v>33</v>
      </c>
      <c r="O113" s="35" t="s">
        <v>34</v>
      </c>
      <c r="P113" s="134" t="s">
        <v>74</v>
      </c>
      <c r="Q113" s="133" t="str">
        <f>VLOOKUP(P113,Hoja1!$A$6:$B$7,2,FALSE)</f>
        <v>A</v>
      </c>
      <c r="R113" s="138">
        <v>94</v>
      </c>
      <c r="S113" s="35">
        <v>170</v>
      </c>
      <c r="T113" s="111">
        <f t="shared" si="23"/>
        <v>15980</v>
      </c>
      <c r="U113" s="37">
        <f t="shared" si="18"/>
        <v>161.262</v>
      </c>
      <c r="V113" s="141">
        <f t="shared" si="19"/>
        <v>259.47055799999998</v>
      </c>
      <c r="W113" s="34">
        <f t="shared" si="12"/>
        <v>14.491076633056766</v>
      </c>
      <c r="X113" s="34">
        <f t="shared" si="20"/>
        <v>14.491076633056766</v>
      </c>
      <c r="Y113" s="143">
        <f t="shared" si="21"/>
        <v>34.054030087683401</v>
      </c>
      <c r="Z113" s="37">
        <f t="shared" si="22"/>
        <v>2.7603194029595266</v>
      </c>
      <c r="AA113" s="37"/>
      <c r="AB113" s="37"/>
      <c r="AC113" s="34">
        <f t="shared" si="13"/>
        <v>7.3275862068965516</v>
      </c>
      <c r="AD113" s="34">
        <f t="shared" si="14"/>
        <v>7.3275862068965516</v>
      </c>
      <c r="AE113" s="33">
        <f t="shared" si="15"/>
        <v>688.79310344827582</v>
      </c>
      <c r="AF113" s="33">
        <f t="shared" si="16"/>
        <v>12.828235294117647</v>
      </c>
      <c r="AG113" s="122">
        <v>10.9</v>
      </c>
      <c r="AH113" s="35">
        <v>16.7</v>
      </c>
      <c r="AI113" s="43">
        <v>14</v>
      </c>
      <c r="AJ113" s="44" t="s">
        <v>170</v>
      </c>
      <c r="AK113" s="44" t="str">
        <f>VLOOKUP(F113,Hoja1!$A$9:$D$15,2,TRUE)</f>
        <v>Compact</v>
      </c>
      <c r="AL113" s="44">
        <v>2</v>
      </c>
      <c r="AM113" s="44" t="s">
        <v>37</v>
      </c>
      <c r="AN113" s="40" t="s">
        <v>38</v>
      </c>
    </row>
    <row r="114" spans="1:40" s="38" customFormat="1">
      <c r="A114" s="132">
        <v>213</v>
      </c>
      <c r="B114" s="134" t="s">
        <v>55</v>
      </c>
      <c r="C114" s="134" t="s">
        <v>365</v>
      </c>
      <c r="D114" s="35" t="s">
        <v>60</v>
      </c>
      <c r="E114" s="32" t="str">
        <f>VLOOKUP(D114,Hoja1!$B$17:$C$21,2,TRUE)</f>
        <v>T</v>
      </c>
      <c r="F114" s="35" t="s">
        <v>147</v>
      </c>
      <c r="G114" s="32">
        <f>VLOOKUP(F114,Hoja1!$A$9:$D$15,3,TRUE)</f>
        <v>100</v>
      </c>
      <c r="H114" s="32">
        <f>VLOOKUP(F114,Hoja1!$A$9:$D$15,4,TRUE)</f>
        <v>5250</v>
      </c>
      <c r="I114" s="35">
        <v>2019</v>
      </c>
      <c r="J114" s="134" t="s">
        <v>32</v>
      </c>
      <c r="K114" s="133" t="str">
        <f>VLOOKUP(J114,Hoja1!$A$2:$B$3,2,FALSE)</f>
        <v>G</v>
      </c>
      <c r="L114" s="134">
        <v>1999</v>
      </c>
      <c r="M114" s="133">
        <f t="shared" si="17"/>
        <v>1.9990000000000001</v>
      </c>
      <c r="N114" s="35" t="s">
        <v>33</v>
      </c>
      <c r="O114" s="35" t="s">
        <v>34</v>
      </c>
      <c r="P114" s="134" t="s">
        <v>35</v>
      </c>
      <c r="Q114" s="133" t="str">
        <f>VLOOKUP(P114,Hoja1!$A$6:$B$7,2,FALSE)</f>
        <v>M</v>
      </c>
      <c r="R114" s="138">
        <v>78</v>
      </c>
      <c r="S114" s="35">
        <v>181</v>
      </c>
      <c r="T114" s="111">
        <f t="shared" si="23"/>
        <v>14118</v>
      </c>
      <c r="U114" s="37">
        <f t="shared" si="18"/>
        <v>170.78579999999999</v>
      </c>
      <c r="V114" s="141">
        <f t="shared" si="19"/>
        <v>274.79435219999999</v>
      </c>
      <c r="W114" s="34">
        <f t="shared" si="12"/>
        <v>13.682987695698355</v>
      </c>
      <c r="X114" s="34">
        <f t="shared" si="20"/>
        <v>13.682987695698355</v>
      </c>
      <c r="Y114" s="143">
        <f t="shared" si="21"/>
        <v>32.155021084891132</v>
      </c>
      <c r="Z114" s="37">
        <f t="shared" si="22"/>
        <v>2.4257486814913118</v>
      </c>
      <c r="AA114" s="37"/>
      <c r="AB114" s="37"/>
      <c r="AC114" s="34">
        <f t="shared" si="13"/>
        <v>7.8017241379310347</v>
      </c>
      <c r="AD114" s="34">
        <f t="shared" si="14"/>
        <v>7.8017241379310347</v>
      </c>
      <c r="AE114" s="33">
        <f t="shared" si="15"/>
        <v>608.5344827586207</v>
      </c>
      <c r="AF114" s="33">
        <f t="shared" si="16"/>
        <v>9.9977900552486183</v>
      </c>
      <c r="AG114" s="122">
        <v>9.9</v>
      </c>
      <c r="AH114" s="35">
        <v>16.399999999999999</v>
      </c>
      <c r="AI114" s="43">
        <v>13.2</v>
      </c>
      <c r="AJ114" s="44" t="s">
        <v>366</v>
      </c>
      <c r="AK114" s="44" t="str">
        <f>VLOOKUP(F114,Hoja1!$A$9:$D$15,2,TRUE)</f>
        <v>Large</v>
      </c>
      <c r="AL114" s="44">
        <v>11</v>
      </c>
      <c r="AM114" s="112" t="s">
        <v>318</v>
      </c>
      <c r="AN114" s="40" t="s">
        <v>277</v>
      </c>
    </row>
    <row r="115" spans="1:40" s="38" customFormat="1">
      <c r="A115" s="132">
        <v>214</v>
      </c>
      <c r="B115" s="134" t="s">
        <v>43</v>
      </c>
      <c r="C115" s="134" t="s">
        <v>286</v>
      </c>
      <c r="D115" s="35" t="s">
        <v>60</v>
      </c>
      <c r="E115" s="32" t="str">
        <f>VLOOKUP(D115,Hoja1!$B$17:$C$21,2,TRUE)</f>
        <v>T</v>
      </c>
      <c r="F115" s="35" t="s">
        <v>147</v>
      </c>
      <c r="G115" s="32">
        <f>VLOOKUP(F115,Hoja1!$A$9:$D$15,3,TRUE)</f>
        <v>100</v>
      </c>
      <c r="H115" s="32">
        <f>VLOOKUP(F115,Hoja1!$A$9:$D$15,4,TRUE)</f>
        <v>5250</v>
      </c>
      <c r="I115" s="35">
        <v>2019</v>
      </c>
      <c r="J115" s="134" t="s">
        <v>32</v>
      </c>
      <c r="K115" s="133" t="str">
        <f>VLOOKUP(J115,Hoja1!$A$2:$B$3,2,FALSE)</f>
        <v>G</v>
      </c>
      <c r="L115" s="134">
        <v>2488</v>
      </c>
      <c r="M115" s="133">
        <f t="shared" si="17"/>
        <v>2.488</v>
      </c>
      <c r="N115" s="35" t="s">
        <v>33</v>
      </c>
      <c r="O115" s="35" t="s">
        <v>34</v>
      </c>
      <c r="P115" s="134" t="s">
        <v>74</v>
      </c>
      <c r="Q115" s="133" t="str">
        <f>VLOOKUP(P115,Hoja1!$A$6:$B$7,2,FALSE)</f>
        <v>A</v>
      </c>
      <c r="R115" s="138">
        <v>74</v>
      </c>
      <c r="S115" s="35">
        <v>212</v>
      </c>
      <c r="T115" s="111">
        <f t="shared" si="23"/>
        <v>15688</v>
      </c>
      <c r="U115" s="37">
        <f t="shared" si="18"/>
        <v>197.62559999999999</v>
      </c>
      <c r="V115" s="141">
        <f t="shared" si="19"/>
        <v>317.97959040000001</v>
      </c>
      <c r="W115" s="34">
        <f t="shared" si="12"/>
        <v>11.824682632209594</v>
      </c>
      <c r="X115" s="34">
        <f t="shared" si="20"/>
        <v>11.824682632209594</v>
      </c>
      <c r="Y115" s="143">
        <f t="shared" si="21"/>
        <v>27.788004185692547</v>
      </c>
      <c r="Z115" s="37">
        <f t="shared" si="22"/>
        <v>2.6630196075075094</v>
      </c>
      <c r="AA115" s="37"/>
      <c r="AB115" s="37"/>
      <c r="AC115" s="34">
        <f t="shared" si="13"/>
        <v>9.1379310344827598</v>
      </c>
      <c r="AD115" s="34">
        <f t="shared" si="14"/>
        <v>9.1379310344827598</v>
      </c>
      <c r="AE115" s="33">
        <f t="shared" si="15"/>
        <v>676.20689655172418</v>
      </c>
      <c r="AF115" s="33">
        <f t="shared" si="16"/>
        <v>8.0981132075471685</v>
      </c>
      <c r="AG115" s="122">
        <v>8.9</v>
      </c>
      <c r="AH115" s="35">
        <v>13.2</v>
      </c>
      <c r="AI115" s="43">
        <v>11.2</v>
      </c>
      <c r="AJ115" s="44" t="s">
        <v>299</v>
      </c>
      <c r="AK115" s="44" t="str">
        <f>VLOOKUP(F115,Hoja1!$A$9:$D$15,2,TRUE)</f>
        <v>Large</v>
      </c>
      <c r="AL115" s="44">
        <v>11</v>
      </c>
      <c r="AM115" s="44" t="s">
        <v>37</v>
      </c>
      <c r="AN115" s="40" t="s">
        <v>38</v>
      </c>
    </row>
    <row r="116" spans="1:40" s="38" customFormat="1">
      <c r="A116" s="132">
        <v>215</v>
      </c>
      <c r="B116" s="134" t="s">
        <v>135</v>
      </c>
      <c r="C116" s="134" t="s">
        <v>316</v>
      </c>
      <c r="D116" s="35" t="s">
        <v>94</v>
      </c>
      <c r="E116" s="32" t="str">
        <f>VLOOKUP(D116,Hoja1!$B$17:$C$21,2,TRUE)</f>
        <v>T</v>
      </c>
      <c r="F116" s="35" t="s">
        <v>313</v>
      </c>
      <c r="G116" s="32">
        <f>VLOOKUP(F116,Hoja1!$A$9:$D$15,3,TRUE)</f>
        <v>90</v>
      </c>
      <c r="H116" s="32">
        <f>VLOOKUP(F116,Hoja1!$A$9:$D$15,4,TRUE)</f>
        <v>4250</v>
      </c>
      <c r="I116" s="35">
        <v>2019</v>
      </c>
      <c r="J116" s="134" t="s">
        <v>32</v>
      </c>
      <c r="K116" s="133" t="str">
        <f>VLOOKUP(J116,Hoja1!$A$2:$B$3,2,FALSE)</f>
        <v>G</v>
      </c>
      <c r="L116" s="134">
        <v>1373</v>
      </c>
      <c r="M116" s="133">
        <f t="shared" si="17"/>
        <v>1.373</v>
      </c>
      <c r="N116" s="35" t="s">
        <v>33</v>
      </c>
      <c r="O116" s="35" t="s">
        <v>34</v>
      </c>
      <c r="P116" s="134" t="s">
        <v>74</v>
      </c>
      <c r="Q116" s="133" t="str">
        <f>VLOOKUP(P116,Hoja1!$A$6:$B$7,2,FALSE)</f>
        <v>A</v>
      </c>
      <c r="R116" s="138">
        <v>72</v>
      </c>
      <c r="S116" s="35">
        <v>149</v>
      </c>
      <c r="T116" s="111">
        <f t="shared" si="23"/>
        <v>10728</v>
      </c>
      <c r="U116" s="37">
        <f t="shared" si="18"/>
        <v>143.08019999999999</v>
      </c>
      <c r="V116" s="141">
        <f t="shared" si="19"/>
        <v>230.21604179999997</v>
      </c>
      <c r="W116" s="34">
        <f t="shared" si="12"/>
        <v>16.332518405761245</v>
      </c>
      <c r="X116" s="34">
        <f t="shared" si="20"/>
        <v>16.332518405761245</v>
      </c>
      <c r="Y116" s="143">
        <f t="shared" si="21"/>
        <v>38.381418253538925</v>
      </c>
      <c r="Z116" s="37">
        <f t="shared" si="22"/>
        <v>1.8759077510993567</v>
      </c>
      <c r="AA116" s="37"/>
      <c r="AB116" s="37"/>
      <c r="AC116" s="34">
        <f t="shared" si="13"/>
        <v>6.4224137931034484</v>
      </c>
      <c r="AD116" s="34">
        <f t="shared" si="14"/>
        <v>6.4224137931034484</v>
      </c>
      <c r="AE116" s="33">
        <f t="shared" si="15"/>
        <v>462.41379310344826</v>
      </c>
      <c r="AF116" s="33">
        <f t="shared" si="16"/>
        <v>11.210738255033556</v>
      </c>
      <c r="AG116" s="122">
        <v>12.8</v>
      </c>
      <c r="AH116" s="35">
        <v>18.5</v>
      </c>
      <c r="AI116" s="43">
        <v>15.9</v>
      </c>
      <c r="AJ116" s="44" t="s">
        <v>367</v>
      </c>
      <c r="AK116" s="44" t="str">
        <f>VLOOKUP(F116,Hoja1!$A$9:$D$15,2,TRUE)</f>
        <v>Midsize</v>
      </c>
      <c r="AL116" s="44">
        <v>7</v>
      </c>
      <c r="AM116" s="44" t="s">
        <v>318</v>
      </c>
      <c r="AN116" s="40" t="s">
        <v>38</v>
      </c>
    </row>
    <row r="117" spans="1:40" s="38" customFormat="1">
      <c r="A117" s="132">
        <v>216</v>
      </c>
      <c r="B117" s="134" t="s">
        <v>43</v>
      </c>
      <c r="C117" s="134" t="s">
        <v>93</v>
      </c>
      <c r="D117" s="35" t="s">
        <v>60</v>
      </c>
      <c r="E117" s="32" t="str">
        <f>VLOOKUP(D117,Hoja1!$B$17:$C$21,2,TRUE)</f>
        <v>T</v>
      </c>
      <c r="F117" s="35" t="s">
        <v>31</v>
      </c>
      <c r="G117" s="32">
        <f>VLOOKUP(F117,Hoja1!$A$9:$D$15,3,TRUE)</f>
        <v>90</v>
      </c>
      <c r="H117" s="32">
        <f>VLOOKUP(F117,Hoja1!$A$9:$D$15,4,TRUE)</f>
        <v>4250</v>
      </c>
      <c r="I117" s="35">
        <v>2019</v>
      </c>
      <c r="J117" s="134" t="s">
        <v>32</v>
      </c>
      <c r="K117" s="133" t="str">
        <f>VLOOKUP(J117,Hoja1!$A$2:$B$3,2,FALSE)</f>
        <v>G</v>
      </c>
      <c r="L117" s="134">
        <v>1998</v>
      </c>
      <c r="M117" s="133">
        <f t="shared" si="17"/>
        <v>1.998</v>
      </c>
      <c r="N117" s="35" t="s">
        <v>33</v>
      </c>
      <c r="O117" s="35" t="s">
        <v>34</v>
      </c>
      <c r="P117" s="134" t="s">
        <v>74</v>
      </c>
      <c r="Q117" s="133" t="str">
        <f>VLOOKUP(P117,Hoja1!$A$6:$B$7,2,FALSE)</f>
        <v>A</v>
      </c>
      <c r="R117" s="138">
        <v>70</v>
      </c>
      <c r="S117" s="40">
        <f>1.1325*U117-13.739</f>
        <v>156.76067553536663</v>
      </c>
      <c r="T117" s="119">
        <f>S117*R117</f>
        <v>10973.247287475664</v>
      </c>
      <c r="U117" s="33">
        <f>(23.2*100*2.35)/Y117</f>
        <v>150.55158987670342</v>
      </c>
      <c r="V117" s="141">
        <f t="shared" si="19"/>
        <v>242.2375081116158</v>
      </c>
      <c r="W117" s="34">
        <f t="shared" si="12"/>
        <v>15.521988189655175</v>
      </c>
      <c r="X117" s="34">
        <f>AI117</f>
        <v>15.41</v>
      </c>
      <c r="Y117" s="142">
        <f>X117*2.35</f>
        <v>36.213500000000003</v>
      </c>
      <c r="Z117" s="33">
        <f>R117/Y117</f>
        <v>1.9329807944551063</v>
      </c>
      <c r="AA117" s="33">
        <f>U117</f>
        <v>150.55158987670342</v>
      </c>
      <c r="AB117" s="33">
        <f>S117</f>
        <v>156.76067553536663</v>
      </c>
      <c r="AC117" s="34">
        <f t="shared" si="13"/>
        <v>6.7569256696278721</v>
      </c>
      <c r="AD117" s="34">
        <f t="shared" si="14"/>
        <v>6.7569256696278721</v>
      </c>
      <c r="AE117" s="33">
        <f t="shared" si="15"/>
        <v>472.98479687395104</v>
      </c>
      <c r="AF117" s="33">
        <f t="shared" si="16"/>
        <v>10.359741015747352</v>
      </c>
      <c r="AG117" s="123">
        <v>11.9</v>
      </c>
      <c r="AH117" s="44">
        <v>17.899999999999999</v>
      </c>
      <c r="AI117" s="45">
        <v>15.41</v>
      </c>
      <c r="AJ117" s="44" t="s">
        <v>257</v>
      </c>
      <c r="AK117" s="44" t="str">
        <f>VLOOKUP(F117,Hoja1!$A$9:$D$15,2,TRUE)</f>
        <v>Midsize</v>
      </c>
      <c r="AL117" s="44">
        <v>7</v>
      </c>
      <c r="AM117" s="44" t="s">
        <v>46</v>
      </c>
      <c r="AN117" s="37"/>
    </row>
    <row r="118" spans="1:40" s="38" customFormat="1">
      <c r="A118" s="132">
        <v>217</v>
      </c>
      <c r="B118" s="134" t="s">
        <v>288</v>
      </c>
      <c r="C118" s="134" t="s">
        <v>289</v>
      </c>
      <c r="D118" s="35" t="s">
        <v>94</v>
      </c>
      <c r="E118" s="32" t="str">
        <f>VLOOKUP(D118,Hoja1!$B$17:$C$21,2,TRUE)</f>
        <v>T</v>
      </c>
      <c r="F118" s="35" t="s">
        <v>175</v>
      </c>
      <c r="G118" s="32">
        <f>VLOOKUP(F118,Hoja1!$A$9:$D$15,3,TRUE)</f>
        <v>110</v>
      </c>
      <c r="H118" s="32">
        <f>VLOOKUP(F118,Hoja1!$A$9:$D$15,4,TRUE)</f>
        <v>5751</v>
      </c>
      <c r="I118" s="35">
        <v>2019</v>
      </c>
      <c r="J118" s="134" t="s">
        <v>103</v>
      </c>
      <c r="K118" s="133" t="str">
        <f>VLOOKUP(J118,Hoja1!$A$2:$B$3,2,FALSE)</f>
        <v>D</v>
      </c>
      <c r="L118" s="134">
        <v>2442</v>
      </c>
      <c r="M118" s="133">
        <f t="shared" si="17"/>
        <v>2.4420000000000002</v>
      </c>
      <c r="N118" s="35" t="s">
        <v>33</v>
      </c>
      <c r="O118" s="35" t="s">
        <v>34</v>
      </c>
      <c r="P118" s="134" t="s">
        <v>74</v>
      </c>
      <c r="Q118" s="133" t="str">
        <f>VLOOKUP(P118,Hoja1!$A$6:$B$7,2,FALSE)</f>
        <v>A</v>
      </c>
      <c r="R118" s="138">
        <v>66</v>
      </c>
      <c r="S118" s="35">
        <v>222</v>
      </c>
      <c r="T118" s="111">
        <f t="shared" si="23"/>
        <v>14652</v>
      </c>
      <c r="U118" s="37">
        <f t="shared" si="18"/>
        <v>194.4906</v>
      </c>
      <c r="V118" s="141">
        <f t="shared" si="19"/>
        <v>312.9353754</v>
      </c>
      <c r="W118" s="34">
        <f t="shared" si="12"/>
        <v>13.802209464107777</v>
      </c>
      <c r="X118" s="34">
        <f t="shared" si="20"/>
        <v>12.77982357787757</v>
      </c>
      <c r="Y118" s="143">
        <f t="shared" si="21"/>
        <v>30.032585408012292</v>
      </c>
      <c r="Z118" s="37">
        <f t="shared" si="22"/>
        <v>2.1976129961289343</v>
      </c>
      <c r="AA118" s="37"/>
      <c r="AB118" s="37"/>
      <c r="AC118" s="34">
        <f t="shared" si="13"/>
        <v>8.2885304659498207</v>
      </c>
      <c r="AD118" s="34">
        <f t="shared" si="14"/>
        <v>8.9516129032258061</v>
      </c>
      <c r="AE118" s="33">
        <f t="shared" si="15"/>
        <v>590.80645161290317</v>
      </c>
      <c r="AF118" s="33">
        <f t="shared" si="16"/>
        <v>7.3729729729729732</v>
      </c>
      <c r="AG118" s="122">
        <v>9.3000000000000007</v>
      </c>
      <c r="AH118" s="35">
        <v>14.1</v>
      </c>
      <c r="AI118" s="43">
        <v>11.9</v>
      </c>
      <c r="AJ118" s="44" t="s">
        <v>290</v>
      </c>
      <c r="AK118" s="44" t="str">
        <f>VLOOKUP(F118,Hoja1!$A$9:$D$15,2,TRUE)</f>
        <v>Executive</v>
      </c>
      <c r="AL118" s="44">
        <v>17</v>
      </c>
      <c r="AM118" s="44" t="s">
        <v>37</v>
      </c>
      <c r="AN118" s="40" t="s">
        <v>38</v>
      </c>
    </row>
    <row r="119" spans="1:40" s="38" customFormat="1">
      <c r="A119" s="132">
        <v>218</v>
      </c>
      <c r="B119" s="134" t="s">
        <v>68</v>
      </c>
      <c r="C119" s="134" t="s">
        <v>363</v>
      </c>
      <c r="D119" s="35" t="s">
        <v>30</v>
      </c>
      <c r="E119" s="32" t="str">
        <f>VLOOKUP(D119,Hoja1!$B$17:$C$21,2,TRUE)</f>
        <v>C</v>
      </c>
      <c r="F119" s="35" t="s">
        <v>40</v>
      </c>
      <c r="G119" s="32">
        <f>VLOOKUP(F119,Hoja1!$A$9:$D$15,3,TRUE)</f>
        <v>80</v>
      </c>
      <c r="H119" s="32">
        <f>VLOOKUP(F119,Hoja1!$A$9:$D$15,4,TRUE)</f>
        <v>3500</v>
      </c>
      <c r="I119" s="35">
        <v>2019</v>
      </c>
      <c r="J119" s="134" t="s">
        <v>32</v>
      </c>
      <c r="K119" s="133" t="str">
        <f>VLOOKUP(J119,Hoja1!$A$2:$B$3,2,FALSE)</f>
        <v>G</v>
      </c>
      <c r="L119" s="134">
        <v>1598</v>
      </c>
      <c r="M119" s="133">
        <f t="shared" si="17"/>
        <v>1.5980000000000001</v>
      </c>
      <c r="N119" s="35" t="s">
        <v>33</v>
      </c>
      <c r="O119" s="35" t="s">
        <v>34</v>
      </c>
      <c r="P119" s="134" t="s">
        <v>74</v>
      </c>
      <c r="Q119" s="133" t="str">
        <f>VLOOKUP(P119,Hoja1!$A$6:$B$7,2,FALSE)</f>
        <v>A</v>
      </c>
      <c r="R119" s="138">
        <v>60</v>
      </c>
      <c r="S119" s="35">
        <v>161</v>
      </c>
      <c r="T119" s="111">
        <f t="shared" si="23"/>
        <v>9660</v>
      </c>
      <c r="U119" s="37">
        <f t="shared" si="18"/>
        <v>153.46979999999999</v>
      </c>
      <c r="V119" s="141">
        <f t="shared" si="19"/>
        <v>246.93290819999999</v>
      </c>
      <c r="W119" s="34">
        <f t="shared" si="12"/>
        <v>15.226839417266461</v>
      </c>
      <c r="X119" s="34">
        <f t="shared" si="20"/>
        <v>15.226839417266461</v>
      </c>
      <c r="Y119" s="143">
        <f t="shared" si="21"/>
        <v>35.783072630576186</v>
      </c>
      <c r="Z119" s="37">
        <f t="shared" si="22"/>
        <v>1.6767704836149468</v>
      </c>
      <c r="AA119" s="37"/>
      <c r="AB119" s="37"/>
      <c r="AC119" s="34">
        <f t="shared" si="13"/>
        <v>6.9396551724137936</v>
      </c>
      <c r="AD119" s="34">
        <f t="shared" si="14"/>
        <v>6.9396551724137936</v>
      </c>
      <c r="AE119" s="33">
        <f t="shared" si="15"/>
        <v>416.37931034482762</v>
      </c>
      <c r="AF119" s="33">
        <f t="shared" si="16"/>
        <v>8.6459627329192532</v>
      </c>
      <c r="AG119" s="122">
        <v>11.1</v>
      </c>
      <c r="AH119" s="35">
        <v>18.100000000000001</v>
      </c>
      <c r="AI119" s="43">
        <v>14.7</v>
      </c>
      <c r="AJ119" s="44" t="s">
        <v>368</v>
      </c>
      <c r="AK119" s="44" t="str">
        <f>VLOOKUP(F119,Hoja1!$A$9:$D$15,2,TRUE)</f>
        <v>Compact</v>
      </c>
      <c r="AL119" s="44">
        <v>2</v>
      </c>
      <c r="AM119" s="44" t="s">
        <v>318</v>
      </c>
      <c r="AN119" s="40" t="s">
        <v>277</v>
      </c>
    </row>
    <row r="120" spans="1:40" s="38" customFormat="1">
      <c r="A120" s="132">
        <v>219</v>
      </c>
      <c r="B120" s="134" t="s">
        <v>102</v>
      </c>
      <c r="C120" s="134" t="s">
        <v>111</v>
      </c>
      <c r="D120" s="35" t="s">
        <v>60</v>
      </c>
      <c r="E120" s="32" t="str">
        <f>VLOOKUP(D120,Hoja1!$B$17:$C$21,2,TRUE)</f>
        <v>T</v>
      </c>
      <c r="F120" s="35" t="s">
        <v>31</v>
      </c>
      <c r="G120" s="32">
        <f>VLOOKUP(F120,Hoja1!$A$9:$D$15,3,TRUE)</f>
        <v>90</v>
      </c>
      <c r="H120" s="32">
        <f>VLOOKUP(F120,Hoja1!$A$9:$D$15,4,TRUE)</f>
        <v>4250</v>
      </c>
      <c r="I120" s="35">
        <v>2019</v>
      </c>
      <c r="J120" s="134" t="s">
        <v>32</v>
      </c>
      <c r="K120" s="133" t="str">
        <f>VLOOKUP(J120,Hoja1!$A$2:$B$3,2,FALSE)</f>
        <v>G</v>
      </c>
      <c r="L120" s="134">
        <v>1987</v>
      </c>
      <c r="M120" s="133">
        <f t="shared" si="17"/>
        <v>1.9870000000000001</v>
      </c>
      <c r="N120" s="35" t="s">
        <v>33</v>
      </c>
      <c r="O120" s="35" t="s">
        <v>34</v>
      </c>
      <c r="P120" s="134" t="s">
        <v>74</v>
      </c>
      <c r="Q120" s="133" t="str">
        <f>VLOOKUP(P120,Hoja1!$A$6:$B$7,2,FALSE)</f>
        <v>A</v>
      </c>
      <c r="R120" s="138">
        <v>58</v>
      </c>
      <c r="S120" s="35">
        <v>174</v>
      </c>
      <c r="T120" s="111">
        <f t="shared" si="23"/>
        <v>10092</v>
      </c>
      <c r="U120" s="37">
        <f t="shared" si="18"/>
        <v>164.7252</v>
      </c>
      <c r="V120" s="141">
        <f t="shared" si="19"/>
        <v>265.04284680000001</v>
      </c>
      <c r="W120" s="34">
        <f t="shared" si="12"/>
        <v>14.186414707646433</v>
      </c>
      <c r="X120" s="34">
        <f t="shared" si="20"/>
        <v>14.186414707646433</v>
      </c>
      <c r="Y120" s="143">
        <f t="shared" si="21"/>
        <v>33.338074562969119</v>
      </c>
      <c r="Z120" s="37">
        <f t="shared" si="22"/>
        <v>1.7397525430105243</v>
      </c>
      <c r="AA120" s="37"/>
      <c r="AB120" s="37"/>
      <c r="AC120" s="34">
        <f t="shared" si="13"/>
        <v>7.5</v>
      </c>
      <c r="AD120" s="34">
        <f t="shared" si="14"/>
        <v>7.5</v>
      </c>
      <c r="AE120" s="33">
        <f t="shared" si="15"/>
        <v>435</v>
      </c>
      <c r="AF120" s="33">
        <f t="shared" si="16"/>
        <v>7.7333333333333334</v>
      </c>
      <c r="AG120" s="122">
        <v>10.9</v>
      </c>
      <c r="AH120" s="35">
        <v>16.100000000000001</v>
      </c>
      <c r="AI120" s="43">
        <v>13.7</v>
      </c>
      <c r="AJ120" s="44" t="s">
        <v>369</v>
      </c>
      <c r="AK120" s="44" t="str">
        <f>VLOOKUP(F120,Hoja1!$A$9:$D$15,2,TRUE)</f>
        <v>Midsize</v>
      </c>
      <c r="AL120" s="44">
        <v>7</v>
      </c>
      <c r="AM120" s="44" t="s">
        <v>37</v>
      </c>
      <c r="AN120" s="40" t="s">
        <v>38</v>
      </c>
    </row>
    <row r="121" spans="1:40" s="38" customFormat="1">
      <c r="A121" s="132">
        <v>220</v>
      </c>
      <c r="B121" s="134" t="s">
        <v>55</v>
      </c>
      <c r="C121" s="134" t="s">
        <v>319</v>
      </c>
      <c r="D121" s="35" t="s">
        <v>60</v>
      </c>
      <c r="E121" s="32" t="str">
        <f>VLOOKUP(D121,Hoja1!$B$17:$C$21,2,TRUE)</f>
        <v>T</v>
      </c>
      <c r="F121" s="35" t="s">
        <v>313</v>
      </c>
      <c r="G121" s="32">
        <f>VLOOKUP(F121,Hoja1!$A$9:$D$15,3,TRUE)</f>
        <v>90</v>
      </c>
      <c r="H121" s="32">
        <f>VLOOKUP(F121,Hoja1!$A$9:$D$15,4,TRUE)</f>
        <v>4250</v>
      </c>
      <c r="I121" s="35">
        <v>2019</v>
      </c>
      <c r="J121" s="134" t="s">
        <v>103</v>
      </c>
      <c r="K121" s="133" t="str">
        <f>VLOOKUP(J121,Hoja1!$A$2:$B$3,2,FALSE)</f>
        <v>D</v>
      </c>
      <c r="L121" s="134">
        <v>1995</v>
      </c>
      <c r="M121" s="133">
        <f t="shared" si="17"/>
        <v>1.9950000000000001</v>
      </c>
      <c r="N121" s="35" t="s">
        <v>33</v>
      </c>
      <c r="O121" s="35" t="s">
        <v>34</v>
      </c>
      <c r="P121" s="134" t="s">
        <v>74</v>
      </c>
      <c r="Q121" s="133" t="str">
        <f>VLOOKUP(P121,Hoja1!$A$6:$B$7,2,FALSE)</f>
        <v>A</v>
      </c>
      <c r="R121" s="138">
        <v>38</v>
      </c>
      <c r="S121" s="35">
        <v>156</v>
      </c>
      <c r="T121" s="111">
        <f t="shared" si="23"/>
        <v>5928</v>
      </c>
      <c r="U121" s="37">
        <f t="shared" si="18"/>
        <v>143.78280000000001</v>
      </c>
      <c r="V121" s="141">
        <f t="shared" si="19"/>
        <v>231.3465252</v>
      </c>
      <c r="W121" s="34">
        <f t="shared" si="12"/>
        <v>18.669826989041805</v>
      </c>
      <c r="X121" s="34">
        <f t="shared" si="20"/>
        <v>17.286876841705375</v>
      </c>
      <c r="Y121" s="143">
        <f t="shared" si="21"/>
        <v>40.624160578007633</v>
      </c>
      <c r="Z121" s="37">
        <f t="shared" si="22"/>
        <v>0.93540394335118271</v>
      </c>
      <c r="AA121" s="37"/>
      <c r="AB121" s="37"/>
      <c r="AC121" s="34">
        <f t="shared" si="13"/>
        <v>5.8243727598566304</v>
      </c>
      <c r="AD121" s="34">
        <f t="shared" si="14"/>
        <v>6.290322580645161</v>
      </c>
      <c r="AE121" s="33">
        <f t="shared" si="15"/>
        <v>239.03225806451613</v>
      </c>
      <c r="AF121" s="33">
        <f t="shared" si="16"/>
        <v>6.0410256410256409</v>
      </c>
      <c r="AG121" s="122">
        <v>13.9</v>
      </c>
      <c r="AH121" s="35">
        <v>18.899999999999999</v>
      </c>
      <c r="AI121" s="43">
        <v>16.7</v>
      </c>
      <c r="AJ121" s="44" t="s">
        <v>71</v>
      </c>
      <c r="AK121" s="44" t="str">
        <f>VLOOKUP(F121,Hoja1!$A$9:$D$15,2,TRUE)</f>
        <v>Midsize</v>
      </c>
      <c r="AL121" s="44">
        <v>15</v>
      </c>
      <c r="AM121" s="44" t="s">
        <v>37</v>
      </c>
      <c r="AN121" s="40" t="s">
        <v>38</v>
      </c>
    </row>
    <row r="122" spans="1:40" s="38" customFormat="1">
      <c r="A122" s="132">
        <v>221</v>
      </c>
      <c r="B122" s="134" t="s">
        <v>135</v>
      </c>
      <c r="C122" s="134" t="s">
        <v>266</v>
      </c>
      <c r="D122" s="35" t="s">
        <v>94</v>
      </c>
      <c r="E122" s="32" t="str">
        <f>VLOOKUP(D122,Hoja1!$B$17:$C$21,2,TRUE)</f>
        <v>T</v>
      </c>
      <c r="F122" s="35" t="s">
        <v>313</v>
      </c>
      <c r="G122" s="32">
        <f>VLOOKUP(F122,Hoja1!$A$9:$D$15,3,TRUE)</f>
        <v>90</v>
      </c>
      <c r="H122" s="32">
        <f>VLOOKUP(F122,Hoja1!$A$9:$D$15,4,TRUE)</f>
        <v>4250</v>
      </c>
      <c r="I122" s="35">
        <v>2019</v>
      </c>
      <c r="J122" s="134" t="s">
        <v>32</v>
      </c>
      <c r="K122" s="133" t="str">
        <f>VLOOKUP(J122,Hoja1!$A$2:$B$3,2,FALSE)</f>
        <v>G</v>
      </c>
      <c r="L122" s="134">
        <v>1586</v>
      </c>
      <c r="M122" s="133">
        <f t="shared" si="17"/>
        <v>1.5860000000000001</v>
      </c>
      <c r="N122" s="35" t="s">
        <v>33</v>
      </c>
      <c r="O122" s="35" t="s">
        <v>34</v>
      </c>
      <c r="P122" s="134" t="s">
        <v>35</v>
      </c>
      <c r="Q122" s="133" t="str">
        <f>VLOOKUP(P122,Hoja1!$A$6:$B$7,2,FALSE)</f>
        <v>M</v>
      </c>
      <c r="R122" s="138">
        <v>31</v>
      </c>
      <c r="S122" s="35">
        <v>218</v>
      </c>
      <c r="T122" s="111">
        <f t="shared" si="23"/>
        <v>6758</v>
      </c>
      <c r="U122" s="37">
        <f t="shared" si="18"/>
        <v>202.82040000000001</v>
      </c>
      <c r="V122" s="141">
        <f t="shared" si="19"/>
        <v>326.33802359999999</v>
      </c>
      <c r="W122" s="34">
        <f t="shared" si="12"/>
        <v>11.521819304172558</v>
      </c>
      <c r="X122" s="34">
        <f t="shared" si="20"/>
        <v>11.521819304172558</v>
      </c>
      <c r="Y122" s="143">
        <f t="shared" si="21"/>
        <v>27.076275364805511</v>
      </c>
      <c r="Z122" s="37">
        <f t="shared" si="22"/>
        <v>1.1449137513313465</v>
      </c>
      <c r="AA122" s="37"/>
      <c r="AB122" s="37"/>
      <c r="AC122" s="34">
        <f t="shared" si="13"/>
        <v>9.3965517241379306</v>
      </c>
      <c r="AD122" s="34">
        <f t="shared" si="14"/>
        <v>9.3965517241379306</v>
      </c>
      <c r="AE122" s="33">
        <f t="shared" si="15"/>
        <v>291.29310344827587</v>
      </c>
      <c r="AF122" s="33">
        <f t="shared" si="16"/>
        <v>3.2990825688073397</v>
      </c>
      <c r="AG122" s="122">
        <v>8.9</v>
      </c>
      <c r="AH122" s="35">
        <v>12.6</v>
      </c>
      <c r="AI122" s="43">
        <v>10.9</v>
      </c>
      <c r="AJ122" s="44" t="s">
        <v>136</v>
      </c>
      <c r="AK122" s="44" t="str">
        <f>VLOOKUP(F122,Hoja1!$A$9:$D$15,2,TRUE)</f>
        <v>Midsize</v>
      </c>
      <c r="AL122" s="44">
        <v>7</v>
      </c>
      <c r="AM122" s="44" t="s">
        <v>37</v>
      </c>
      <c r="AN122" s="40" t="s">
        <v>38</v>
      </c>
    </row>
    <row r="123" spans="1:40" s="38" customFormat="1">
      <c r="A123" s="132">
        <v>222</v>
      </c>
      <c r="B123" s="134" t="s">
        <v>102</v>
      </c>
      <c r="C123" s="134" t="s">
        <v>111</v>
      </c>
      <c r="D123" s="35" t="s">
        <v>94</v>
      </c>
      <c r="E123" s="32" t="str">
        <f>VLOOKUP(D123,Hoja1!$B$17:$C$21,2,TRUE)</f>
        <v>T</v>
      </c>
      <c r="F123" s="35" t="s">
        <v>31</v>
      </c>
      <c r="G123" s="32">
        <f>VLOOKUP(F123,Hoja1!$A$9:$D$15,3,TRUE)</f>
        <v>90</v>
      </c>
      <c r="H123" s="32">
        <f>VLOOKUP(F123,Hoja1!$A$9:$D$15,4,TRUE)</f>
        <v>4250</v>
      </c>
      <c r="I123" s="35">
        <v>2019</v>
      </c>
      <c r="J123" s="134" t="s">
        <v>32</v>
      </c>
      <c r="K123" s="133" t="str">
        <f>VLOOKUP(J123,Hoja1!$A$2:$B$3,2,FALSE)</f>
        <v>G</v>
      </c>
      <c r="L123" s="134">
        <v>2494</v>
      </c>
      <c r="M123" s="133">
        <f t="shared" si="17"/>
        <v>2.4940000000000002</v>
      </c>
      <c r="N123" s="35" t="s">
        <v>33</v>
      </c>
      <c r="O123" s="35" t="s">
        <v>34</v>
      </c>
      <c r="P123" s="134" t="s">
        <v>35</v>
      </c>
      <c r="Q123" s="133" t="str">
        <f>VLOOKUP(P123,Hoja1!$A$6:$B$7,2,FALSE)</f>
        <v>M</v>
      </c>
      <c r="R123" s="138">
        <v>28</v>
      </c>
      <c r="S123" s="35">
        <v>195</v>
      </c>
      <c r="T123" s="111">
        <f t="shared" si="23"/>
        <v>5460</v>
      </c>
      <c r="U123" s="37">
        <f t="shared" si="18"/>
        <v>182.90699999999998</v>
      </c>
      <c r="V123" s="141">
        <f t="shared" si="19"/>
        <v>294.29736299999996</v>
      </c>
      <c r="W123" s="34">
        <f t="shared" si="12"/>
        <v>12.776219608872271</v>
      </c>
      <c r="X123" s="34">
        <f t="shared" si="20"/>
        <v>12.776219608872271</v>
      </c>
      <c r="Y123" s="143">
        <f t="shared" si="21"/>
        <v>30.024116080849836</v>
      </c>
      <c r="Z123" s="37">
        <f t="shared" si="22"/>
        <v>0.93258365790355868</v>
      </c>
      <c r="AA123" s="37"/>
      <c r="AB123" s="37"/>
      <c r="AC123" s="34">
        <f t="shared" si="13"/>
        <v>8.4051724137931032</v>
      </c>
      <c r="AD123" s="34">
        <f t="shared" si="14"/>
        <v>8.4051724137931032</v>
      </c>
      <c r="AE123" s="33">
        <f t="shared" si="15"/>
        <v>235.34482758620689</v>
      </c>
      <c r="AF123" s="33">
        <f t="shared" si="16"/>
        <v>3.3312820512820513</v>
      </c>
      <c r="AG123" s="122">
        <v>9.1</v>
      </c>
      <c r="AH123" s="35">
        <v>15.3</v>
      </c>
      <c r="AI123" s="43">
        <v>12.2</v>
      </c>
      <c r="AJ123" s="44" t="s">
        <v>211</v>
      </c>
      <c r="AK123" s="44" t="str">
        <f>VLOOKUP(F123,Hoja1!$A$9:$D$15,2,TRUE)</f>
        <v>Midsize</v>
      </c>
      <c r="AL123" s="44">
        <v>7</v>
      </c>
      <c r="AM123" s="44" t="s">
        <v>37</v>
      </c>
      <c r="AN123" s="40" t="s">
        <v>38</v>
      </c>
    </row>
    <row r="124" spans="1:40" s="38" customFormat="1">
      <c r="A124" s="132">
        <v>223</v>
      </c>
      <c r="B124" s="134" t="s">
        <v>135</v>
      </c>
      <c r="C124" s="134" t="s">
        <v>316</v>
      </c>
      <c r="D124" s="35" t="s">
        <v>94</v>
      </c>
      <c r="E124" s="32" t="str">
        <f>VLOOKUP(D124,Hoja1!$B$17:$C$21,2,TRUE)</f>
        <v>T</v>
      </c>
      <c r="F124" s="35" t="s">
        <v>313</v>
      </c>
      <c r="G124" s="32">
        <f>VLOOKUP(F124,Hoja1!$A$9:$D$15,3,TRUE)</f>
        <v>90</v>
      </c>
      <c r="H124" s="32">
        <f>VLOOKUP(F124,Hoja1!$A$9:$D$15,4,TRUE)</f>
        <v>4250</v>
      </c>
      <c r="I124" s="35">
        <v>2019</v>
      </c>
      <c r="J124" s="134" t="s">
        <v>32</v>
      </c>
      <c r="K124" s="133" t="str">
        <f>VLOOKUP(J124,Hoja1!$A$2:$B$3,2,FALSE)</f>
        <v>G</v>
      </c>
      <c r="L124" s="134">
        <v>1373</v>
      </c>
      <c r="M124" s="133">
        <f t="shared" si="17"/>
        <v>1.373</v>
      </c>
      <c r="N124" s="35" t="s">
        <v>33</v>
      </c>
      <c r="O124" s="35" t="s">
        <v>34</v>
      </c>
      <c r="P124" s="134" t="s">
        <v>35</v>
      </c>
      <c r="Q124" s="133" t="str">
        <f>VLOOKUP(P124,Hoja1!$A$6:$B$7,2,FALSE)</f>
        <v>M</v>
      </c>
      <c r="R124" s="138">
        <v>27</v>
      </c>
      <c r="S124" s="35">
        <v>147</v>
      </c>
      <c r="T124" s="111">
        <f t="shared" si="23"/>
        <v>3969</v>
      </c>
      <c r="U124" s="37">
        <f t="shared" si="18"/>
        <v>141.3486</v>
      </c>
      <c r="V124" s="141">
        <f t="shared" si="19"/>
        <v>227.42989740000002</v>
      </c>
      <c r="W124" s="34">
        <f t="shared" si="12"/>
        <v>16.532600959613326</v>
      </c>
      <c r="X124" s="34">
        <f t="shared" si="20"/>
        <v>16.532600959613326</v>
      </c>
      <c r="Y124" s="143">
        <f t="shared" si="21"/>
        <v>38.851612255091318</v>
      </c>
      <c r="Z124" s="37">
        <f t="shared" si="22"/>
        <v>0.69495185483484745</v>
      </c>
      <c r="AA124" s="37"/>
      <c r="AB124" s="37"/>
      <c r="AC124" s="34">
        <f t="shared" si="13"/>
        <v>6.3362068965517242</v>
      </c>
      <c r="AD124" s="34">
        <f t="shared" si="14"/>
        <v>6.3362068965517242</v>
      </c>
      <c r="AE124" s="33">
        <f t="shared" si="15"/>
        <v>171.07758620689654</v>
      </c>
      <c r="AF124" s="33">
        <f t="shared" si="16"/>
        <v>4.2612244897959179</v>
      </c>
      <c r="AG124" s="122">
        <v>13.4</v>
      </c>
      <c r="AH124" s="35">
        <v>18.399999999999999</v>
      </c>
      <c r="AI124" s="43">
        <v>16.2</v>
      </c>
      <c r="AJ124" s="44" t="s">
        <v>370</v>
      </c>
      <c r="AK124" s="44" t="str">
        <f>VLOOKUP(F124,Hoja1!$A$9:$D$15,2,TRUE)</f>
        <v>Midsize</v>
      </c>
      <c r="AL124" s="44">
        <v>7</v>
      </c>
      <c r="AM124" s="44" t="s">
        <v>318</v>
      </c>
      <c r="AN124" s="40" t="s">
        <v>38</v>
      </c>
    </row>
    <row r="125" spans="1:40" s="38" customFormat="1">
      <c r="A125" s="132">
        <v>224</v>
      </c>
      <c r="B125" s="134" t="s">
        <v>151</v>
      </c>
      <c r="C125" s="134" t="s">
        <v>177</v>
      </c>
      <c r="D125" s="35" t="s">
        <v>30</v>
      </c>
      <c r="E125" s="32" t="str">
        <f>VLOOKUP(D125,Hoja1!$B$17:$C$21,2,TRUE)</f>
        <v>C</v>
      </c>
      <c r="F125" s="35" t="s">
        <v>313</v>
      </c>
      <c r="G125" s="32">
        <f>VLOOKUP(F125,Hoja1!$A$9:$D$15,3,TRUE)</f>
        <v>90</v>
      </c>
      <c r="H125" s="32">
        <f>VLOOKUP(F125,Hoja1!$A$9:$D$15,4,TRUE)</f>
        <v>4250</v>
      </c>
      <c r="I125" s="35">
        <v>2019</v>
      </c>
      <c r="J125" s="134" t="s">
        <v>32</v>
      </c>
      <c r="K125" s="133" t="str">
        <f>VLOOKUP(J125,Hoja1!$A$2:$B$3,2,FALSE)</f>
        <v>G</v>
      </c>
      <c r="L125" s="134">
        <v>1591</v>
      </c>
      <c r="M125" s="133">
        <f t="shared" si="17"/>
        <v>1.591</v>
      </c>
      <c r="N125" s="35" t="s">
        <v>33</v>
      </c>
      <c r="O125" s="35" t="s">
        <v>34</v>
      </c>
      <c r="P125" s="134" t="s">
        <v>74</v>
      </c>
      <c r="Q125" s="133" t="str">
        <f>VLOOKUP(P125,Hoja1!$A$6:$B$7,2,FALSE)</f>
        <v>A</v>
      </c>
      <c r="R125" s="138">
        <v>25</v>
      </c>
      <c r="S125" s="35">
        <v>160</v>
      </c>
      <c r="T125" s="111">
        <f t="shared" si="23"/>
        <v>4000</v>
      </c>
      <c r="U125" s="37">
        <f t="shared" si="18"/>
        <v>152.60399999999998</v>
      </c>
      <c r="V125" s="141">
        <f t="shared" si="19"/>
        <v>245.53983599999998</v>
      </c>
      <c r="W125" s="34">
        <f t="shared" si="12"/>
        <v>15.3132290110351</v>
      </c>
      <c r="X125" s="34">
        <f t="shared" si="20"/>
        <v>15.3132290110351</v>
      </c>
      <c r="Y125" s="143">
        <f t="shared" si="21"/>
        <v>35.986088175932487</v>
      </c>
      <c r="Z125" s="37">
        <f t="shared" si="22"/>
        <v>0.69471290899353744</v>
      </c>
      <c r="AA125" s="37"/>
      <c r="AB125" s="37"/>
      <c r="AC125" s="34">
        <f t="shared" si="13"/>
        <v>6.8965517241379315</v>
      </c>
      <c r="AD125" s="34">
        <f t="shared" si="14"/>
        <v>6.8965517241379315</v>
      </c>
      <c r="AE125" s="33">
        <f t="shared" si="15"/>
        <v>172.41379310344828</v>
      </c>
      <c r="AF125" s="33">
        <f t="shared" si="16"/>
        <v>3.6249999999999996</v>
      </c>
      <c r="AG125" s="122">
        <v>11</v>
      </c>
      <c r="AH125" s="35">
        <v>18.600000000000001</v>
      </c>
      <c r="AI125" s="43">
        <v>14.9</v>
      </c>
      <c r="AJ125" s="44" t="s">
        <v>371</v>
      </c>
      <c r="AK125" s="44" t="str">
        <f>VLOOKUP(F125,Hoja1!$A$9:$D$15,2,TRUE)</f>
        <v>Midsize</v>
      </c>
      <c r="AL125" s="44">
        <v>3</v>
      </c>
      <c r="AM125" s="44" t="s">
        <v>318</v>
      </c>
      <c r="AN125" s="40" t="s">
        <v>331</v>
      </c>
    </row>
    <row r="126" spans="1:40" s="38" customFormat="1">
      <c r="A126" s="132">
        <v>225</v>
      </c>
      <c r="B126" s="134" t="s">
        <v>102</v>
      </c>
      <c r="C126" s="134" t="s">
        <v>174</v>
      </c>
      <c r="D126" s="35" t="s">
        <v>60</v>
      </c>
      <c r="E126" s="32" t="str">
        <f>VLOOKUP(D126,Hoja1!$B$17:$C$21,2,TRUE)</f>
        <v>T</v>
      </c>
      <c r="F126" s="35" t="s">
        <v>175</v>
      </c>
      <c r="G126" s="32">
        <f>VLOOKUP(F126,Hoja1!$A$9:$D$15,3,TRUE)</f>
        <v>110</v>
      </c>
      <c r="H126" s="32">
        <f>VLOOKUP(F126,Hoja1!$A$9:$D$15,4,TRUE)</f>
        <v>5751</v>
      </c>
      <c r="I126" s="35">
        <v>2019</v>
      </c>
      <c r="J126" s="134" t="s">
        <v>103</v>
      </c>
      <c r="K126" s="133" t="str">
        <f>VLOOKUP(J126,Hoja1!$A$2:$B$3,2,FALSE)</f>
        <v>D</v>
      </c>
      <c r="L126" s="134">
        <v>2755</v>
      </c>
      <c r="M126" s="133">
        <f t="shared" si="17"/>
        <v>2.7549999999999999</v>
      </c>
      <c r="N126" s="35" t="s">
        <v>33</v>
      </c>
      <c r="O126" s="35" t="s">
        <v>34</v>
      </c>
      <c r="P126" s="134" t="s">
        <v>74</v>
      </c>
      <c r="Q126" s="133" t="str">
        <f>VLOOKUP(P126,Hoja1!$A$6:$B$7,2,FALSE)</f>
        <v>A</v>
      </c>
      <c r="R126" s="138">
        <v>14</v>
      </c>
      <c r="S126" s="35">
        <v>226</v>
      </c>
      <c r="T126" s="111">
        <f t="shared" si="23"/>
        <v>3164</v>
      </c>
      <c r="U126" s="37">
        <f t="shared" si="18"/>
        <v>197.56379999999999</v>
      </c>
      <c r="V126" s="141">
        <f t="shared" si="19"/>
        <v>317.88015419999999</v>
      </c>
      <c r="W126" s="34">
        <f t="shared" si="12"/>
        <v>13.587509452642641</v>
      </c>
      <c r="X126" s="34">
        <f t="shared" si="20"/>
        <v>12.581027270965407</v>
      </c>
      <c r="Y126" s="143">
        <f t="shared" si="21"/>
        <v>29.565414086768708</v>
      </c>
      <c r="Z126" s="37">
        <f t="shared" si="22"/>
        <v>0.4735262614253512</v>
      </c>
      <c r="AA126" s="37"/>
      <c r="AB126" s="37"/>
      <c r="AC126" s="34">
        <f t="shared" si="13"/>
        <v>8.4378733572281952</v>
      </c>
      <c r="AD126" s="34">
        <f t="shared" si="14"/>
        <v>9.112903225806452</v>
      </c>
      <c r="AE126" s="33">
        <f t="shared" si="15"/>
        <v>127.58064516129033</v>
      </c>
      <c r="AF126" s="33">
        <f t="shared" si="16"/>
        <v>1.536283185840708</v>
      </c>
      <c r="AG126" s="122">
        <v>9.1</v>
      </c>
      <c r="AH126" s="35">
        <v>14.1</v>
      </c>
      <c r="AI126" s="43">
        <v>11.7</v>
      </c>
      <c r="AJ126" s="44" t="s">
        <v>372</v>
      </c>
      <c r="AK126" s="44" t="str">
        <f>VLOOKUP(F126,Hoja1!$A$9:$D$15,2,TRUE)</f>
        <v>Executive</v>
      </c>
      <c r="AL126" s="44">
        <v>17</v>
      </c>
      <c r="AM126" s="44" t="s">
        <v>37</v>
      </c>
      <c r="AN126" s="40" t="s">
        <v>38</v>
      </c>
    </row>
    <row r="127" spans="1:40" s="38" customFormat="1">
      <c r="A127" s="132">
        <v>226</v>
      </c>
      <c r="B127" s="136" t="s">
        <v>102</v>
      </c>
      <c r="C127" s="136" t="s">
        <v>111</v>
      </c>
      <c r="D127" s="46" t="s">
        <v>60</v>
      </c>
      <c r="E127" s="32" t="str">
        <f>VLOOKUP(D127,Hoja1!$B$17:$C$21,2,TRUE)</f>
        <v>T</v>
      </c>
      <c r="F127" s="46" t="s">
        <v>31</v>
      </c>
      <c r="G127" s="32">
        <f>VLOOKUP(F127,Hoja1!$A$9:$D$15,3,TRUE)</f>
        <v>90</v>
      </c>
      <c r="H127" s="32">
        <f>VLOOKUP(F127,Hoja1!$A$9:$D$15,4,TRUE)</f>
        <v>4250</v>
      </c>
      <c r="I127" s="46">
        <v>2019</v>
      </c>
      <c r="J127" s="136" t="s">
        <v>32</v>
      </c>
      <c r="K127" s="133" t="str">
        <f>VLOOKUP(J127,Hoja1!$A$2:$B$3,2,FALSE)</f>
        <v>G</v>
      </c>
      <c r="L127" s="136">
        <v>2494</v>
      </c>
      <c r="M127" s="133">
        <f t="shared" si="17"/>
        <v>2.4940000000000002</v>
      </c>
      <c r="N127" s="46" t="s">
        <v>33</v>
      </c>
      <c r="O127" s="46" t="s">
        <v>34</v>
      </c>
      <c r="P127" s="136" t="s">
        <v>74</v>
      </c>
      <c r="Q127" s="133" t="str">
        <f>VLOOKUP(P127,Hoja1!$A$6:$B$7,2,FALSE)</f>
        <v>A</v>
      </c>
      <c r="R127" s="140">
        <v>7</v>
      </c>
      <c r="S127" s="46">
        <v>176</v>
      </c>
      <c r="T127" s="117">
        <f t="shared" si="23"/>
        <v>1232</v>
      </c>
      <c r="U127" s="48">
        <f t="shared" si="18"/>
        <v>166.45679999999999</v>
      </c>
      <c r="V127" s="141">
        <f t="shared" si="19"/>
        <v>267.82899119999996</v>
      </c>
      <c r="W127" s="49">
        <f t="shared" si="12"/>
        <v>14.03883770443743</v>
      </c>
      <c r="X127" s="49">
        <f t="shared" si="20"/>
        <v>14.03883770443743</v>
      </c>
      <c r="Y127" s="144">
        <f t="shared" si="21"/>
        <v>32.991268605427962</v>
      </c>
      <c r="Z127" s="48">
        <f t="shared" si="22"/>
        <v>0.21217735164171012</v>
      </c>
      <c r="AA127" s="48"/>
      <c r="AB127" s="48"/>
      <c r="AC127" s="49">
        <f t="shared" si="13"/>
        <v>7.5862068965517242</v>
      </c>
      <c r="AD127" s="49">
        <f t="shared" si="14"/>
        <v>7.5862068965517242</v>
      </c>
      <c r="AE127" s="33">
        <f t="shared" si="15"/>
        <v>53.103448275862071</v>
      </c>
      <c r="AF127" s="33">
        <f t="shared" si="16"/>
        <v>0.92272727272727273</v>
      </c>
      <c r="AG127" s="126">
        <v>10.5</v>
      </c>
      <c r="AH127" s="46">
        <v>16.2</v>
      </c>
      <c r="AI127" s="50">
        <v>13.5</v>
      </c>
      <c r="AJ127" s="52" t="s">
        <v>373</v>
      </c>
      <c r="AK127" s="44" t="str">
        <f>VLOOKUP(F127,Hoja1!$A$9:$D$15,2,TRUE)</f>
        <v>Midsize</v>
      </c>
      <c r="AL127" s="52">
        <v>7</v>
      </c>
      <c r="AM127" s="52" t="s">
        <v>37</v>
      </c>
      <c r="AN127" s="118" t="s">
        <v>38</v>
      </c>
    </row>
    <row r="128" spans="1:40" s="12" customFormat="1" ht="105">
      <c r="R128" s="19"/>
      <c r="T128" s="14"/>
      <c r="AD128" s="13"/>
      <c r="AE128" s="21" t="s">
        <v>226</v>
      </c>
      <c r="AF128" s="21" t="e">
        <f>#REF!/SUM(AF2:AF127)</f>
        <v>#REF!</v>
      </c>
    </row>
    <row r="129" spans="36:38">
      <c r="AJ129" s="10"/>
      <c r="AK129" s="10"/>
      <c r="AL129" s="10"/>
    </row>
  </sheetData>
  <autoFilter ref="B1:AN128" xr:uid="{CFC2BFA9-E322-4EBF-B184-714AEB7EB589}">
    <filterColumn colId="31" showButton="0"/>
    <filterColumn colId="32" showButton="0"/>
  </autoFilter>
  <mergeCells count="1">
    <mergeCell ref="AG1:AI1"/>
  </mergeCells>
  <hyperlinks>
    <hyperlink ref="AM114" r:id="rId1" location="/" xr:uid="{847D22C8-35BF-40E4-AE18-B542BE09C711}"/>
    <hyperlink ref="AM108" r:id="rId2" location="/" xr:uid="{82705369-41BF-4ADD-80F5-0C008329B49A}"/>
    <hyperlink ref="AM105" r:id="rId3" location="/" xr:uid="{49B699BA-7E42-433F-8784-F19114A1207D}"/>
    <hyperlink ref="AM99" r:id="rId4" location="/" xr:uid="{7D7DCAB1-A3DB-4032-BC4C-E8D1E7A09EAF}"/>
    <hyperlink ref="AM94" r:id="rId5" location="/" xr:uid="{F1FF6FF3-3717-4F30-B213-FF929FD5F362}"/>
    <hyperlink ref="AM87" r:id="rId6" location="/" xr:uid="{28CE0C0A-FC84-455C-8BA3-8BB16556DABC}"/>
    <hyperlink ref="AM90" r:id="rId7" location="/" xr:uid="{3BD41805-7B32-4487-91E8-AA4E69E3286E}"/>
    <hyperlink ref="AM81" r:id="rId8" location="/" xr:uid="{CF3A5B1A-51E3-4C8C-A706-C84E0454BCA1}"/>
    <hyperlink ref="AM80" r:id="rId9" location="/" xr:uid="{CB8A22D9-1776-4A51-85F3-BBEA3516941C}"/>
    <hyperlink ref="AM75" r:id="rId10" location="/" xr:uid="{F2DDA37C-D676-4E59-84AC-93DE126CB79A}"/>
    <hyperlink ref="AM74" r:id="rId11" location="/" xr:uid="{BB0C0E1B-6C67-42B2-9F1C-0510BA1B232D}"/>
    <hyperlink ref="AM66" r:id="rId12" location="/" xr:uid="{30F7167C-A8CD-41F9-B371-0850D90A81E1}"/>
    <hyperlink ref="AM65" r:id="rId13" location="/" xr:uid="{0F7FD9CF-81F8-42A2-AF19-F5961D8ECE77}"/>
    <hyperlink ref="AM45" r:id="rId14" location="/" xr:uid="{E2FFA8CF-3145-4BC6-956F-6BA867762939}"/>
    <hyperlink ref="AM39" r:id="rId15" location="/" xr:uid="{115D4C97-2B35-49B6-A8ED-AA71DAB601F4}"/>
    <hyperlink ref="AM47" r:id="rId16" xr:uid="{21DFFF33-78B2-492E-812C-1D9A72B4B4F0}"/>
  </hyperlinks>
  <pageMargins left="0.7" right="0.7" top="0.75" bottom="0.75" header="0.3" footer="0.3"/>
  <pageSetup orientation="portrait" horizontalDpi="300" verticalDpi="300" r:id="rId17"/>
  <drawing r:id="rId18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CF8A-81C6-4056-B460-2CBBCE859281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5C50-3BE9-4F08-A26B-AA8D461DD6AE}">
  <dimension ref="A1:AJ109"/>
  <sheetViews>
    <sheetView zoomScaleNormal="100" workbookViewId="0">
      <pane ySplit="1" topLeftCell="A92" activePane="bottomLeft" state="frozen"/>
      <selection pane="bottomLeft" activeCell="B2" sqref="B2"/>
    </sheetView>
  </sheetViews>
  <sheetFormatPr baseColWidth="10" defaultColWidth="11.42578125" defaultRowHeight="15"/>
  <cols>
    <col min="1" max="1" width="14.7109375" style="10" bestFit="1" customWidth="1"/>
    <col min="2" max="2" width="23.28515625" style="10" customWidth="1"/>
    <col min="3" max="3" width="14.42578125" style="10" bestFit="1" customWidth="1"/>
    <col min="4" max="4" width="12.7109375" style="10" customWidth="1"/>
    <col min="5" max="5" width="10" style="10" customWidth="1"/>
    <col min="6" max="6" width="14.7109375" style="10" customWidth="1"/>
    <col min="7" max="7" width="14.140625" style="10" bestFit="1" customWidth="1"/>
    <col min="8" max="8" width="11.28515625" style="10" bestFit="1" customWidth="1"/>
    <col min="9" max="9" width="14" style="10" bestFit="1" customWidth="1"/>
    <col min="10" max="10" width="15.7109375" style="10" bestFit="1" customWidth="1"/>
    <col min="11" max="11" width="13" style="10" bestFit="1" customWidth="1"/>
    <col min="12" max="12" width="22.28515625" style="10" bestFit="1" customWidth="1"/>
    <col min="13" max="13" width="24.7109375" style="9" customWidth="1"/>
    <col min="14" max="14" width="24.7109375" style="10" customWidth="1"/>
    <col min="15" max="15" width="17.28515625" style="10" customWidth="1"/>
    <col min="16" max="17" width="16.42578125" style="10" customWidth="1"/>
    <col min="18" max="18" width="15.42578125" style="10" bestFit="1" customWidth="1"/>
    <col min="19" max="20" width="11.5703125" style="10" customWidth="1"/>
    <col min="21" max="21" width="23.7109375" style="10" bestFit="1" customWidth="1"/>
    <col min="22" max="24" width="16.28515625" style="10" bestFit="1" customWidth="1"/>
    <col min="25" max="27" width="11.5703125" style="10" customWidth="1"/>
    <col min="28" max="28" width="75.28515625" style="10" bestFit="1" customWidth="1"/>
    <col min="29" max="29" width="149.85546875" style="10" bestFit="1" customWidth="1"/>
    <col min="30" max="30" width="11.42578125" style="10"/>
  </cols>
  <sheetData>
    <row r="1" spans="1:33" s="8" customFormat="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 t="s">
        <v>21</v>
      </c>
      <c r="W1" s="1" t="s">
        <v>22</v>
      </c>
      <c r="X1" s="1" t="s">
        <v>23</v>
      </c>
      <c r="Y1" s="129" t="s">
        <v>24</v>
      </c>
      <c r="Z1" s="129"/>
      <c r="AA1" s="129"/>
      <c r="AB1" s="30" t="s">
        <v>25</v>
      </c>
      <c r="AC1" s="1" t="s">
        <v>26</v>
      </c>
      <c r="AD1" s="1" t="s">
        <v>27</v>
      </c>
    </row>
    <row r="2" spans="1:33" s="58" customFormat="1">
      <c r="A2" s="51" t="s">
        <v>43</v>
      </c>
      <c r="B2" s="51" t="s">
        <v>44</v>
      </c>
      <c r="C2" s="51" t="s">
        <v>30</v>
      </c>
      <c r="D2" s="51" t="s">
        <v>31</v>
      </c>
      <c r="E2" s="51">
        <v>2018</v>
      </c>
      <c r="F2" s="51" t="s">
        <v>32</v>
      </c>
      <c r="G2" s="51">
        <v>1598</v>
      </c>
      <c r="H2" s="51" t="s">
        <v>41</v>
      </c>
      <c r="I2" s="51" t="s">
        <v>34</v>
      </c>
      <c r="J2" s="51" t="s">
        <v>35</v>
      </c>
      <c r="K2" s="53">
        <v>11495</v>
      </c>
      <c r="L2" s="54">
        <f>1.1325*N2-13.739</f>
        <v>156.98224756335284</v>
      </c>
      <c r="M2" s="54">
        <f>L2*K2</f>
        <v>1804510.935740741</v>
      </c>
      <c r="N2" s="54">
        <f>(23.2*100*2.35)/Q2</f>
        <v>150.74723846653671</v>
      </c>
      <c r="O2" s="34">
        <f t="shared" ref="O2:O65" si="0">IF(F2="GASOLINA",2336.86/N2,2684.4/N2)</f>
        <v>15.501842844827587</v>
      </c>
      <c r="P2" s="34">
        <f>AA2</f>
        <v>15.39</v>
      </c>
      <c r="Q2" s="55">
        <f>P2*2.35</f>
        <v>36.166499999999999</v>
      </c>
      <c r="R2" s="54">
        <f>K2/Q2</f>
        <v>317.83556606251642</v>
      </c>
      <c r="S2" s="54">
        <f>N2</f>
        <v>150.74723846653671</v>
      </c>
      <c r="T2" s="54">
        <f>L2</f>
        <v>156.98224756335284</v>
      </c>
      <c r="U2" s="34">
        <f t="shared" ref="U2:U65" si="1">IF(F2="GASOLINA",(L2/23.2),(L2/(1.08*24.8)))</f>
        <v>6.7664761880755542</v>
      </c>
      <c r="V2" s="34">
        <f t="shared" ref="V2:V65" si="2">IF(F2="GASOLINA",U2,U2*1.08)</f>
        <v>6.7664761880755542</v>
      </c>
      <c r="W2" s="54">
        <f t="shared" ref="W2:W65" si="3">V2*K2</f>
        <v>77780.643781928491</v>
      </c>
      <c r="X2" s="56">
        <f t="shared" ref="X2:X65" si="4">K2/V2</f>
        <v>1698.8162938129367</v>
      </c>
      <c r="Y2" s="51">
        <v>13.2</v>
      </c>
      <c r="Z2" s="51">
        <v>19.3</v>
      </c>
      <c r="AA2" s="57">
        <v>15.39</v>
      </c>
      <c r="AB2" s="51" t="s">
        <v>45</v>
      </c>
      <c r="AC2" s="51" t="s">
        <v>46</v>
      </c>
      <c r="AD2" s="51"/>
    </row>
    <row r="3" spans="1:33" s="61" customFormat="1">
      <c r="A3" s="44" t="s">
        <v>28</v>
      </c>
      <c r="B3" s="44" t="s">
        <v>29</v>
      </c>
      <c r="C3" s="44" t="s">
        <v>30</v>
      </c>
      <c r="D3" s="44" t="s">
        <v>31</v>
      </c>
      <c r="E3" s="44">
        <v>2018</v>
      </c>
      <c r="F3" s="44" t="s">
        <v>32</v>
      </c>
      <c r="G3" s="44">
        <v>1399</v>
      </c>
      <c r="H3" s="44" t="s">
        <v>41</v>
      </c>
      <c r="I3" s="44" t="s">
        <v>34</v>
      </c>
      <c r="J3" s="44" t="s">
        <v>35</v>
      </c>
      <c r="K3" s="59">
        <v>10633</v>
      </c>
      <c r="L3" s="44">
        <v>149</v>
      </c>
      <c r="M3" s="36">
        <f t="shared" ref="M3:M66" si="5">L3*K3</f>
        <v>1584317</v>
      </c>
      <c r="N3" s="37">
        <f t="shared" ref="N3:N66" si="6">IF(F3="GASOLINA",L3*0.8658+14.076,L3*0.7683+23.928)</f>
        <v>143.08019999999999</v>
      </c>
      <c r="O3" s="34">
        <f t="shared" si="0"/>
        <v>16.332518405761245</v>
      </c>
      <c r="P3" s="34">
        <f t="shared" ref="P3:P66" si="7">IF(F3="GASOLINA",O3,O3/1.08)</f>
        <v>16.332518405761245</v>
      </c>
      <c r="Q3" s="34">
        <f t="shared" ref="Q3:Q66" si="8">P3*2.35</f>
        <v>38.381418253538925</v>
      </c>
      <c r="R3" s="37">
        <f t="shared" ref="R3:R66" si="9">K3/Q3</f>
        <v>277.03509885332579</v>
      </c>
      <c r="S3" s="44"/>
      <c r="T3" s="44"/>
      <c r="U3" s="34">
        <f t="shared" si="1"/>
        <v>6.4224137931034484</v>
      </c>
      <c r="V3" s="34">
        <f t="shared" si="2"/>
        <v>6.4224137931034484</v>
      </c>
      <c r="W3" s="54">
        <f t="shared" si="3"/>
        <v>68289.525862068971</v>
      </c>
      <c r="X3" s="56">
        <f t="shared" si="4"/>
        <v>1655.6080536912752</v>
      </c>
      <c r="Y3" s="44">
        <v>12</v>
      </c>
      <c r="Z3" s="44">
        <v>19.399999999999999</v>
      </c>
      <c r="AA3" s="60">
        <v>15.8</v>
      </c>
      <c r="AB3" s="44" t="s">
        <v>36</v>
      </c>
      <c r="AC3" s="44" t="s">
        <v>37</v>
      </c>
      <c r="AD3" s="44" t="s">
        <v>38</v>
      </c>
    </row>
    <row r="4" spans="1:33" s="61" customFormat="1">
      <c r="A4" s="44" t="s">
        <v>43</v>
      </c>
      <c r="B4" s="44" t="s">
        <v>44</v>
      </c>
      <c r="C4" s="44" t="s">
        <v>30</v>
      </c>
      <c r="D4" s="44" t="s">
        <v>31</v>
      </c>
      <c r="E4" s="44">
        <v>2018</v>
      </c>
      <c r="F4" s="44" t="s">
        <v>32</v>
      </c>
      <c r="G4" s="44">
        <v>1598</v>
      </c>
      <c r="H4" s="44" t="s">
        <v>41</v>
      </c>
      <c r="I4" s="44" t="s">
        <v>34</v>
      </c>
      <c r="J4" s="44" t="s">
        <v>35</v>
      </c>
      <c r="K4" s="59">
        <v>10174</v>
      </c>
      <c r="L4" s="54">
        <f>1.1325*N4-13.739</f>
        <v>151.71440050377834</v>
      </c>
      <c r="M4" s="54">
        <f>L4*K4</f>
        <v>1543542.3107254407</v>
      </c>
      <c r="N4" s="54">
        <f>(23.2*100*2.35)/Q4</f>
        <v>146.09571788413098</v>
      </c>
      <c r="O4" s="34">
        <f t="shared" si="0"/>
        <v>15.995403793103449</v>
      </c>
      <c r="P4" s="34">
        <f>AA4</f>
        <v>15.88</v>
      </c>
      <c r="Q4" s="55">
        <f>P4*2.35</f>
        <v>37.318000000000005</v>
      </c>
      <c r="R4" s="54">
        <f>K4/Q4</f>
        <v>272.62983010879464</v>
      </c>
      <c r="S4" s="54">
        <f>N4</f>
        <v>146.09571788413098</v>
      </c>
      <c r="T4" s="54">
        <f>L4</f>
        <v>151.71440050377834</v>
      </c>
      <c r="U4" s="34">
        <f t="shared" si="1"/>
        <v>6.5394138148180323</v>
      </c>
      <c r="V4" s="34">
        <f t="shared" si="2"/>
        <v>6.5394138148180323</v>
      </c>
      <c r="W4" s="54">
        <f t="shared" si="3"/>
        <v>66531.996151958665</v>
      </c>
      <c r="X4" s="56">
        <f t="shared" si="4"/>
        <v>1555.7969396195956</v>
      </c>
      <c r="Y4" s="44">
        <v>13.7</v>
      </c>
      <c r="Z4" s="44">
        <v>19.7</v>
      </c>
      <c r="AA4" s="60">
        <v>15.88</v>
      </c>
      <c r="AB4" s="44" t="s">
        <v>54</v>
      </c>
      <c r="AC4" s="44" t="s">
        <v>46</v>
      </c>
      <c r="AD4" s="44"/>
      <c r="AE4" s="39"/>
      <c r="AF4" s="39"/>
      <c r="AG4" s="39"/>
    </row>
    <row r="5" spans="1:33" s="61" customFormat="1" ht="30">
      <c r="A5" s="44" t="s">
        <v>43</v>
      </c>
      <c r="B5" s="44" t="s">
        <v>227</v>
      </c>
      <c r="C5" s="44" t="s">
        <v>30</v>
      </c>
      <c r="D5" s="37" t="s">
        <v>31</v>
      </c>
      <c r="E5" s="37">
        <v>2018</v>
      </c>
      <c r="F5" s="44" t="s">
        <v>32</v>
      </c>
      <c r="G5" s="44">
        <v>1599</v>
      </c>
      <c r="H5" s="44" t="s">
        <v>41</v>
      </c>
      <c r="I5" s="44" t="s">
        <v>34</v>
      </c>
      <c r="J5" s="44" t="s">
        <v>35</v>
      </c>
      <c r="K5" s="59">
        <v>10558</v>
      </c>
      <c r="L5" s="44">
        <v>170</v>
      </c>
      <c r="M5" s="36">
        <f t="shared" si="5"/>
        <v>1794860</v>
      </c>
      <c r="N5" s="37">
        <f t="shared" si="6"/>
        <v>161.262</v>
      </c>
      <c r="O5" s="34">
        <f t="shared" si="0"/>
        <v>14.491076633056766</v>
      </c>
      <c r="P5" s="34">
        <f t="shared" si="7"/>
        <v>14.491076633056766</v>
      </c>
      <c r="Q5" s="34">
        <f t="shared" si="8"/>
        <v>34.054030087683401</v>
      </c>
      <c r="R5" s="37">
        <f t="shared" si="9"/>
        <v>310.0367261324115</v>
      </c>
      <c r="S5" s="44"/>
      <c r="T5" s="44"/>
      <c r="U5" s="34">
        <f t="shared" si="1"/>
        <v>7.3275862068965516</v>
      </c>
      <c r="V5" s="34">
        <f t="shared" si="2"/>
        <v>7.3275862068965516</v>
      </c>
      <c r="W5" s="54">
        <f t="shared" si="3"/>
        <v>77364.655172413797</v>
      </c>
      <c r="X5" s="56">
        <f t="shared" si="4"/>
        <v>1440.8564705882354</v>
      </c>
      <c r="Y5" s="44">
        <v>11.37</v>
      </c>
      <c r="Z5" s="44">
        <v>19.84</v>
      </c>
      <c r="AA5" s="60"/>
      <c r="AB5" s="44" t="s">
        <v>228</v>
      </c>
      <c r="AC5" s="37" t="s">
        <v>49</v>
      </c>
      <c r="AD5" s="44"/>
      <c r="AE5" s="39"/>
      <c r="AF5" s="39"/>
      <c r="AG5" s="39"/>
    </row>
    <row r="6" spans="1:33" s="61" customFormat="1">
      <c r="A6" s="44" t="s">
        <v>28</v>
      </c>
      <c r="B6" s="44" t="s">
        <v>66</v>
      </c>
      <c r="C6" s="44" t="s">
        <v>30</v>
      </c>
      <c r="D6" s="44" t="s">
        <v>57</v>
      </c>
      <c r="E6" s="44">
        <v>2018</v>
      </c>
      <c r="F6" s="44" t="s">
        <v>32</v>
      </c>
      <c r="G6" s="44">
        <v>995</v>
      </c>
      <c r="H6" s="44" t="s">
        <v>41</v>
      </c>
      <c r="I6" s="44" t="s">
        <v>34</v>
      </c>
      <c r="J6" s="44" t="s">
        <v>35</v>
      </c>
      <c r="K6" s="59">
        <v>7345</v>
      </c>
      <c r="L6" s="44">
        <v>153</v>
      </c>
      <c r="M6" s="36">
        <f t="shared" si="5"/>
        <v>1123785</v>
      </c>
      <c r="N6" s="37">
        <f t="shared" si="6"/>
        <v>146.54339999999999</v>
      </c>
      <c r="O6" s="34">
        <f t="shared" si="0"/>
        <v>15.946538704574893</v>
      </c>
      <c r="P6" s="34">
        <f t="shared" si="7"/>
        <v>15.946538704574893</v>
      </c>
      <c r="Q6" s="34">
        <f t="shared" si="8"/>
        <v>37.474365955750997</v>
      </c>
      <c r="R6" s="37">
        <f t="shared" si="9"/>
        <v>196.00064771403561</v>
      </c>
      <c r="S6" s="44"/>
      <c r="T6" s="44"/>
      <c r="U6" s="34">
        <f t="shared" si="1"/>
        <v>6.5948275862068968</v>
      </c>
      <c r="V6" s="34">
        <f t="shared" si="2"/>
        <v>6.5948275862068968</v>
      </c>
      <c r="W6" s="54">
        <f t="shared" si="3"/>
        <v>48439.008620689659</v>
      </c>
      <c r="X6" s="56">
        <f t="shared" si="4"/>
        <v>1113.751633986928</v>
      </c>
      <c r="Y6" s="44">
        <v>11.6</v>
      </c>
      <c r="Z6" s="44">
        <v>19.399999999999999</v>
      </c>
      <c r="AA6" s="60">
        <v>15.5</v>
      </c>
      <c r="AB6" s="44" t="s">
        <v>67</v>
      </c>
      <c r="AC6" s="44" t="s">
        <v>37</v>
      </c>
      <c r="AD6" s="44" t="s">
        <v>38</v>
      </c>
      <c r="AE6" s="39"/>
      <c r="AF6" s="39"/>
      <c r="AG6" s="39"/>
    </row>
    <row r="7" spans="1:33" s="61" customFormat="1">
      <c r="A7" s="44" t="s">
        <v>28</v>
      </c>
      <c r="B7" s="44" t="s">
        <v>39</v>
      </c>
      <c r="C7" s="44" t="s">
        <v>30</v>
      </c>
      <c r="D7" s="44" t="s">
        <v>40</v>
      </c>
      <c r="E7" s="44">
        <v>2018</v>
      </c>
      <c r="F7" s="44" t="s">
        <v>32</v>
      </c>
      <c r="G7" s="44">
        <v>1206</v>
      </c>
      <c r="H7" s="44" t="s">
        <v>41</v>
      </c>
      <c r="I7" s="44" t="s">
        <v>34</v>
      </c>
      <c r="J7" s="44" t="s">
        <v>35</v>
      </c>
      <c r="K7" s="59">
        <v>6702</v>
      </c>
      <c r="L7" s="44">
        <v>140</v>
      </c>
      <c r="M7" s="36">
        <f t="shared" si="5"/>
        <v>938280</v>
      </c>
      <c r="N7" s="37">
        <f t="shared" si="6"/>
        <v>135.28800000000001</v>
      </c>
      <c r="O7" s="34">
        <f t="shared" si="0"/>
        <v>17.273224528413458</v>
      </c>
      <c r="P7" s="34">
        <f t="shared" si="7"/>
        <v>17.273224528413458</v>
      </c>
      <c r="Q7" s="34">
        <f t="shared" si="8"/>
        <v>40.592077641771624</v>
      </c>
      <c r="R7" s="37">
        <f t="shared" si="9"/>
        <v>165.10610910694678</v>
      </c>
      <c r="S7" s="44"/>
      <c r="T7" s="44"/>
      <c r="U7" s="34">
        <f t="shared" si="1"/>
        <v>6.0344827586206895</v>
      </c>
      <c r="V7" s="34">
        <f t="shared" si="2"/>
        <v>6.0344827586206895</v>
      </c>
      <c r="W7" s="54">
        <f t="shared" si="3"/>
        <v>40443.103448275862</v>
      </c>
      <c r="X7" s="56">
        <f t="shared" si="4"/>
        <v>1110.6171428571429</v>
      </c>
      <c r="Y7" s="44">
        <v>12.6</v>
      </c>
      <c r="Z7" s="44">
        <v>21.4</v>
      </c>
      <c r="AA7" s="60">
        <v>17</v>
      </c>
      <c r="AB7" s="44" t="s">
        <v>42</v>
      </c>
      <c r="AC7" s="44" t="s">
        <v>37</v>
      </c>
      <c r="AD7" s="44" t="s">
        <v>38</v>
      </c>
      <c r="AE7" s="39"/>
      <c r="AF7" s="39"/>
      <c r="AG7" s="39"/>
    </row>
    <row r="8" spans="1:33" s="61" customFormat="1">
      <c r="A8" s="44" t="s">
        <v>55</v>
      </c>
      <c r="B8" s="44" t="s">
        <v>56</v>
      </c>
      <c r="C8" s="44" t="s">
        <v>30</v>
      </c>
      <c r="D8" s="44" t="s">
        <v>57</v>
      </c>
      <c r="E8" s="44">
        <v>2018</v>
      </c>
      <c r="F8" s="44" t="s">
        <v>32</v>
      </c>
      <c r="G8" s="44">
        <v>1248</v>
      </c>
      <c r="H8" s="44" t="s">
        <v>33</v>
      </c>
      <c r="I8" s="44" t="s">
        <v>34</v>
      </c>
      <c r="J8" s="44" t="s">
        <v>35</v>
      </c>
      <c r="K8" s="59">
        <v>6236</v>
      </c>
      <c r="L8" s="44">
        <v>117</v>
      </c>
      <c r="M8" s="36">
        <f t="shared" si="5"/>
        <v>729612</v>
      </c>
      <c r="N8" s="37">
        <f t="shared" si="6"/>
        <v>115.37460000000002</v>
      </c>
      <c r="O8" s="34">
        <f t="shared" si="0"/>
        <v>20.254544761151934</v>
      </c>
      <c r="P8" s="34">
        <f t="shared" si="7"/>
        <v>20.254544761151934</v>
      </c>
      <c r="Q8" s="34">
        <f t="shared" si="8"/>
        <v>47.598180188707047</v>
      </c>
      <c r="R8" s="37">
        <f t="shared" si="9"/>
        <v>131.01341217829852</v>
      </c>
      <c r="S8" s="44"/>
      <c r="T8" s="44"/>
      <c r="U8" s="34">
        <f t="shared" si="1"/>
        <v>5.0431034482758621</v>
      </c>
      <c r="V8" s="34">
        <f t="shared" si="2"/>
        <v>5.0431034482758621</v>
      </c>
      <c r="W8" s="54">
        <f t="shared" si="3"/>
        <v>31448.793103448275</v>
      </c>
      <c r="X8" s="56">
        <f t="shared" si="4"/>
        <v>1236.540170940171</v>
      </c>
      <c r="Y8" s="44">
        <v>15</v>
      </c>
      <c r="Z8" s="44">
        <v>25.7</v>
      </c>
      <c r="AA8" s="60">
        <v>20.399999999999999</v>
      </c>
      <c r="AB8" s="44" t="s">
        <v>58</v>
      </c>
      <c r="AC8" s="44" t="s">
        <v>37</v>
      </c>
      <c r="AD8" s="44" t="s">
        <v>38</v>
      </c>
      <c r="AE8" s="39"/>
      <c r="AF8" s="39"/>
      <c r="AG8" s="39"/>
    </row>
    <row r="9" spans="1:33" s="61" customFormat="1">
      <c r="A9" s="44" t="s">
        <v>50</v>
      </c>
      <c r="B9" s="44" t="s">
        <v>51</v>
      </c>
      <c r="C9" s="44" t="s">
        <v>30</v>
      </c>
      <c r="D9" s="44" t="s">
        <v>31</v>
      </c>
      <c r="E9" s="44">
        <v>2018</v>
      </c>
      <c r="F9" s="44" t="s">
        <v>32</v>
      </c>
      <c r="G9" s="44">
        <v>1998</v>
      </c>
      <c r="H9" s="44" t="s">
        <v>33</v>
      </c>
      <c r="I9" s="44" t="s">
        <v>34</v>
      </c>
      <c r="J9" s="44" t="s">
        <v>74</v>
      </c>
      <c r="K9" s="59">
        <v>4931</v>
      </c>
      <c r="L9" s="44">
        <v>155</v>
      </c>
      <c r="M9" s="36">
        <f t="shared" si="5"/>
        <v>764305</v>
      </c>
      <c r="N9" s="37">
        <f t="shared" si="6"/>
        <v>148.27500000000001</v>
      </c>
      <c r="O9" s="34">
        <f t="shared" si="0"/>
        <v>15.760310234361828</v>
      </c>
      <c r="P9" s="34">
        <f t="shared" si="7"/>
        <v>15.760310234361828</v>
      </c>
      <c r="Q9" s="34">
        <f t="shared" si="8"/>
        <v>37.036729050750296</v>
      </c>
      <c r="R9" s="37">
        <f t="shared" si="9"/>
        <v>133.13810712720343</v>
      </c>
      <c r="S9" s="44"/>
      <c r="T9" s="44"/>
      <c r="U9" s="34">
        <f t="shared" si="1"/>
        <v>6.681034482758621</v>
      </c>
      <c r="V9" s="34">
        <f t="shared" si="2"/>
        <v>6.681034482758621</v>
      </c>
      <c r="W9" s="54">
        <f t="shared" si="3"/>
        <v>32944.181034482761</v>
      </c>
      <c r="X9" s="56">
        <f t="shared" si="4"/>
        <v>738.05935483870962</v>
      </c>
      <c r="Y9" s="44">
        <v>11.6</v>
      </c>
      <c r="Z9" s="44">
        <v>19.2</v>
      </c>
      <c r="AA9" s="60">
        <v>15.4</v>
      </c>
      <c r="AB9" s="44" t="s">
        <v>229</v>
      </c>
      <c r="AC9" s="44" t="s">
        <v>37</v>
      </c>
      <c r="AD9" s="44" t="s">
        <v>38</v>
      </c>
      <c r="AE9" s="39"/>
      <c r="AF9" s="39"/>
      <c r="AG9" s="39"/>
    </row>
    <row r="10" spans="1:33" s="61" customFormat="1">
      <c r="A10" s="44" t="s">
        <v>28</v>
      </c>
      <c r="B10" s="44" t="s">
        <v>59</v>
      </c>
      <c r="C10" s="44" t="s">
        <v>60</v>
      </c>
      <c r="D10" s="44" t="s">
        <v>31</v>
      </c>
      <c r="E10" s="44">
        <v>2018</v>
      </c>
      <c r="F10" s="44" t="s">
        <v>32</v>
      </c>
      <c r="G10" s="44">
        <v>1796</v>
      </c>
      <c r="H10" s="44" t="s">
        <v>33</v>
      </c>
      <c r="I10" s="44" t="s">
        <v>34</v>
      </c>
      <c r="J10" s="44" t="s">
        <v>74</v>
      </c>
      <c r="K10" s="59">
        <v>3673</v>
      </c>
      <c r="L10" s="44">
        <v>201</v>
      </c>
      <c r="M10" s="36">
        <f t="shared" si="5"/>
        <v>738273</v>
      </c>
      <c r="N10" s="37">
        <f t="shared" si="6"/>
        <v>188.1018</v>
      </c>
      <c r="O10" s="34">
        <f t="shared" si="0"/>
        <v>12.423379255275602</v>
      </c>
      <c r="P10" s="34">
        <f t="shared" si="7"/>
        <v>12.423379255275602</v>
      </c>
      <c r="Q10" s="34">
        <f t="shared" si="8"/>
        <v>29.194941249897667</v>
      </c>
      <c r="R10" s="37">
        <f t="shared" si="9"/>
        <v>125.80946707720723</v>
      </c>
      <c r="S10" s="44"/>
      <c r="T10" s="44"/>
      <c r="U10" s="34">
        <f t="shared" si="1"/>
        <v>8.6637931034482758</v>
      </c>
      <c r="V10" s="34">
        <f t="shared" si="2"/>
        <v>8.6637931034482758</v>
      </c>
      <c r="W10" s="54">
        <f t="shared" si="3"/>
        <v>31822.112068965518</v>
      </c>
      <c r="X10" s="56">
        <f t="shared" si="4"/>
        <v>423.94825870646764</v>
      </c>
      <c r="Y10" s="44">
        <v>8.8000000000000007</v>
      </c>
      <c r="Z10" s="44">
        <v>14.8</v>
      </c>
      <c r="AA10" s="60">
        <v>11.9</v>
      </c>
      <c r="AB10" s="44" t="s">
        <v>171</v>
      </c>
      <c r="AC10" s="44" t="s">
        <v>37</v>
      </c>
      <c r="AD10" s="44" t="s">
        <v>38</v>
      </c>
      <c r="AE10" s="39"/>
      <c r="AF10" s="39"/>
      <c r="AG10" s="39"/>
    </row>
    <row r="11" spans="1:33" s="61" customFormat="1">
      <c r="A11" s="44" t="s">
        <v>55</v>
      </c>
      <c r="B11" s="44" t="s">
        <v>78</v>
      </c>
      <c r="C11" s="44" t="s">
        <v>30</v>
      </c>
      <c r="D11" s="44" t="s">
        <v>31</v>
      </c>
      <c r="E11" s="44">
        <v>2018</v>
      </c>
      <c r="F11" s="44" t="s">
        <v>32</v>
      </c>
      <c r="G11" s="44">
        <v>1368</v>
      </c>
      <c r="H11" s="44" t="s">
        <v>33</v>
      </c>
      <c r="I11" s="44" t="s">
        <v>34</v>
      </c>
      <c r="J11" s="44" t="s">
        <v>35</v>
      </c>
      <c r="K11" s="59">
        <v>3586</v>
      </c>
      <c r="L11" s="44">
        <v>148</v>
      </c>
      <c r="M11" s="36">
        <f t="shared" si="5"/>
        <v>530728</v>
      </c>
      <c r="N11" s="37">
        <f t="shared" si="6"/>
        <v>142.21439999999998</v>
      </c>
      <c r="O11" s="34">
        <f t="shared" si="0"/>
        <v>16.431950632284778</v>
      </c>
      <c r="P11" s="34">
        <f t="shared" si="7"/>
        <v>16.431950632284778</v>
      </c>
      <c r="Q11" s="34">
        <f t="shared" si="8"/>
        <v>38.615083985869227</v>
      </c>
      <c r="R11" s="37">
        <f t="shared" si="9"/>
        <v>92.865264809789309</v>
      </c>
      <c r="S11" s="44"/>
      <c r="T11" s="44"/>
      <c r="U11" s="34">
        <f t="shared" si="1"/>
        <v>6.3793103448275863</v>
      </c>
      <c r="V11" s="34">
        <f t="shared" si="2"/>
        <v>6.3793103448275863</v>
      </c>
      <c r="W11" s="54">
        <f t="shared" si="3"/>
        <v>22876.206896551725</v>
      </c>
      <c r="X11" s="56">
        <f t="shared" si="4"/>
        <v>562.12972972972977</v>
      </c>
      <c r="Y11" s="44">
        <v>11.9</v>
      </c>
      <c r="Z11" s="44">
        <v>20.399999999999999</v>
      </c>
      <c r="AA11" s="60">
        <v>16.100000000000001</v>
      </c>
      <c r="AB11" s="44" t="s">
        <v>230</v>
      </c>
      <c r="AC11" s="44" t="s">
        <v>37</v>
      </c>
      <c r="AD11" s="44" t="s">
        <v>38</v>
      </c>
      <c r="AE11" s="39"/>
      <c r="AF11" s="39"/>
      <c r="AG11" s="39"/>
    </row>
    <row r="12" spans="1:33" s="61" customFormat="1">
      <c r="A12" s="44" t="s">
        <v>90</v>
      </c>
      <c r="B12" s="44" t="s">
        <v>231</v>
      </c>
      <c r="C12" s="44" t="s">
        <v>30</v>
      </c>
      <c r="D12" s="44" t="s">
        <v>40</v>
      </c>
      <c r="E12" s="44">
        <v>2018</v>
      </c>
      <c r="F12" s="44" t="s">
        <v>32</v>
      </c>
      <c r="G12" s="44">
        <v>1599</v>
      </c>
      <c r="H12" s="44" t="s">
        <v>33</v>
      </c>
      <c r="I12" s="44" t="s">
        <v>34</v>
      </c>
      <c r="J12" s="44" t="s">
        <v>35</v>
      </c>
      <c r="K12" s="59">
        <v>3519</v>
      </c>
      <c r="L12" s="44">
        <v>164</v>
      </c>
      <c r="M12" s="36">
        <f t="shared" si="5"/>
        <v>577116</v>
      </c>
      <c r="N12" s="37">
        <f t="shared" si="6"/>
        <v>156.06719999999999</v>
      </c>
      <c r="O12" s="34">
        <f t="shared" si="0"/>
        <v>14.973421705521726</v>
      </c>
      <c r="P12" s="34">
        <f t="shared" si="7"/>
        <v>14.973421705521726</v>
      </c>
      <c r="Q12" s="34">
        <f t="shared" si="8"/>
        <v>35.187541007976058</v>
      </c>
      <c r="R12" s="37">
        <f t="shared" si="9"/>
        <v>100.00698824627554</v>
      </c>
      <c r="S12" s="44"/>
      <c r="T12" s="44"/>
      <c r="U12" s="34">
        <f t="shared" si="1"/>
        <v>7.0689655172413799</v>
      </c>
      <c r="V12" s="34">
        <f t="shared" si="2"/>
        <v>7.0689655172413799</v>
      </c>
      <c r="W12" s="54">
        <f t="shared" si="3"/>
        <v>24875.689655172417</v>
      </c>
      <c r="X12" s="56">
        <f t="shared" si="4"/>
        <v>497.80975609756092</v>
      </c>
      <c r="Y12" s="44">
        <v>10.8</v>
      </c>
      <c r="Z12" s="44">
        <v>18</v>
      </c>
      <c r="AA12" s="60">
        <v>14.4</v>
      </c>
      <c r="AB12" s="44" t="s">
        <v>232</v>
      </c>
      <c r="AC12" s="44" t="s">
        <v>37</v>
      </c>
      <c r="AD12" s="44" t="s">
        <v>38</v>
      </c>
      <c r="AE12" s="39"/>
      <c r="AF12" s="39"/>
      <c r="AG12" s="39"/>
    </row>
    <row r="13" spans="1:33" s="61" customFormat="1">
      <c r="A13" s="44" t="s">
        <v>50</v>
      </c>
      <c r="B13" s="44" t="s">
        <v>139</v>
      </c>
      <c r="C13" s="44" t="s">
        <v>30</v>
      </c>
      <c r="D13" s="44" t="s">
        <v>31</v>
      </c>
      <c r="E13" s="44">
        <v>2018</v>
      </c>
      <c r="F13" s="44" t="s">
        <v>32</v>
      </c>
      <c r="G13" s="44">
        <v>1496</v>
      </c>
      <c r="H13" s="44" t="s">
        <v>33</v>
      </c>
      <c r="I13" s="44" t="s">
        <v>34</v>
      </c>
      <c r="J13" s="44" t="s">
        <v>74</v>
      </c>
      <c r="K13" s="59">
        <v>3337</v>
      </c>
      <c r="L13" s="44">
        <v>138</v>
      </c>
      <c r="M13" s="36">
        <f t="shared" si="5"/>
        <v>460506</v>
      </c>
      <c r="N13" s="37">
        <f t="shared" si="6"/>
        <v>133.5564</v>
      </c>
      <c r="O13" s="34">
        <f t="shared" si="0"/>
        <v>17.497177222506746</v>
      </c>
      <c r="P13" s="34">
        <f t="shared" si="7"/>
        <v>17.497177222506746</v>
      </c>
      <c r="Q13" s="34">
        <f t="shared" si="8"/>
        <v>41.118366472890855</v>
      </c>
      <c r="R13" s="37">
        <f t="shared" si="9"/>
        <v>81.155947724724626</v>
      </c>
      <c r="S13" s="44"/>
      <c r="T13" s="44"/>
      <c r="U13" s="34">
        <f t="shared" si="1"/>
        <v>5.9482758620689653</v>
      </c>
      <c r="V13" s="34">
        <f t="shared" si="2"/>
        <v>5.9482758620689653</v>
      </c>
      <c r="W13" s="54">
        <f t="shared" si="3"/>
        <v>19849.396551724138</v>
      </c>
      <c r="X13" s="56">
        <f t="shared" si="4"/>
        <v>561.00289855072469</v>
      </c>
      <c r="Y13" s="41">
        <v>13</v>
      </c>
      <c r="Z13" s="41">
        <v>21.2</v>
      </c>
      <c r="AA13" s="42">
        <v>17.2</v>
      </c>
      <c r="AB13" s="44" t="s">
        <v>233</v>
      </c>
      <c r="AC13" s="44" t="s">
        <v>37</v>
      </c>
      <c r="AD13" s="44" t="s">
        <v>38</v>
      </c>
      <c r="AE13" s="39"/>
      <c r="AF13" s="39"/>
      <c r="AG13" s="39"/>
    </row>
    <row r="14" spans="1:33" s="61" customFormat="1">
      <c r="A14" s="44" t="s">
        <v>68</v>
      </c>
      <c r="B14" s="44" t="s">
        <v>69</v>
      </c>
      <c r="C14" s="44" t="s">
        <v>30</v>
      </c>
      <c r="D14" s="44" t="s">
        <v>40</v>
      </c>
      <c r="E14" s="44">
        <v>2018</v>
      </c>
      <c r="F14" s="44" t="s">
        <v>32</v>
      </c>
      <c r="G14" s="44">
        <v>1598</v>
      </c>
      <c r="H14" s="44" t="s">
        <v>33</v>
      </c>
      <c r="I14" s="44" t="s">
        <v>34</v>
      </c>
      <c r="J14" s="44" t="s">
        <v>35</v>
      </c>
      <c r="K14" s="59">
        <v>3232</v>
      </c>
      <c r="L14" s="44">
        <v>155</v>
      </c>
      <c r="M14" s="36">
        <f t="shared" si="5"/>
        <v>500960</v>
      </c>
      <c r="N14" s="37">
        <f t="shared" si="6"/>
        <v>148.27500000000001</v>
      </c>
      <c r="O14" s="34">
        <f t="shared" si="0"/>
        <v>15.760310234361828</v>
      </c>
      <c r="P14" s="34">
        <f t="shared" si="7"/>
        <v>15.760310234361828</v>
      </c>
      <c r="Q14" s="34">
        <f t="shared" si="8"/>
        <v>37.036729050750296</v>
      </c>
      <c r="R14" s="37">
        <f t="shared" si="9"/>
        <v>87.264725661148134</v>
      </c>
      <c r="S14" s="44"/>
      <c r="T14" s="44"/>
      <c r="U14" s="34">
        <f t="shared" si="1"/>
        <v>6.681034482758621</v>
      </c>
      <c r="V14" s="34">
        <f t="shared" si="2"/>
        <v>6.681034482758621</v>
      </c>
      <c r="W14" s="54">
        <f t="shared" si="3"/>
        <v>21593.103448275862</v>
      </c>
      <c r="X14" s="56">
        <f t="shared" si="4"/>
        <v>483.7574193548387</v>
      </c>
      <c r="Y14" s="44">
        <v>11.6</v>
      </c>
      <c r="Z14" s="44">
        <v>18.899999999999999</v>
      </c>
      <c r="AA14" s="60">
        <v>15.3</v>
      </c>
      <c r="AB14" s="44" t="s">
        <v>70</v>
      </c>
      <c r="AC14" s="44" t="s">
        <v>37</v>
      </c>
      <c r="AD14" s="44" t="s">
        <v>38</v>
      </c>
      <c r="AE14" s="39"/>
      <c r="AF14" s="39"/>
      <c r="AG14" s="39"/>
    </row>
    <row r="15" spans="1:33" s="61" customFormat="1">
      <c r="A15" s="44" t="s">
        <v>62</v>
      </c>
      <c r="B15" s="44" t="s">
        <v>63</v>
      </c>
      <c r="C15" s="44" t="s">
        <v>30</v>
      </c>
      <c r="D15" s="44" t="s">
        <v>31</v>
      </c>
      <c r="E15" s="44">
        <v>2018</v>
      </c>
      <c r="F15" s="44" t="s">
        <v>32</v>
      </c>
      <c r="G15" s="44">
        <v>1597</v>
      </c>
      <c r="H15" s="44" t="s">
        <v>33</v>
      </c>
      <c r="I15" s="44" t="s">
        <v>34</v>
      </c>
      <c r="J15" s="44" t="s">
        <v>35</v>
      </c>
      <c r="K15" s="59">
        <v>3116</v>
      </c>
      <c r="L15" s="44">
        <v>153</v>
      </c>
      <c r="M15" s="36">
        <f t="shared" si="5"/>
        <v>476748</v>
      </c>
      <c r="N15" s="37">
        <f t="shared" si="6"/>
        <v>146.54339999999999</v>
      </c>
      <c r="O15" s="34">
        <f t="shared" si="0"/>
        <v>15.946538704574893</v>
      </c>
      <c r="P15" s="34">
        <f t="shared" si="7"/>
        <v>15.946538704574893</v>
      </c>
      <c r="Q15" s="34">
        <f t="shared" si="8"/>
        <v>37.474365955750997</v>
      </c>
      <c r="R15" s="37">
        <f t="shared" si="9"/>
        <v>83.150172672149068</v>
      </c>
      <c r="S15" s="44"/>
      <c r="T15" s="44"/>
      <c r="U15" s="34">
        <f t="shared" si="1"/>
        <v>6.5948275862068968</v>
      </c>
      <c r="V15" s="34">
        <f t="shared" si="2"/>
        <v>6.5948275862068968</v>
      </c>
      <c r="W15" s="54">
        <f t="shared" si="3"/>
        <v>20549.482758620692</v>
      </c>
      <c r="X15" s="56">
        <f t="shared" si="4"/>
        <v>472.49150326797383</v>
      </c>
      <c r="Y15" s="44">
        <v>11.4</v>
      </c>
      <c r="Z15" s="44">
        <v>19.600000000000001</v>
      </c>
      <c r="AA15" s="60">
        <v>15.5</v>
      </c>
      <c r="AB15" s="44" t="s">
        <v>234</v>
      </c>
      <c r="AC15" s="44" t="s">
        <v>37</v>
      </c>
      <c r="AD15" s="44" t="s">
        <v>181</v>
      </c>
      <c r="AE15" s="39"/>
      <c r="AF15" s="39"/>
      <c r="AG15" s="39"/>
    </row>
    <row r="16" spans="1:33" s="61" customFormat="1">
      <c r="A16" s="44" t="s">
        <v>55</v>
      </c>
      <c r="B16" s="44" t="s">
        <v>319</v>
      </c>
      <c r="C16" s="44" t="s">
        <v>60</v>
      </c>
      <c r="D16" s="44" t="s">
        <v>31</v>
      </c>
      <c r="E16" s="44">
        <v>2018</v>
      </c>
      <c r="F16" s="44" t="s">
        <v>32</v>
      </c>
      <c r="G16" s="44">
        <v>1999</v>
      </c>
      <c r="H16" s="44" t="s">
        <v>33</v>
      </c>
      <c r="I16" s="44" t="s">
        <v>34</v>
      </c>
      <c r="J16" s="44" t="s">
        <v>35</v>
      </c>
      <c r="K16" s="59">
        <v>2959</v>
      </c>
      <c r="L16" s="44">
        <v>199</v>
      </c>
      <c r="M16" s="36">
        <f t="shared" si="5"/>
        <v>588841</v>
      </c>
      <c r="N16" s="37">
        <f t="shared" si="6"/>
        <v>186.37019999999998</v>
      </c>
      <c r="O16" s="34">
        <f t="shared" si="0"/>
        <v>12.538807169815778</v>
      </c>
      <c r="P16" s="34">
        <f t="shared" si="7"/>
        <v>12.538807169815778</v>
      </c>
      <c r="Q16" s="34">
        <f t="shared" si="8"/>
        <v>29.466196849067078</v>
      </c>
      <c r="R16" s="37">
        <f t="shared" si="9"/>
        <v>100.42015313875446</v>
      </c>
      <c r="S16" s="44"/>
      <c r="T16" s="44"/>
      <c r="U16" s="34">
        <f t="shared" si="1"/>
        <v>8.5775862068965516</v>
      </c>
      <c r="V16" s="34">
        <f t="shared" si="2"/>
        <v>8.5775862068965516</v>
      </c>
      <c r="W16" s="54">
        <f t="shared" si="3"/>
        <v>25381.077586206895</v>
      </c>
      <c r="X16" s="56">
        <f t="shared" si="4"/>
        <v>344.96884422110554</v>
      </c>
      <c r="Y16" s="44">
        <v>8.8000000000000007</v>
      </c>
      <c r="Z16" s="44">
        <v>14.5</v>
      </c>
      <c r="AA16" s="60">
        <v>11.6</v>
      </c>
      <c r="AB16" s="44" t="s">
        <v>71</v>
      </c>
      <c r="AC16" s="44" t="s">
        <v>37</v>
      </c>
      <c r="AD16" s="44" t="s">
        <v>38</v>
      </c>
      <c r="AE16" s="39"/>
      <c r="AF16" s="39"/>
      <c r="AG16" s="39"/>
    </row>
    <row r="17" spans="1:33" s="61" customFormat="1">
      <c r="A17" s="44" t="s">
        <v>28</v>
      </c>
      <c r="B17" s="44" t="s">
        <v>107</v>
      </c>
      <c r="C17" s="44" t="s">
        <v>30</v>
      </c>
      <c r="D17" s="44" t="s">
        <v>31</v>
      </c>
      <c r="E17" s="44">
        <v>2018</v>
      </c>
      <c r="F17" s="44" t="s">
        <v>32</v>
      </c>
      <c r="G17" s="44">
        <v>1389</v>
      </c>
      <c r="H17" s="44" t="s">
        <v>33</v>
      </c>
      <c r="I17" s="44" t="s">
        <v>34</v>
      </c>
      <c r="J17" s="44" t="s">
        <v>35</v>
      </c>
      <c r="K17" s="59">
        <v>2854</v>
      </c>
      <c r="L17" s="44">
        <v>161</v>
      </c>
      <c r="M17" s="36">
        <f t="shared" si="5"/>
        <v>459494</v>
      </c>
      <c r="N17" s="37">
        <f t="shared" si="6"/>
        <v>153.46979999999999</v>
      </c>
      <c r="O17" s="34">
        <f t="shared" si="0"/>
        <v>15.226839417266461</v>
      </c>
      <c r="P17" s="34">
        <f t="shared" si="7"/>
        <v>15.226839417266461</v>
      </c>
      <c r="Q17" s="34">
        <f t="shared" si="8"/>
        <v>35.783072630576186</v>
      </c>
      <c r="R17" s="37">
        <f t="shared" si="9"/>
        <v>79.758382670617635</v>
      </c>
      <c r="S17" s="44"/>
      <c r="T17" s="44"/>
      <c r="U17" s="34">
        <f t="shared" si="1"/>
        <v>6.9396551724137936</v>
      </c>
      <c r="V17" s="34">
        <f t="shared" si="2"/>
        <v>6.9396551724137936</v>
      </c>
      <c r="W17" s="54">
        <f t="shared" si="3"/>
        <v>19805.775862068967</v>
      </c>
      <c r="X17" s="56">
        <f t="shared" si="4"/>
        <v>411.25962732919254</v>
      </c>
      <c r="Y17" s="44">
        <v>11</v>
      </c>
      <c r="Z17" s="44">
        <v>18.399999999999999</v>
      </c>
      <c r="AA17" s="60">
        <v>14.7</v>
      </c>
      <c r="AB17" s="44" t="s">
        <v>108</v>
      </c>
      <c r="AC17" s="44" t="s">
        <v>37</v>
      </c>
      <c r="AD17" s="44" t="s">
        <v>38</v>
      </c>
      <c r="AE17" s="39"/>
      <c r="AF17" s="39"/>
      <c r="AG17" s="39"/>
    </row>
    <row r="18" spans="1:33" s="61" customFormat="1">
      <c r="A18" s="44" t="s">
        <v>43</v>
      </c>
      <c r="B18" s="44" t="s">
        <v>76</v>
      </c>
      <c r="C18" s="44" t="s">
        <v>60</v>
      </c>
      <c r="D18" s="44" t="s">
        <v>31</v>
      </c>
      <c r="E18" s="44">
        <v>2018</v>
      </c>
      <c r="F18" s="44" t="s">
        <v>32</v>
      </c>
      <c r="G18" s="44">
        <v>1599</v>
      </c>
      <c r="H18" s="44" t="s">
        <v>33</v>
      </c>
      <c r="I18" s="44" t="s">
        <v>34</v>
      </c>
      <c r="J18" s="44" t="s">
        <v>35</v>
      </c>
      <c r="K18" s="59">
        <v>2746</v>
      </c>
      <c r="L18" s="44">
        <v>199</v>
      </c>
      <c r="M18" s="36">
        <f t="shared" si="5"/>
        <v>546454</v>
      </c>
      <c r="N18" s="37">
        <f t="shared" si="6"/>
        <v>186.37019999999998</v>
      </c>
      <c r="O18" s="34">
        <f t="shared" si="0"/>
        <v>12.538807169815778</v>
      </c>
      <c r="P18" s="34">
        <f t="shared" si="7"/>
        <v>12.538807169815778</v>
      </c>
      <c r="Q18" s="34">
        <f t="shared" si="8"/>
        <v>29.466196849067078</v>
      </c>
      <c r="R18" s="37">
        <f t="shared" si="9"/>
        <v>93.19153109801276</v>
      </c>
      <c r="S18" s="44"/>
      <c r="T18" s="44"/>
      <c r="U18" s="34">
        <f t="shared" si="1"/>
        <v>8.5775862068965516</v>
      </c>
      <c r="V18" s="34">
        <f t="shared" si="2"/>
        <v>8.5775862068965516</v>
      </c>
      <c r="W18" s="54">
        <f t="shared" si="3"/>
        <v>23554.051724137931</v>
      </c>
      <c r="X18" s="56">
        <f t="shared" si="4"/>
        <v>320.13668341708541</v>
      </c>
      <c r="Y18" s="44">
        <v>9.1</v>
      </c>
      <c r="Z18" s="44">
        <v>14.6</v>
      </c>
      <c r="AA18" s="60">
        <v>11.9</v>
      </c>
      <c r="AB18" s="44" t="s">
        <v>77</v>
      </c>
      <c r="AC18" s="44" t="s">
        <v>37</v>
      </c>
      <c r="AD18" s="44" t="s">
        <v>38</v>
      </c>
      <c r="AE18" s="39"/>
      <c r="AF18" s="39"/>
      <c r="AG18" s="39"/>
    </row>
    <row r="19" spans="1:33" s="61" customFormat="1">
      <c r="A19" s="44" t="s">
        <v>68</v>
      </c>
      <c r="B19" s="44" t="s">
        <v>109</v>
      </c>
      <c r="C19" s="44" t="s">
        <v>60</v>
      </c>
      <c r="D19" s="44" t="s">
        <v>175</v>
      </c>
      <c r="E19" s="44">
        <v>2018</v>
      </c>
      <c r="F19" s="44" t="s">
        <v>103</v>
      </c>
      <c r="G19" s="44">
        <v>2488</v>
      </c>
      <c r="H19" s="44" t="s">
        <v>33</v>
      </c>
      <c r="I19" s="44" t="s">
        <v>34</v>
      </c>
      <c r="J19" s="44" t="s">
        <v>35</v>
      </c>
      <c r="K19" s="59">
        <v>2484</v>
      </c>
      <c r="L19" s="44">
        <v>220</v>
      </c>
      <c r="M19" s="36">
        <f t="shared" si="5"/>
        <v>546480</v>
      </c>
      <c r="N19" s="37">
        <f t="shared" si="6"/>
        <v>192.95400000000001</v>
      </c>
      <c r="O19" s="34">
        <f t="shared" si="0"/>
        <v>13.912124133213098</v>
      </c>
      <c r="P19" s="34">
        <f t="shared" si="7"/>
        <v>12.881596419641756</v>
      </c>
      <c r="Q19" s="34">
        <f t="shared" si="8"/>
        <v>30.271751586158128</v>
      </c>
      <c r="R19" s="37">
        <f t="shared" si="9"/>
        <v>82.056698732154572</v>
      </c>
      <c r="S19" s="44"/>
      <c r="T19" s="44"/>
      <c r="U19" s="34">
        <f t="shared" si="1"/>
        <v>8.2138590203106325</v>
      </c>
      <c r="V19" s="34">
        <f t="shared" si="2"/>
        <v>8.870967741935484</v>
      </c>
      <c r="W19" s="54">
        <f t="shared" si="3"/>
        <v>22035.483870967742</v>
      </c>
      <c r="X19" s="56">
        <f t="shared" si="4"/>
        <v>280.01454545454544</v>
      </c>
      <c r="Y19" s="44">
        <v>13.5</v>
      </c>
      <c r="Z19" s="44">
        <v>16.86</v>
      </c>
      <c r="AA19" s="60">
        <v>16.22</v>
      </c>
      <c r="AB19" s="44" t="s">
        <v>132</v>
      </c>
      <c r="AC19" s="44" t="s">
        <v>37</v>
      </c>
      <c r="AD19" s="44" t="s">
        <v>38</v>
      </c>
      <c r="AE19" s="39"/>
      <c r="AF19" s="39"/>
      <c r="AG19" s="39"/>
    </row>
    <row r="20" spans="1:33" s="61" customFormat="1">
      <c r="A20" s="44" t="s">
        <v>55</v>
      </c>
      <c r="B20" s="44" t="s">
        <v>56</v>
      </c>
      <c r="C20" s="44" t="s">
        <v>30</v>
      </c>
      <c r="D20" s="44" t="s">
        <v>57</v>
      </c>
      <c r="E20" s="44">
        <v>2018</v>
      </c>
      <c r="F20" s="44" t="s">
        <v>32</v>
      </c>
      <c r="G20" s="44">
        <v>998</v>
      </c>
      <c r="H20" s="44" t="s">
        <v>33</v>
      </c>
      <c r="I20" s="44" t="s">
        <v>34</v>
      </c>
      <c r="J20" s="44" t="s">
        <v>35</v>
      </c>
      <c r="K20" s="59">
        <v>2378</v>
      </c>
      <c r="L20" s="44">
        <v>109</v>
      </c>
      <c r="M20" s="36">
        <f t="shared" si="5"/>
        <v>259202</v>
      </c>
      <c r="N20" s="37">
        <f t="shared" si="6"/>
        <v>108.44820000000001</v>
      </c>
      <c r="O20" s="34">
        <f t="shared" si="0"/>
        <v>21.548167696651486</v>
      </c>
      <c r="P20" s="34">
        <f t="shared" si="7"/>
        <v>21.548167696651486</v>
      </c>
      <c r="Q20" s="34">
        <f t="shared" si="8"/>
        <v>50.638194087130991</v>
      </c>
      <c r="R20" s="37">
        <f t="shared" si="9"/>
        <v>46.960600449302682</v>
      </c>
      <c r="S20" s="44"/>
      <c r="T20" s="44"/>
      <c r="U20" s="34">
        <f t="shared" si="1"/>
        <v>4.6982758620689653</v>
      </c>
      <c r="V20" s="34">
        <f t="shared" si="2"/>
        <v>4.6982758620689653</v>
      </c>
      <c r="W20" s="54">
        <f t="shared" si="3"/>
        <v>11172.5</v>
      </c>
      <c r="X20" s="56">
        <f t="shared" si="4"/>
        <v>506.14311926605507</v>
      </c>
      <c r="Y20" s="44">
        <v>16.399999999999999</v>
      </c>
      <c r="Z20" s="44">
        <v>26.7</v>
      </c>
      <c r="AA20" s="60">
        <v>21.7</v>
      </c>
      <c r="AB20" s="44" t="s">
        <v>72</v>
      </c>
      <c r="AC20" s="44" t="s">
        <v>37</v>
      </c>
      <c r="AD20" s="44" t="s">
        <v>38</v>
      </c>
      <c r="AE20" s="39"/>
      <c r="AF20" s="39"/>
      <c r="AG20" s="39"/>
    </row>
    <row r="21" spans="1:33" s="61" customFormat="1">
      <c r="A21" s="44" t="s">
        <v>50</v>
      </c>
      <c r="B21" s="44" t="s">
        <v>98</v>
      </c>
      <c r="C21" s="44" t="s">
        <v>60</v>
      </c>
      <c r="D21" s="44" t="s">
        <v>31</v>
      </c>
      <c r="E21" s="44">
        <v>2018</v>
      </c>
      <c r="F21" s="44" t="s">
        <v>32</v>
      </c>
      <c r="G21" s="44">
        <v>1998</v>
      </c>
      <c r="H21" s="44" t="s">
        <v>33</v>
      </c>
      <c r="I21" s="44" t="s">
        <v>34</v>
      </c>
      <c r="J21" s="44" t="s">
        <v>74</v>
      </c>
      <c r="K21" s="59">
        <v>2363</v>
      </c>
      <c r="L21" s="44">
        <v>183</v>
      </c>
      <c r="M21" s="36">
        <f t="shared" si="5"/>
        <v>432429</v>
      </c>
      <c r="N21" s="37">
        <f t="shared" si="6"/>
        <v>172.51740000000001</v>
      </c>
      <c r="O21" s="34">
        <f t="shared" si="0"/>
        <v>13.545648149114234</v>
      </c>
      <c r="P21" s="34">
        <f t="shared" si="7"/>
        <v>13.545648149114234</v>
      </c>
      <c r="Q21" s="34">
        <f t="shared" si="8"/>
        <v>31.832273150418452</v>
      </c>
      <c r="R21" s="37">
        <f t="shared" si="9"/>
        <v>74.232838755624243</v>
      </c>
      <c r="S21" s="44"/>
      <c r="T21" s="44"/>
      <c r="U21" s="34">
        <f t="shared" si="1"/>
        <v>7.8879310344827589</v>
      </c>
      <c r="V21" s="34">
        <f t="shared" si="2"/>
        <v>7.8879310344827589</v>
      </c>
      <c r="W21" s="54">
        <f t="shared" si="3"/>
        <v>18639.181034482761</v>
      </c>
      <c r="X21" s="56">
        <f t="shared" si="4"/>
        <v>299.57158469945352</v>
      </c>
      <c r="Y21" s="44">
        <v>10.199999999999999</v>
      </c>
      <c r="Z21" s="44">
        <v>15.4</v>
      </c>
      <c r="AA21" s="60">
        <v>13</v>
      </c>
      <c r="AB21" s="44" t="s">
        <v>235</v>
      </c>
      <c r="AC21" s="44" t="s">
        <v>37</v>
      </c>
      <c r="AD21" s="44" t="s">
        <v>38</v>
      </c>
      <c r="AE21" s="39"/>
      <c r="AF21" s="39"/>
      <c r="AG21" s="39"/>
    </row>
    <row r="22" spans="1:33" s="61" customFormat="1">
      <c r="A22" s="44" t="s">
        <v>28</v>
      </c>
      <c r="B22" s="44" t="s">
        <v>59</v>
      </c>
      <c r="C22" s="44" t="s">
        <v>60</v>
      </c>
      <c r="D22" s="44" t="s">
        <v>31</v>
      </c>
      <c r="E22" s="44">
        <v>2018</v>
      </c>
      <c r="F22" s="44" t="s">
        <v>32</v>
      </c>
      <c r="G22" s="44">
        <v>1796</v>
      </c>
      <c r="H22" s="44" t="s">
        <v>33</v>
      </c>
      <c r="I22" s="44" t="s">
        <v>34</v>
      </c>
      <c r="J22" s="44" t="s">
        <v>35</v>
      </c>
      <c r="K22" s="59">
        <v>2305</v>
      </c>
      <c r="L22" s="44">
        <v>180</v>
      </c>
      <c r="M22" s="36">
        <f t="shared" si="5"/>
        <v>414900</v>
      </c>
      <c r="N22" s="37">
        <f t="shared" si="6"/>
        <v>169.92</v>
      </c>
      <c r="O22" s="34">
        <f t="shared" si="0"/>
        <v>13.752707156308853</v>
      </c>
      <c r="P22" s="34">
        <f t="shared" si="7"/>
        <v>13.752707156308853</v>
      </c>
      <c r="Q22" s="34">
        <f t="shared" si="8"/>
        <v>32.318861817325804</v>
      </c>
      <c r="R22" s="37">
        <f t="shared" si="9"/>
        <v>71.32058093593858</v>
      </c>
      <c r="S22" s="44"/>
      <c r="T22" s="44"/>
      <c r="U22" s="34">
        <f t="shared" si="1"/>
        <v>7.7586206896551726</v>
      </c>
      <c r="V22" s="34">
        <f t="shared" si="2"/>
        <v>7.7586206896551726</v>
      </c>
      <c r="W22" s="54">
        <f t="shared" si="3"/>
        <v>17883.620689655174</v>
      </c>
      <c r="X22" s="56">
        <f t="shared" si="4"/>
        <v>297.0888888888889</v>
      </c>
      <c r="Y22" s="44">
        <v>9.4</v>
      </c>
      <c r="Z22" s="44">
        <v>16.7</v>
      </c>
      <c r="AA22" s="60">
        <v>13</v>
      </c>
      <c r="AB22" s="44" t="s">
        <v>236</v>
      </c>
      <c r="AC22" s="44" t="s">
        <v>37</v>
      </c>
      <c r="AD22" s="44" t="s">
        <v>38</v>
      </c>
      <c r="AE22" s="39"/>
      <c r="AF22" s="39"/>
      <c r="AG22" s="39"/>
    </row>
    <row r="23" spans="1:33" s="61" customFormat="1">
      <c r="A23" s="44" t="s">
        <v>102</v>
      </c>
      <c r="B23" s="44" t="s">
        <v>137</v>
      </c>
      <c r="C23" s="44" t="s">
        <v>60</v>
      </c>
      <c r="D23" s="44" t="s">
        <v>175</v>
      </c>
      <c r="E23" s="44">
        <v>2018</v>
      </c>
      <c r="F23" s="44" t="s">
        <v>32</v>
      </c>
      <c r="G23" s="44">
        <v>2694</v>
      </c>
      <c r="H23" s="44" t="s">
        <v>33</v>
      </c>
      <c r="I23" s="44" t="s">
        <v>34</v>
      </c>
      <c r="J23" s="44" t="s">
        <v>74</v>
      </c>
      <c r="K23" s="59">
        <v>2122</v>
      </c>
      <c r="L23" s="44">
        <v>254</v>
      </c>
      <c r="M23" s="36">
        <f t="shared" si="5"/>
        <v>538988</v>
      </c>
      <c r="N23" s="37">
        <f t="shared" si="6"/>
        <v>233.98920000000001</v>
      </c>
      <c r="O23" s="34">
        <f t="shared" si="0"/>
        <v>9.9870421369875189</v>
      </c>
      <c r="P23" s="34">
        <f t="shared" si="7"/>
        <v>9.9870421369875189</v>
      </c>
      <c r="Q23" s="34">
        <f t="shared" si="8"/>
        <v>23.46954902192067</v>
      </c>
      <c r="R23" s="37">
        <f t="shared" si="9"/>
        <v>90.415030898891231</v>
      </c>
      <c r="S23" s="44"/>
      <c r="T23" s="44"/>
      <c r="U23" s="34">
        <f t="shared" si="1"/>
        <v>10.948275862068966</v>
      </c>
      <c r="V23" s="34">
        <f t="shared" si="2"/>
        <v>10.948275862068966</v>
      </c>
      <c r="W23" s="54">
        <f t="shared" si="3"/>
        <v>23232.241379310348</v>
      </c>
      <c r="X23" s="56">
        <f t="shared" si="4"/>
        <v>193.82047244094488</v>
      </c>
      <c r="Y23" s="44">
        <v>7.5</v>
      </c>
      <c r="Z23" s="44">
        <v>10.9</v>
      </c>
      <c r="AA23" s="60">
        <v>9.4</v>
      </c>
      <c r="AB23" s="44" t="s">
        <v>237</v>
      </c>
      <c r="AC23" s="44" t="s">
        <v>37</v>
      </c>
      <c r="AD23" s="44" t="s">
        <v>38</v>
      </c>
      <c r="AE23" s="39"/>
      <c r="AF23" s="39"/>
      <c r="AG23" s="39"/>
    </row>
    <row r="24" spans="1:33" s="61" customFormat="1">
      <c r="A24" s="44" t="s">
        <v>62</v>
      </c>
      <c r="B24" s="44" t="s">
        <v>85</v>
      </c>
      <c r="C24" s="44" t="s">
        <v>60</v>
      </c>
      <c r="D24" s="44" t="s">
        <v>31</v>
      </c>
      <c r="E24" s="44">
        <v>2018</v>
      </c>
      <c r="F24" s="44" t="s">
        <v>32</v>
      </c>
      <c r="G24" s="44">
        <v>1999</v>
      </c>
      <c r="H24" s="44" t="s">
        <v>33</v>
      </c>
      <c r="I24" s="44" t="s">
        <v>34</v>
      </c>
      <c r="J24" s="44" t="s">
        <v>74</v>
      </c>
      <c r="K24" s="59">
        <v>2071</v>
      </c>
      <c r="L24" s="44">
        <v>210</v>
      </c>
      <c r="M24" s="36">
        <f t="shared" si="5"/>
        <v>434910</v>
      </c>
      <c r="N24" s="37">
        <f t="shared" si="6"/>
        <v>195.89400000000001</v>
      </c>
      <c r="O24" s="34">
        <f t="shared" si="0"/>
        <v>11.929206611739001</v>
      </c>
      <c r="P24" s="34">
        <f t="shared" si="7"/>
        <v>11.929206611739001</v>
      </c>
      <c r="Q24" s="34">
        <f t="shared" si="8"/>
        <v>28.033635537586655</v>
      </c>
      <c r="R24" s="37">
        <f t="shared" si="9"/>
        <v>73.875541301921601</v>
      </c>
      <c r="S24" s="44"/>
      <c r="T24" s="44"/>
      <c r="U24" s="34">
        <f t="shared" si="1"/>
        <v>9.0517241379310356</v>
      </c>
      <c r="V24" s="34">
        <f t="shared" si="2"/>
        <v>9.0517241379310356</v>
      </c>
      <c r="W24" s="54">
        <f t="shared" si="3"/>
        <v>18746.120689655174</v>
      </c>
      <c r="X24" s="56">
        <f t="shared" si="4"/>
        <v>228.79619047619045</v>
      </c>
      <c r="Y24" s="44">
        <v>8.3000000000000007</v>
      </c>
      <c r="Z24" s="44">
        <v>13.8</v>
      </c>
      <c r="AA24" s="60">
        <v>11.1</v>
      </c>
      <c r="AB24" s="44" t="s">
        <v>86</v>
      </c>
      <c r="AC24" s="44" t="s">
        <v>37</v>
      </c>
      <c r="AD24" s="44" t="s">
        <v>38</v>
      </c>
      <c r="AE24" s="39"/>
      <c r="AF24" s="39"/>
      <c r="AG24" s="39"/>
    </row>
    <row r="25" spans="1:33" s="61" customFormat="1">
      <c r="A25" s="44" t="s">
        <v>135</v>
      </c>
      <c r="B25" s="44" t="s">
        <v>238</v>
      </c>
      <c r="C25" s="44" t="s">
        <v>60</v>
      </c>
      <c r="D25" s="44" t="s">
        <v>40</v>
      </c>
      <c r="E25" s="44">
        <v>2018</v>
      </c>
      <c r="F25" s="44" t="s">
        <v>32</v>
      </c>
      <c r="G25" s="44">
        <v>1586</v>
      </c>
      <c r="H25" s="44" t="s">
        <v>33</v>
      </c>
      <c r="I25" s="44" t="s">
        <v>34</v>
      </c>
      <c r="J25" s="44" t="s">
        <v>35</v>
      </c>
      <c r="K25" s="59">
        <v>2071</v>
      </c>
      <c r="L25" s="44">
        <v>150</v>
      </c>
      <c r="M25" s="36">
        <f t="shared" si="5"/>
        <v>310650</v>
      </c>
      <c r="N25" s="37">
        <f t="shared" si="6"/>
        <v>143.946</v>
      </c>
      <c r="O25" s="34">
        <f t="shared" si="0"/>
        <v>16.234282300307061</v>
      </c>
      <c r="P25" s="34">
        <f t="shared" si="7"/>
        <v>16.234282300307061</v>
      </c>
      <c r="Q25" s="34">
        <f t="shared" si="8"/>
        <v>38.150563405721599</v>
      </c>
      <c r="R25" s="37">
        <f t="shared" si="9"/>
        <v>54.284912596845253</v>
      </c>
      <c r="S25" s="44"/>
      <c r="T25" s="44"/>
      <c r="U25" s="34">
        <f t="shared" si="1"/>
        <v>6.4655172413793105</v>
      </c>
      <c r="V25" s="34">
        <f t="shared" si="2"/>
        <v>6.4655172413793105</v>
      </c>
      <c r="W25" s="54">
        <f t="shared" si="3"/>
        <v>13390.086206896553</v>
      </c>
      <c r="X25" s="56">
        <f t="shared" si="4"/>
        <v>320.31466666666665</v>
      </c>
      <c r="Y25" s="44">
        <v>12.9</v>
      </c>
      <c r="Z25" s="44">
        <v>18.3</v>
      </c>
      <c r="AA25" s="60">
        <v>15.9</v>
      </c>
      <c r="AB25" s="44" t="s">
        <v>239</v>
      </c>
      <c r="AC25" s="44" t="s">
        <v>37</v>
      </c>
      <c r="AD25" s="44" t="s">
        <v>38</v>
      </c>
      <c r="AE25" s="39"/>
      <c r="AF25" s="39"/>
      <c r="AG25" s="39"/>
    </row>
    <row r="26" spans="1:33" s="61" customFormat="1">
      <c r="A26" s="44" t="s">
        <v>102</v>
      </c>
      <c r="B26" s="44" t="s">
        <v>240</v>
      </c>
      <c r="C26" s="44" t="s">
        <v>94</v>
      </c>
      <c r="D26" s="44" t="s">
        <v>175</v>
      </c>
      <c r="E26" s="44">
        <v>2018</v>
      </c>
      <c r="F26" s="44" t="s">
        <v>103</v>
      </c>
      <c r="G26" s="44">
        <v>2982</v>
      </c>
      <c r="H26" s="44" t="s">
        <v>33</v>
      </c>
      <c r="I26" s="44" t="s">
        <v>34</v>
      </c>
      <c r="J26" s="44" t="s">
        <v>74</v>
      </c>
      <c r="K26" s="59">
        <v>2028</v>
      </c>
      <c r="L26" s="44">
        <v>225</v>
      </c>
      <c r="M26" s="36">
        <f t="shared" si="5"/>
        <v>456300</v>
      </c>
      <c r="N26" s="37">
        <f t="shared" si="6"/>
        <v>196.7955</v>
      </c>
      <c r="O26" s="34">
        <f t="shared" si="0"/>
        <v>13.640555805391891</v>
      </c>
      <c r="P26" s="34">
        <f t="shared" si="7"/>
        <v>12.630144264251751</v>
      </c>
      <c r="Q26" s="34">
        <f t="shared" si="8"/>
        <v>29.680839020991616</v>
      </c>
      <c r="R26" s="37">
        <f t="shared" si="9"/>
        <v>68.326909443688834</v>
      </c>
      <c r="S26" s="44"/>
      <c r="T26" s="44"/>
      <c r="U26" s="34">
        <f t="shared" si="1"/>
        <v>8.400537634408602</v>
      </c>
      <c r="V26" s="34">
        <f t="shared" si="2"/>
        <v>9.07258064516129</v>
      </c>
      <c r="W26" s="54">
        <f t="shared" si="3"/>
        <v>18399.193548387095</v>
      </c>
      <c r="X26" s="56">
        <f t="shared" si="4"/>
        <v>223.53066666666666</v>
      </c>
      <c r="Y26" s="44">
        <v>11.76</v>
      </c>
      <c r="Z26" s="44">
        <v>9.43</v>
      </c>
      <c r="AA26" s="60">
        <v>13.7</v>
      </c>
      <c r="AB26" s="44" t="s">
        <v>104</v>
      </c>
      <c r="AC26" s="44" t="s">
        <v>105</v>
      </c>
      <c r="AD26" s="44" t="s">
        <v>162</v>
      </c>
      <c r="AE26" s="39"/>
      <c r="AF26" s="39"/>
      <c r="AG26" s="39"/>
    </row>
    <row r="27" spans="1:33" s="61" customFormat="1">
      <c r="A27" s="44" t="s">
        <v>90</v>
      </c>
      <c r="B27" s="44" t="s">
        <v>127</v>
      </c>
      <c r="C27" s="44" t="s">
        <v>30</v>
      </c>
      <c r="D27" s="44" t="s">
        <v>31</v>
      </c>
      <c r="E27" s="44">
        <v>2018</v>
      </c>
      <c r="F27" s="44" t="s">
        <v>32</v>
      </c>
      <c r="G27" s="44">
        <v>1598</v>
      </c>
      <c r="H27" s="44" t="s">
        <v>33</v>
      </c>
      <c r="I27" s="44" t="s">
        <v>34</v>
      </c>
      <c r="J27" s="44" t="s">
        <v>35</v>
      </c>
      <c r="K27" s="59">
        <v>1885</v>
      </c>
      <c r="L27" s="44">
        <v>164</v>
      </c>
      <c r="M27" s="36">
        <f t="shared" si="5"/>
        <v>309140</v>
      </c>
      <c r="N27" s="37">
        <f t="shared" si="6"/>
        <v>156.06719999999999</v>
      </c>
      <c r="O27" s="34">
        <f t="shared" si="0"/>
        <v>14.973421705521726</v>
      </c>
      <c r="P27" s="34">
        <f t="shared" si="7"/>
        <v>14.973421705521726</v>
      </c>
      <c r="Q27" s="34">
        <f t="shared" si="8"/>
        <v>35.187541007976058</v>
      </c>
      <c r="R27" s="37">
        <f t="shared" si="9"/>
        <v>53.570097426606814</v>
      </c>
      <c r="S27" s="44"/>
      <c r="T27" s="44"/>
      <c r="U27" s="34">
        <f t="shared" si="1"/>
        <v>7.0689655172413799</v>
      </c>
      <c r="V27" s="34">
        <f t="shared" si="2"/>
        <v>7.0689655172413799</v>
      </c>
      <c r="W27" s="54">
        <f t="shared" si="3"/>
        <v>13325.000000000002</v>
      </c>
      <c r="X27" s="56">
        <f t="shared" si="4"/>
        <v>266.65853658536582</v>
      </c>
      <c r="Y27" s="44">
        <v>10.8</v>
      </c>
      <c r="Z27" s="44">
        <v>18</v>
      </c>
      <c r="AA27" s="60">
        <v>14.4</v>
      </c>
      <c r="AB27" s="44" t="s">
        <v>128</v>
      </c>
      <c r="AC27" s="44" t="s">
        <v>37</v>
      </c>
      <c r="AD27" s="44" t="s">
        <v>38</v>
      </c>
      <c r="AE27" s="39"/>
      <c r="AF27" s="39"/>
      <c r="AG27" s="39"/>
    </row>
    <row r="28" spans="1:33" s="61" customFormat="1">
      <c r="A28" s="44" t="s">
        <v>68</v>
      </c>
      <c r="B28" s="44" t="s">
        <v>172</v>
      </c>
      <c r="C28" s="44" t="s">
        <v>60</v>
      </c>
      <c r="D28" s="44" t="s">
        <v>40</v>
      </c>
      <c r="E28" s="44">
        <v>2018</v>
      </c>
      <c r="F28" s="44" t="s">
        <v>32</v>
      </c>
      <c r="G28" s="44">
        <v>1598</v>
      </c>
      <c r="H28" s="44" t="s">
        <v>33</v>
      </c>
      <c r="I28" s="44" t="s">
        <v>34</v>
      </c>
      <c r="J28" s="44" t="s">
        <v>74</v>
      </c>
      <c r="K28" s="59">
        <v>1859</v>
      </c>
      <c r="L28" s="44">
        <v>156</v>
      </c>
      <c r="M28" s="36">
        <f t="shared" si="5"/>
        <v>290004</v>
      </c>
      <c r="N28" s="37">
        <f t="shared" si="6"/>
        <v>149.14079999999998</v>
      </c>
      <c r="O28" s="34">
        <f t="shared" si="0"/>
        <v>15.668817654189869</v>
      </c>
      <c r="P28" s="34">
        <f t="shared" si="7"/>
        <v>15.668817654189869</v>
      </c>
      <c r="Q28" s="34">
        <f t="shared" si="8"/>
        <v>36.821721487346196</v>
      </c>
      <c r="R28" s="37">
        <f t="shared" si="9"/>
        <v>50.486504294451478</v>
      </c>
      <c r="S28" s="44"/>
      <c r="T28" s="44"/>
      <c r="U28" s="34">
        <f t="shared" si="1"/>
        <v>6.7241379310344831</v>
      </c>
      <c r="V28" s="34">
        <f t="shared" si="2"/>
        <v>6.7241379310344831</v>
      </c>
      <c r="W28" s="54">
        <f t="shared" si="3"/>
        <v>12500.172413793103</v>
      </c>
      <c r="X28" s="56">
        <f t="shared" si="4"/>
        <v>276.46666666666664</v>
      </c>
      <c r="Y28" s="44">
        <v>11.9</v>
      </c>
      <c r="Z28" s="44">
        <v>18.100000000000001</v>
      </c>
      <c r="AA28" s="60">
        <v>15.2</v>
      </c>
      <c r="AB28" s="44" t="s">
        <v>242</v>
      </c>
      <c r="AC28" s="44" t="s">
        <v>37</v>
      </c>
      <c r="AD28" s="44" t="s">
        <v>38</v>
      </c>
      <c r="AE28" s="39"/>
      <c r="AF28" s="39"/>
      <c r="AG28" s="39"/>
    </row>
    <row r="29" spans="1:33" s="61" customFormat="1">
      <c r="A29" s="44" t="s">
        <v>102</v>
      </c>
      <c r="B29" s="44" t="s">
        <v>174</v>
      </c>
      <c r="C29" s="44" t="s">
        <v>88</v>
      </c>
      <c r="D29" s="44" t="s">
        <v>175</v>
      </c>
      <c r="E29" s="44">
        <v>2018</v>
      </c>
      <c r="F29" s="44" t="s">
        <v>103</v>
      </c>
      <c r="G29" s="44">
        <v>2393</v>
      </c>
      <c r="H29" s="44" t="s">
        <v>33</v>
      </c>
      <c r="I29" s="44" t="s">
        <v>34</v>
      </c>
      <c r="J29" s="44" t="s">
        <v>35</v>
      </c>
      <c r="K29" s="59">
        <v>1819</v>
      </c>
      <c r="L29" s="44">
        <v>202</v>
      </c>
      <c r="M29" s="36">
        <f t="shared" si="5"/>
        <v>367438</v>
      </c>
      <c r="N29" s="37">
        <f t="shared" si="6"/>
        <v>179.12459999999999</v>
      </c>
      <c r="O29" s="34">
        <f t="shared" si="0"/>
        <v>14.986216298598855</v>
      </c>
      <c r="P29" s="34">
        <f t="shared" si="7"/>
        <v>13.876126202406345</v>
      </c>
      <c r="Q29" s="34">
        <f t="shared" si="8"/>
        <v>32.60889657565491</v>
      </c>
      <c r="R29" s="37">
        <f t="shared" si="9"/>
        <v>55.78232295532581</v>
      </c>
      <c r="S29" s="44"/>
      <c r="T29" s="44"/>
      <c r="U29" s="34">
        <f t="shared" si="1"/>
        <v>7.5418160095579445</v>
      </c>
      <c r="V29" s="34">
        <f t="shared" si="2"/>
        <v>8.1451612903225801</v>
      </c>
      <c r="W29" s="54">
        <f t="shared" si="3"/>
        <v>14816.048387096773</v>
      </c>
      <c r="X29" s="56">
        <f t="shared" si="4"/>
        <v>223.32277227722773</v>
      </c>
      <c r="Y29" s="44">
        <v>10.9</v>
      </c>
      <c r="Z29" s="44">
        <v>14.8</v>
      </c>
      <c r="AA29" s="60">
        <v>13.1</v>
      </c>
      <c r="AB29" s="44" t="s">
        <v>187</v>
      </c>
      <c r="AC29" s="44" t="s">
        <v>37</v>
      </c>
      <c r="AD29" s="44" t="s">
        <v>38</v>
      </c>
      <c r="AE29" s="39"/>
      <c r="AF29" s="39"/>
      <c r="AG29" s="39"/>
    </row>
    <row r="30" spans="1:33" s="61" customFormat="1">
      <c r="A30" s="44" t="s">
        <v>68</v>
      </c>
      <c r="B30" s="44" t="s">
        <v>172</v>
      </c>
      <c r="C30" s="44" t="s">
        <v>60</v>
      </c>
      <c r="D30" s="44" t="s">
        <v>40</v>
      </c>
      <c r="E30" s="44">
        <v>2018</v>
      </c>
      <c r="F30" s="44" t="s">
        <v>32</v>
      </c>
      <c r="G30" s="44">
        <v>1598</v>
      </c>
      <c r="H30" s="44" t="s">
        <v>33</v>
      </c>
      <c r="I30" s="44" t="s">
        <v>34</v>
      </c>
      <c r="J30" s="44" t="s">
        <v>35</v>
      </c>
      <c r="K30" s="59">
        <v>1766</v>
      </c>
      <c r="L30" s="44">
        <v>162</v>
      </c>
      <c r="M30" s="36">
        <f t="shared" si="5"/>
        <v>286092</v>
      </c>
      <c r="N30" s="37">
        <f t="shared" si="6"/>
        <v>154.3356</v>
      </c>
      <c r="O30" s="34">
        <f t="shared" si="0"/>
        <v>15.141419089309272</v>
      </c>
      <c r="P30" s="34">
        <f t="shared" si="7"/>
        <v>15.141419089309272</v>
      </c>
      <c r="Q30" s="34">
        <f t="shared" si="8"/>
        <v>35.582334859876788</v>
      </c>
      <c r="R30" s="37">
        <f t="shared" si="9"/>
        <v>49.631369244163061</v>
      </c>
      <c r="S30" s="44"/>
      <c r="T30" s="44"/>
      <c r="U30" s="34">
        <f t="shared" si="1"/>
        <v>6.9827586206896557</v>
      </c>
      <c r="V30" s="34">
        <f t="shared" si="2"/>
        <v>6.9827586206896557</v>
      </c>
      <c r="W30" s="54">
        <f t="shared" si="3"/>
        <v>12331.551724137931</v>
      </c>
      <c r="X30" s="56">
        <f t="shared" si="4"/>
        <v>252.90864197530863</v>
      </c>
      <c r="Y30" s="44">
        <v>11.1</v>
      </c>
      <c r="Z30" s="44">
        <v>18</v>
      </c>
      <c r="AA30" s="60">
        <v>14.6</v>
      </c>
      <c r="AB30" s="44" t="s">
        <v>173</v>
      </c>
      <c r="AC30" s="44" t="s">
        <v>37</v>
      </c>
      <c r="AD30" s="44" t="s">
        <v>38</v>
      </c>
      <c r="AE30" s="39"/>
      <c r="AF30" s="39"/>
      <c r="AG30" s="39"/>
    </row>
    <row r="31" spans="1:33" s="61" customFormat="1">
      <c r="A31" s="44" t="s">
        <v>43</v>
      </c>
      <c r="B31" s="44" t="s">
        <v>76</v>
      </c>
      <c r="C31" s="44" t="s">
        <v>94</v>
      </c>
      <c r="D31" s="44" t="s">
        <v>31</v>
      </c>
      <c r="E31" s="44">
        <v>2018</v>
      </c>
      <c r="F31" s="44" t="s">
        <v>32</v>
      </c>
      <c r="G31" s="44">
        <v>1998</v>
      </c>
      <c r="H31" s="44" t="s">
        <v>33</v>
      </c>
      <c r="I31" s="44" t="s">
        <v>34</v>
      </c>
      <c r="J31" s="44" t="s">
        <v>35</v>
      </c>
      <c r="K31" s="59">
        <v>1712</v>
      </c>
      <c r="L31" s="44">
        <v>236</v>
      </c>
      <c r="M31" s="36">
        <f t="shared" si="5"/>
        <v>404032</v>
      </c>
      <c r="N31" s="37">
        <f t="shared" si="6"/>
        <v>218.40479999999999</v>
      </c>
      <c r="O31" s="34">
        <f t="shared" si="0"/>
        <v>10.6996732672542</v>
      </c>
      <c r="P31" s="34">
        <f t="shared" si="7"/>
        <v>10.6996732672542</v>
      </c>
      <c r="Q31" s="34">
        <f t="shared" si="8"/>
        <v>25.144232178047371</v>
      </c>
      <c r="R31" s="37">
        <f t="shared" si="9"/>
        <v>68.087185477657684</v>
      </c>
      <c r="S31" s="44"/>
      <c r="T31" s="44"/>
      <c r="U31" s="34">
        <f t="shared" si="1"/>
        <v>10.172413793103448</v>
      </c>
      <c r="V31" s="34">
        <f t="shared" si="2"/>
        <v>10.172413793103448</v>
      </c>
      <c r="W31" s="54">
        <f t="shared" si="3"/>
        <v>17415.172413793105</v>
      </c>
      <c r="X31" s="56">
        <f t="shared" si="4"/>
        <v>168.29830508474575</v>
      </c>
      <c r="Y31" s="44">
        <v>7.2</v>
      </c>
      <c r="Z31" s="44">
        <v>13.1</v>
      </c>
      <c r="AA31" s="60">
        <v>10.1</v>
      </c>
      <c r="AB31" s="44" t="s">
        <v>95</v>
      </c>
      <c r="AC31" s="44" t="s">
        <v>37</v>
      </c>
      <c r="AD31" s="44" t="s">
        <v>38</v>
      </c>
    </row>
    <row r="32" spans="1:33" s="61" customFormat="1">
      <c r="A32" s="44" t="s">
        <v>68</v>
      </c>
      <c r="B32" s="44" t="s">
        <v>69</v>
      </c>
      <c r="C32" s="44" t="s">
        <v>30</v>
      </c>
      <c r="D32" s="44" t="s">
        <v>40</v>
      </c>
      <c r="E32" s="44">
        <v>2018</v>
      </c>
      <c r="F32" s="44" t="s">
        <v>32</v>
      </c>
      <c r="G32" s="44">
        <v>1598</v>
      </c>
      <c r="H32" s="44" t="s">
        <v>33</v>
      </c>
      <c r="I32" s="44" t="s">
        <v>34</v>
      </c>
      <c r="J32" s="44" t="s">
        <v>74</v>
      </c>
      <c r="K32" s="59">
        <v>1689</v>
      </c>
      <c r="L32" s="44">
        <v>166</v>
      </c>
      <c r="M32" s="36">
        <f t="shared" si="5"/>
        <v>280374</v>
      </c>
      <c r="N32" s="37">
        <f t="shared" si="6"/>
        <v>157.7988</v>
      </c>
      <c r="O32" s="34">
        <f t="shared" si="0"/>
        <v>14.809111349389223</v>
      </c>
      <c r="P32" s="34">
        <f t="shared" si="7"/>
        <v>14.809111349389223</v>
      </c>
      <c r="Q32" s="34">
        <f t="shared" si="8"/>
        <v>34.801411671064677</v>
      </c>
      <c r="R32" s="37">
        <f t="shared" si="9"/>
        <v>48.532514024547574</v>
      </c>
      <c r="S32" s="44"/>
      <c r="T32" s="44"/>
      <c r="U32" s="34">
        <f t="shared" si="1"/>
        <v>7.1551724137931041</v>
      </c>
      <c r="V32" s="34">
        <f t="shared" si="2"/>
        <v>7.1551724137931041</v>
      </c>
      <c r="W32" s="54">
        <f t="shared" si="3"/>
        <v>12085.086206896553</v>
      </c>
      <c r="X32" s="56">
        <f t="shared" si="4"/>
        <v>236.05301204819276</v>
      </c>
      <c r="Y32" s="44">
        <v>10.5</v>
      </c>
      <c r="Z32" s="44">
        <v>18.100000000000001</v>
      </c>
      <c r="AA32" s="60">
        <v>14.3</v>
      </c>
      <c r="AB32" s="44" t="s">
        <v>243</v>
      </c>
      <c r="AC32" s="44" t="s">
        <v>37</v>
      </c>
      <c r="AD32" s="44" t="s">
        <v>38</v>
      </c>
    </row>
    <row r="33" spans="1:30" s="61" customFormat="1">
      <c r="A33" s="44" t="s">
        <v>151</v>
      </c>
      <c r="B33" s="44" t="s">
        <v>152</v>
      </c>
      <c r="C33" s="44" t="s">
        <v>30</v>
      </c>
      <c r="D33" s="44" t="s">
        <v>40</v>
      </c>
      <c r="E33" s="44">
        <v>2018</v>
      </c>
      <c r="F33" s="44" t="s">
        <v>32</v>
      </c>
      <c r="G33" s="44">
        <v>1248</v>
      </c>
      <c r="H33" s="44" t="s">
        <v>33</v>
      </c>
      <c r="I33" s="44" t="s">
        <v>34</v>
      </c>
      <c r="J33" s="44" t="s">
        <v>35</v>
      </c>
      <c r="K33" s="59">
        <v>1662</v>
      </c>
      <c r="L33" s="44">
        <v>141</v>
      </c>
      <c r="M33" s="36">
        <f t="shared" si="5"/>
        <v>234342</v>
      </c>
      <c r="N33" s="37">
        <f t="shared" si="6"/>
        <v>136.15379999999999</v>
      </c>
      <c r="O33" s="34">
        <f t="shared" si="0"/>
        <v>17.163384349169839</v>
      </c>
      <c r="P33" s="34">
        <f t="shared" si="7"/>
        <v>17.163384349169839</v>
      </c>
      <c r="Q33" s="34">
        <f t="shared" si="8"/>
        <v>40.33395322054912</v>
      </c>
      <c r="R33" s="37">
        <f t="shared" si="9"/>
        <v>41.205978271260882</v>
      </c>
      <c r="S33" s="44"/>
      <c r="T33" s="44"/>
      <c r="U33" s="34">
        <f t="shared" si="1"/>
        <v>6.0775862068965516</v>
      </c>
      <c r="V33" s="34">
        <f t="shared" si="2"/>
        <v>6.0775862068965516</v>
      </c>
      <c r="W33" s="54">
        <f t="shared" si="3"/>
        <v>10100.948275862069</v>
      </c>
      <c r="X33" s="56">
        <f t="shared" si="4"/>
        <v>273.46382978723403</v>
      </c>
      <c r="Y33" s="44">
        <v>13.1</v>
      </c>
      <c r="Z33" s="44">
        <v>20.2</v>
      </c>
      <c r="AA33" s="60">
        <v>16.8</v>
      </c>
      <c r="AB33" s="44" t="s">
        <v>153</v>
      </c>
      <c r="AC33" s="44" t="s">
        <v>37</v>
      </c>
      <c r="AD33" s="44" t="s">
        <v>38</v>
      </c>
    </row>
    <row r="34" spans="1:30" s="61" customFormat="1">
      <c r="A34" s="44" t="s">
        <v>68</v>
      </c>
      <c r="B34" s="44" t="s">
        <v>129</v>
      </c>
      <c r="C34" s="44" t="s">
        <v>60</v>
      </c>
      <c r="D34" s="44" t="s">
        <v>31</v>
      </c>
      <c r="E34" s="44">
        <v>2018</v>
      </c>
      <c r="F34" s="44" t="s">
        <v>32</v>
      </c>
      <c r="G34" s="44">
        <v>2488</v>
      </c>
      <c r="H34" s="44" t="s">
        <v>33</v>
      </c>
      <c r="I34" s="44" t="s">
        <v>34</v>
      </c>
      <c r="J34" s="44" t="s">
        <v>74</v>
      </c>
      <c r="K34" s="59">
        <v>1618</v>
      </c>
      <c r="L34" s="44">
        <v>196</v>
      </c>
      <c r="M34" s="36">
        <f t="shared" si="5"/>
        <v>317128</v>
      </c>
      <c r="N34" s="37">
        <f t="shared" si="6"/>
        <v>183.77279999999999</v>
      </c>
      <c r="O34" s="34">
        <f t="shared" si="0"/>
        <v>12.716027616709329</v>
      </c>
      <c r="P34" s="34">
        <f t="shared" si="7"/>
        <v>12.716027616709329</v>
      </c>
      <c r="Q34" s="34">
        <f t="shared" si="8"/>
        <v>29.882664899266924</v>
      </c>
      <c r="R34" s="37">
        <f t="shared" si="9"/>
        <v>54.145104041229352</v>
      </c>
      <c r="S34" s="44"/>
      <c r="T34" s="44"/>
      <c r="U34" s="34">
        <f t="shared" si="1"/>
        <v>8.4482758620689662</v>
      </c>
      <c r="V34" s="34">
        <f t="shared" si="2"/>
        <v>8.4482758620689662</v>
      </c>
      <c r="W34" s="54">
        <f t="shared" si="3"/>
        <v>13669.310344827587</v>
      </c>
      <c r="X34" s="56">
        <f t="shared" si="4"/>
        <v>191.51836734693876</v>
      </c>
      <c r="Y34" s="44">
        <v>9.1</v>
      </c>
      <c r="Z34" s="44">
        <v>15.1</v>
      </c>
      <c r="AA34" s="60">
        <v>12.2</v>
      </c>
      <c r="AB34" s="44" t="s">
        <v>244</v>
      </c>
      <c r="AC34" s="44" t="s">
        <v>37</v>
      </c>
      <c r="AD34" s="44" t="s">
        <v>38</v>
      </c>
    </row>
    <row r="35" spans="1:30" s="61" customFormat="1">
      <c r="A35" s="44" t="s">
        <v>68</v>
      </c>
      <c r="B35" s="44" t="s">
        <v>96</v>
      </c>
      <c r="C35" s="44" t="s">
        <v>30</v>
      </c>
      <c r="D35" s="44" t="s">
        <v>31</v>
      </c>
      <c r="E35" s="44">
        <v>2018</v>
      </c>
      <c r="F35" s="44" t="s">
        <v>32</v>
      </c>
      <c r="G35" s="44">
        <v>1598</v>
      </c>
      <c r="H35" s="44" t="s">
        <v>33</v>
      </c>
      <c r="I35" s="44" t="s">
        <v>34</v>
      </c>
      <c r="J35" s="44" t="s">
        <v>35</v>
      </c>
      <c r="K35" s="59">
        <v>1550</v>
      </c>
      <c r="L35" s="44">
        <v>155</v>
      </c>
      <c r="M35" s="36">
        <f t="shared" si="5"/>
        <v>240250</v>
      </c>
      <c r="N35" s="37">
        <f t="shared" si="6"/>
        <v>148.27500000000001</v>
      </c>
      <c r="O35" s="34">
        <f t="shared" si="0"/>
        <v>15.760310234361828</v>
      </c>
      <c r="P35" s="34">
        <f t="shared" si="7"/>
        <v>15.760310234361828</v>
      </c>
      <c r="Q35" s="34">
        <f t="shared" si="8"/>
        <v>37.036729050750296</v>
      </c>
      <c r="R35" s="37">
        <f t="shared" si="9"/>
        <v>41.850348011998641</v>
      </c>
      <c r="S35" s="44"/>
      <c r="T35" s="44"/>
      <c r="U35" s="34">
        <f t="shared" si="1"/>
        <v>6.681034482758621</v>
      </c>
      <c r="V35" s="34">
        <f t="shared" si="2"/>
        <v>6.681034482758621</v>
      </c>
      <c r="W35" s="54">
        <f t="shared" si="3"/>
        <v>10355.603448275862</v>
      </c>
      <c r="X35" s="56">
        <f t="shared" si="4"/>
        <v>232</v>
      </c>
      <c r="Y35" s="44">
        <v>11.6</v>
      </c>
      <c r="Z35" s="44">
        <v>19</v>
      </c>
      <c r="AA35" s="60">
        <v>15.4</v>
      </c>
      <c r="AB35" s="44" t="s">
        <v>97</v>
      </c>
      <c r="AC35" s="44" t="s">
        <v>37</v>
      </c>
      <c r="AD35" s="44" t="s">
        <v>38</v>
      </c>
    </row>
    <row r="36" spans="1:30" s="61" customFormat="1">
      <c r="A36" s="44" t="s">
        <v>62</v>
      </c>
      <c r="B36" s="44" t="s">
        <v>73</v>
      </c>
      <c r="C36" s="44" t="s">
        <v>60</v>
      </c>
      <c r="D36" s="44" t="s">
        <v>31</v>
      </c>
      <c r="E36" s="44">
        <v>2018</v>
      </c>
      <c r="F36" s="44" t="s">
        <v>32</v>
      </c>
      <c r="G36" s="44">
        <v>1999</v>
      </c>
      <c r="H36" s="44" t="s">
        <v>33</v>
      </c>
      <c r="I36" s="44" t="s">
        <v>34</v>
      </c>
      <c r="J36" s="44" t="s">
        <v>74</v>
      </c>
      <c r="K36" s="59">
        <v>1513</v>
      </c>
      <c r="L36" s="44">
        <v>176</v>
      </c>
      <c r="M36" s="36">
        <f t="shared" si="5"/>
        <v>266288</v>
      </c>
      <c r="N36" s="37">
        <f t="shared" si="6"/>
        <v>166.45679999999999</v>
      </c>
      <c r="O36" s="34">
        <f t="shared" si="0"/>
        <v>14.03883770443743</v>
      </c>
      <c r="P36" s="34">
        <f t="shared" si="7"/>
        <v>14.03883770443743</v>
      </c>
      <c r="Q36" s="34">
        <f t="shared" si="8"/>
        <v>32.991268605427962</v>
      </c>
      <c r="R36" s="37">
        <f t="shared" si="9"/>
        <v>45.860619004843919</v>
      </c>
      <c r="S36" s="44"/>
      <c r="T36" s="44"/>
      <c r="U36" s="34">
        <f t="shared" si="1"/>
        <v>7.5862068965517242</v>
      </c>
      <c r="V36" s="34">
        <f t="shared" si="2"/>
        <v>7.5862068965517242</v>
      </c>
      <c r="W36" s="54">
        <f t="shared" si="3"/>
        <v>11477.931034482759</v>
      </c>
      <c r="X36" s="56">
        <f t="shared" si="4"/>
        <v>199.44090909090909</v>
      </c>
      <c r="Y36" s="44">
        <v>10.1</v>
      </c>
      <c r="Z36" s="44">
        <v>16.8</v>
      </c>
      <c r="AA36" s="60">
        <v>13.6</v>
      </c>
      <c r="AB36" s="44" t="s">
        <v>75</v>
      </c>
      <c r="AC36" s="44" t="s">
        <v>37</v>
      </c>
      <c r="AD36" s="44" t="s">
        <v>38</v>
      </c>
    </row>
    <row r="37" spans="1:30" s="61" customFormat="1">
      <c r="A37" s="44" t="s">
        <v>68</v>
      </c>
      <c r="B37" s="44" t="s">
        <v>96</v>
      </c>
      <c r="C37" s="44" t="s">
        <v>30</v>
      </c>
      <c r="D37" s="44" t="s">
        <v>31</v>
      </c>
      <c r="E37" s="44">
        <v>2018</v>
      </c>
      <c r="F37" s="44" t="s">
        <v>32</v>
      </c>
      <c r="G37" s="44">
        <v>1598</v>
      </c>
      <c r="H37" s="44" t="s">
        <v>33</v>
      </c>
      <c r="I37" s="44" t="s">
        <v>34</v>
      </c>
      <c r="J37" s="44" t="s">
        <v>74</v>
      </c>
      <c r="K37" s="59">
        <v>1501</v>
      </c>
      <c r="L37" s="44">
        <v>161</v>
      </c>
      <c r="M37" s="36">
        <f t="shared" si="5"/>
        <v>241661</v>
      </c>
      <c r="N37" s="37">
        <f t="shared" si="6"/>
        <v>153.46979999999999</v>
      </c>
      <c r="O37" s="34">
        <f t="shared" si="0"/>
        <v>15.226839417266461</v>
      </c>
      <c r="P37" s="34">
        <f t="shared" si="7"/>
        <v>15.226839417266461</v>
      </c>
      <c r="Q37" s="34">
        <f t="shared" si="8"/>
        <v>35.783072630576186</v>
      </c>
      <c r="R37" s="37">
        <f t="shared" si="9"/>
        <v>41.947208265100585</v>
      </c>
      <c r="S37" s="44"/>
      <c r="T37" s="44"/>
      <c r="U37" s="34">
        <f t="shared" si="1"/>
        <v>6.9396551724137936</v>
      </c>
      <c r="V37" s="34">
        <f t="shared" si="2"/>
        <v>6.9396551724137936</v>
      </c>
      <c r="W37" s="54">
        <f t="shared" si="3"/>
        <v>10416.422413793105</v>
      </c>
      <c r="X37" s="56">
        <f t="shared" si="4"/>
        <v>216.29316770186333</v>
      </c>
      <c r="Y37" s="44">
        <v>11</v>
      </c>
      <c r="Z37" s="44">
        <v>18.399999999999999</v>
      </c>
      <c r="AA37" s="60">
        <v>14.8</v>
      </c>
      <c r="AB37" s="44" t="s">
        <v>245</v>
      </c>
      <c r="AC37" s="44" t="s">
        <v>37</v>
      </c>
      <c r="AD37" s="44" t="s">
        <v>38</v>
      </c>
    </row>
    <row r="38" spans="1:30" s="61" customFormat="1">
      <c r="A38" s="44" t="s">
        <v>28</v>
      </c>
      <c r="B38" s="44" t="s">
        <v>107</v>
      </c>
      <c r="C38" s="44" t="s">
        <v>30</v>
      </c>
      <c r="D38" s="44" t="s">
        <v>31</v>
      </c>
      <c r="E38" s="44">
        <v>2018</v>
      </c>
      <c r="F38" s="44" t="s">
        <v>32</v>
      </c>
      <c r="G38" s="44">
        <v>1389</v>
      </c>
      <c r="H38" s="44" t="s">
        <v>33</v>
      </c>
      <c r="I38" s="44" t="s">
        <v>34</v>
      </c>
      <c r="J38" s="44" t="s">
        <v>74</v>
      </c>
      <c r="K38" s="59">
        <v>1443</v>
      </c>
      <c r="L38" s="44">
        <v>165</v>
      </c>
      <c r="M38" s="36">
        <f t="shared" si="5"/>
        <v>238095</v>
      </c>
      <c r="N38" s="37">
        <f t="shared" si="6"/>
        <v>156.93299999999999</v>
      </c>
      <c r="O38" s="34">
        <f t="shared" si="0"/>
        <v>14.890813277003563</v>
      </c>
      <c r="P38" s="34">
        <f t="shared" si="7"/>
        <v>14.890813277003563</v>
      </c>
      <c r="Q38" s="34">
        <f t="shared" si="8"/>
        <v>34.993411200958377</v>
      </c>
      <c r="R38" s="37">
        <f t="shared" si="9"/>
        <v>41.236334226269435</v>
      </c>
      <c r="S38" s="44"/>
      <c r="T38" s="44"/>
      <c r="U38" s="34">
        <f t="shared" si="1"/>
        <v>7.112068965517242</v>
      </c>
      <c r="V38" s="34">
        <f t="shared" si="2"/>
        <v>7.112068965517242</v>
      </c>
      <c r="W38" s="54">
        <f t="shared" si="3"/>
        <v>10262.71551724138</v>
      </c>
      <c r="X38" s="56">
        <f t="shared" si="4"/>
        <v>202.89454545454544</v>
      </c>
      <c r="Y38" s="44">
        <v>10.7</v>
      </c>
      <c r="Z38" s="44">
        <v>17.7</v>
      </c>
      <c r="AA38" s="60">
        <v>14.3</v>
      </c>
      <c r="AB38" s="44" t="s">
        <v>246</v>
      </c>
      <c r="AC38" s="44" t="s">
        <v>37</v>
      </c>
      <c r="AD38" s="44" t="s">
        <v>38</v>
      </c>
    </row>
    <row r="39" spans="1:30" s="61" customFormat="1">
      <c r="A39" s="44" t="s">
        <v>28</v>
      </c>
      <c r="B39" s="44" t="s">
        <v>247</v>
      </c>
      <c r="C39" s="44" t="s">
        <v>60</v>
      </c>
      <c r="D39" s="44" t="s">
        <v>147</v>
      </c>
      <c r="E39" s="44">
        <v>2018</v>
      </c>
      <c r="F39" s="44" t="s">
        <v>32</v>
      </c>
      <c r="G39" s="44">
        <v>1490</v>
      </c>
      <c r="H39" s="44" t="s">
        <v>33</v>
      </c>
      <c r="I39" s="44" t="s">
        <v>34</v>
      </c>
      <c r="J39" s="44" t="s">
        <v>74</v>
      </c>
      <c r="K39" s="59">
        <v>1363</v>
      </c>
      <c r="L39" s="44">
        <v>185</v>
      </c>
      <c r="M39" s="36">
        <f t="shared" si="5"/>
        <v>252155</v>
      </c>
      <c r="N39" s="37">
        <f t="shared" si="6"/>
        <v>174.249</v>
      </c>
      <c r="O39" s="34">
        <f t="shared" si="0"/>
        <v>13.411038226905177</v>
      </c>
      <c r="P39" s="34">
        <f t="shared" si="7"/>
        <v>13.411038226905177</v>
      </c>
      <c r="Q39" s="34">
        <f t="shared" si="8"/>
        <v>31.515939833227169</v>
      </c>
      <c r="R39" s="37">
        <f t="shared" si="9"/>
        <v>43.247956659791335</v>
      </c>
      <c r="S39" s="44"/>
      <c r="T39" s="44"/>
      <c r="U39" s="34">
        <f t="shared" si="1"/>
        <v>7.9741379310344831</v>
      </c>
      <c r="V39" s="34">
        <f t="shared" si="2"/>
        <v>7.9741379310344831</v>
      </c>
      <c r="W39" s="54">
        <f t="shared" si="3"/>
        <v>10868.75</v>
      </c>
      <c r="X39" s="56">
        <f t="shared" si="4"/>
        <v>170.92756756756756</v>
      </c>
      <c r="Y39" s="44">
        <v>9.6999999999999993</v>
      </c>
      <c r="Z39" s="44">
        <v>15.7</v>
      </c>
      <c r="AA39" s="60">
        <v>12.8</v>
      </c>
      <c r="AB39" s="44" t="s">
        <v>248</v>
      </c>
      <c r="AC39" s="44" t="s">
        <v>37</v>
      </c>
      <c r="AD39" s="44" t="s">
        <v>38</v>
      </c>
    </row>
    <row r="40" spans="1:30" s="61" customFormat="1">
      <c r="A40" s="44" t="s">
        <v>68</v>
      </c>
      <c r="B40" s="44" t="s">
        <v>117</v>
      </c>
      <c r="C40" s="44" t="s">
        <v>60</v>
      </c>
      <c r="D40" s="44" t="s">
        <v>31</v>
      </c>
      <c r="E40" s="44">
        <v>2018</v>
      </c>
      <c r="F40" s="44" t="s">
        <v>32</v>
      </c>
      <c r="G40" s="44">
        <v>1997</v>
      </c>
      <c r="H40" s="44" t="s">
        <v>33</v>
      </c>
      <c r="I40" s="44" t="s">
        <v>34</v>
      </c>
      <c r="J40" s="44" t="s">
        <v>35</v>
      </c>
      <c r="K40" s="59">
        <v>1343</v>
      </c>
      <c r="L40" s="44">
        <v>179</v>
      </c>
      <c r="M40" s="36">
        <f t="shared" si="5"/>
        <v>240397</v>
      </c>
      <c r="N40" s="37">
        <f t="shared" si="6"/>
        <v>169.05420000000001</v>
      </c>
      <c r="O40" s="34">
        <f t="shared" si="0"/>
        <v>13.823140744211027</v>
      </c>
      <c r="P40" s="34">
        <f t="shared" si="7"/>
        <v>13.823140744211027</v>
      </c>
      <c r="Q40" s="34">
        <f t="shared" si="8"/>
        <v>32.484380748895916</v>
      </c>
      <c r="R40" s="37">
        <f t="shared" si="9"/>
        <v>41.342946026319005</v>
      </c>
      <c r="S40" s="44"/>
      <c r="T40" s="44"/>
      <c r="U40" s="34">
        <f t="shared" si="1"/>
        <v>7.7155172413793105</v>
      </c>
      <c r="V40" s="34">
        <f t="shared" si="2"/>
        <v>7.7155172413793105</v>
      </c>
      <c r="W40" s="54">
        <f t="shared" si="3"/>
        <v>10361.939655172415</v>
      </c>
      <c r="X40" s="56">
        <f t="shared" si="4"/>
        <v>174.06480446927375</v>
      </c>
      <c r="Y40" s="44">
        <v>9.1300000000000008</v>
      </c>
      <c r="Z40" s="44">
        <v>16.7</v>
      </c>
      <c r="AA40" s="45">
        <v>13</v>
      </c>
      <c r="AB40" s="45" t="s">
        <v>118</v>
      </c>
      <c r="AC40" s="44" t="s">
        <v>37</v>
      </c>
      <c r="AD40" s="44" t="s">
        <v>38</v>
      </c>
    </row>
    <row r="41" spans="1:30" s="61" customFormat="1">
      <c r="A41" s="44" t="s">
        <v>50</v>
      </c>
      <c r="B41" s="44" t="s">
        <v>98</v>
      </c>
      <c r="C41" s="44" t="s">
        <v>60</v>
      </c>
      <c r="D41" s="44" t="s">
        <v>31</v>
      </c>
      <c r="E41" s="44">
        <v>2018</v>
      </c>
      <c r="F41" s="44" t="s">
        <v>32</v>
      </c>
      <c r="G41" s="44">
        <v>2488</v>
      </c>
      <c r="H41" s="44" t="s">
        <v>33</v>
      </c>
      <c r="I41" s="44" t="s">
        <v>34</v>
      </c>
      <c r="J41" s="44" t="s">
        <v>74</v>
      </c>
      <c r="K41" s="59">
        <v>1319</v>
      </c>
      <c r="L41" s="44">
        <v>175</v>
      </c>
      <c r="M41" s="36">
        <f t="shared" si="5"/>
        <v>230825</v>
      </c>
      <c r="N41" s="37">
        <f t="shared" si="6"/>
        <v>165.59100000000001</v>
      </c>
      <c r="O41" s="34">
        <f t="shared" si="0"/>
        <v>14.112240399538623</v>
      </c>
      <c r="P41" s="34">
        <f t="shared" si="7"/>
        <v>14.112240399538623</v>
      </c>
      <c r="Q41" s="34">
        <f t="shared" si="8"/>
        <v>33.163764938915762</v>
      </c>
      <c r="R41" s="37">
        <f t="shared" si="9"/>
        <v>39.772323873042225</v>
      </c>
      <c r="S41" s="44"/>
      <c r="T41" s="44"/>
      <c r="U41" s="34">
        <f t="shared" si="1"/>
        <v>7.5431034482758621</v>
      </c>
      <c r="V41" s="34">
        <f t="shared" si="2"/>
        <v>7.5431034482758621</v>
      </c>
      <c r="W41" s="54">
        <f t="shared" si="3"/>
        <v>9949.3534482758623</v>
      </c>
      <c r="X41" s="56">
        <f t="shared" si="4"/>
        <v>174.86171428571427</v>
      </c>
      <c r="Y41" s="44">
        <v>10.8</v>
      </c>
      <c r="Z41" s="44">
        <v>15.5</v>
      </c>
      <c r="AA41" s="60">
        <v>13.3</v>
      </c>
      <c r="AB41" s="44" t="s">
        <v>99</v>
      </c>
      <c r="AC41" s="44" t="s">
        <v>37</v>
      </c>
      <c r="AD41" s="44" t="s">
        <v>38</v>
      </c>
    </row>
    <row r="42" spans="1:30" s="61" customFormat="1">
      <c r="A42" s="44" t="s">
        <v>43</v>
      </c>
      <c r="B42" s="44" t="s">
        <v>227</v>
      </c>
      <c r="C42" s="44" t="s">
        <v>30</v>
      </c>
      <c r="D42" s="44" t="s">
        <v>31</v>
      </c>
      <c r="E42" s="44">
        <v>2018</v>
      </c>
      <c r="F42" s="44" t="s">
        <v>32</v>
      </c>
      <c r="G42" s="44">
        <v>1599</v>
      </c>
      <c r="H42" s="44" t="s">
        <v>33</v>
      </c>
      <c r="I42" s="44" t="s">
        <v>34</v>
      </c>
      <c r="J42" s="44" t="s">
        <v>74</v>
      </c>
      <c r="K42" s="59">
        <v>1294</v>
      </c>
      <c r="L42" s="44">
        <v>168</v>
      </c>
      <c r="M42" s="36">
        <f t="shared" si="5"/>
        <v>217392</v>
      </c>
      <c r="N42" s="37">
        <f t="shared" si="6"/>
        <v>159.53039999999999</v>
      </c>
      <c r="O42" s="34">
        <f t="shared" si="0"/>
        <v>14.648367959962492</v>
      </c>
      <c r="P42" s="34">
        <f t="shared" si="7"/>
        <v>14.648367959962492</v>
      </c>
      <c r="Q42" s="34">
        <f t="shared" si="8"/>
        <v>34.423664705911861</v>
      </c>
      <c r="R42" s="37">
        <f t="shared" si="9"/>
        <v>37.590419586493667</v>
      </c>
      <c r="S42" s="44"/>
      <c r="T42" s="44"/>
      <c r="U42" s="34">
        <f t="shared" si="1"/>
        <v>7.2413793103448274</v>
      </c>
      <c r="V42" s="34">
        <f t="shared" si="2"/>
        <v>7.2413793103448274</v>
      </c>
      <c r="W42" s="54">
        <f t="shared" si="3"/>
        <v>9370.3448275862065</v>
      </c>
      <c r="X42" s="56">
        <f t="shared" si="4"/>
        <v>178.6952380952381</v>
      </c>
      <c r="Y42" s="44">
        <v>11.9</v>
      </c>
      <c r="Z42" s="44">
        <v>17.399999999999999</v>
      </c>
      <c r="AA42" s="60">
        <v>13.9</v>
      </c>
      <c r="AB42" s="44" t="s">
        <v>249</v>
      </c>
      <c r="AC42" s="44" t="s">
        <v>250</v>
      </c>
      <c r="AD42" s="44"/>
    </row>
    <row r="43" spans="1:30" s="61" customFormat="1">
      <c r="A43" s="44" t="s">
        <v>68</v>
      </c>
      <c r="B43" s="44" t="s">
        <v>109</v>
      </c>
      <c r="C43" s="44" t="s">
        <v>60</v>
      </c>
      <c r="D43" s="44" t="s">
        <v>175</v>
      </c>
      <c r="E43" s="44">
        <v>2018</v>
      </c>
      <c r="F43" s="44" t="s">
        <v>32</v>
      </c>
      <c r="G43" s="44">
        <v>2488</v>
      </c>
      <c r="H43" s="44" t="s">
        <v>33</v>
      </c>
      <c r="I43" s="44" t="s">
        <v>34</v>
      </c>
      <c r="J43" s="44" t="s">
        <v>35</v>
      </c>
      <c r="K43" s="59">
        <v>1260</v>
      </c>
      <c r="L43" s="44">
        <v>231</v>
      </c>
      <c r="M43" s="36">
        <f t="shared" si="5"/>
        <v>291060</v>
      </c>
      <c r="N43" s="37">
        <f t="shared" si="6"/>
        <v>214.07579999999999</v>
      </c>
      <c r="O43" s="34">
        <f t="shared" si="0"/>
        <v>10.91604001946974</v>
      </c>
      <c r="P43" s="34">
        <f t="shared" si="7"/>
        <v>10.91604001946974</v>
      </c>
      <c r="Q43" s="34">
        <f t="shared" si="8"/>
        <v>25.65269404575389</v>
      </c>
      <c r="R43" s="37">
        <f t="shared" si="9"/>
        <v>49.117648140685596</v>
      </c>
      <c r="S43" s="44"/>
      <c r="T43" s="44"/>
      <c r="U43" s="34">
        <f t="shared" si="1"/>
        <v>9.9568965517241388</v>
      </c>
      <c r="V43" s="34">
        <f t="shared" si="2"/>
        <v>9.9568965517241388</v>
      </c>
      <c r="W43" s="54">
        <f t="shared" si="3"/>
        <v>12545.689655172415</v>
      </c>
      <c r="X43" s="56">
        <f t="shared" si="4"/>
        <v>126.54545454545453</v>
      </c>
      <c r="Y43" s="44">
        <v>7.9</v>
      </c>
      <c r="Z43" s="44">
        <v>12.5</v>
      </c>
      <c r="AA43" s="60">
        <v>10.3</v>
      </c>
      <c r="AB43" s="44" t="s">
        <v>251</v>
      </c>
      <c r="AC43" s="44" t="s">
        <v>37</v>
      </c>
      <c r="AD43" s="44" t="s">
        <v>38</v>
      </c>
    </row>
    <row r="44" spans="1:30" s="61" customFormat="1">
      <c r="A44" s="44" t="s">
        <v>50</v>
      </c>
      <c r="B44" s="44" t="s">
        <v>98</v>
      </c>
      <c r="C44" s="44" t="s">
        <v>60</v>
      </c>
      <c r="D44" s="44" t="s">
        <v>31</v>
      </c>
      <c r="E44" s="44">
        <v>2018</v>
      </c>
      <c r="F44" s="44" t="s">
        <v>32</v>
      </c>
      <c r="G44" s="44">
        <v>2488</v>
      </c>
      <c r="H44" s="44" t="s">
        <v>33</v>
      </c>
      <c r="I44" s="44" t="s">
        <v>34</v>
      </c>
      <c r="J44" s="44" t="s">
        <v>35</v>
      </c>
      <c r="K44" s="59">
        <v>1221</v>
      </c>
      <c r="L44" s="44">
        <v>173</v>
      </c>
      <c r="M44" s="36">
        <f t="shared" si="5"/>
        <v>211233</v>
      </c>
      <c r="N44" s="37">
        <f t="shared" si="6"/>
        <v>163.85939999999999</v>
      </c>
      <c r="O44" s="34">
        <f t="shared" si="0"/>
        <v>14.261372859903064</v>
      </c>
      <c r="P44" s="34">
        <f t="shared" si="7"/>
        <v>14.261372859903064</v>
      </c>
      <c r="Q44" s="34">
        <f t="shared" si="8"/>
        <v>33.514226220772201</v>
      </c>
      <c r="R44" s="37">
        <f t="shared" si="9"/>
        <v>36.43228973740176</v>
      </c>
      <c r="S44" s="44"/>
      <c r="T44" s="44"/>
      <c r="U44" s="34">
        <f t="shared" si="1"/>
        <v>7.4568965517241379</v>
      </c>
      <c r="V44" s="34">
        <f t="shared" si="2"/>
        <v>7.4568965517241379</v>
      </c>
      <c r="W44" s="54">
        <f t="shared" si="3"/>
        <v>9104.8706896551721</v>
      </c>
      <c r="X44" s="56">
        <f t="shared" si="4"/>
        <v>163.74104046242775</v>
      </c>
      <c r="Y44" s="44">
        <v>11</v>
      </c>
      <c r="Z44" s="44">
        <v>16.100000000000001</v>
      </c>
      <c r="AA44" s="60">
        <v>13.7</v>
      </c>
      <c r="AB44" s="44" t="s">
        <v>252</v>
      </c>
      <c r="AC44" s="44" t="s">
        <v>37</v>
      </c>
      <c r="AD44" s="44" t="s">
        <v>38</v>
      </c>
    </row>
    <row r="45" spans="1:30" s="61" customFormat="1">
      <c r="A45" s="44" t="s">
        <v>145</v>
      </c>
      <c r="B45" s="44" t="s">
        <v>146</v>
      </c>
      <c r="C45" s="44" t="s">
        <v>60</v>
      </c>
      <c r="D45" s="44" t="s">
        <v>147</v>
      </c>
      <c r="E45" s="44">
        <v>2018</v>
      </c>
      <c r="F45" s="44" t="s">
        <v>32</v>
      </c>
      <c r="G45" s="44">
        <v>2400</v>
      </c>
      <c r="H45" s="44" t="s">
        <v>33</v>
      </c>
      <c r="I45" s="44" t="s">
        <v>34</v>
      </c>
      <c r="J45" s="44" t="s">
        <v>74</v>
      </c>
      <c r="K45" s="59">
        <v>1158</v>
      </c>
      <c r="L45" s="44">
        <v>225</v>
      </c>
      <c r="M45" s="36">
        <f t="shared" si="5"/>
        <v>260550</v>
      </c>
      <c r="N45" s="37">
        <f t="shared" si="6"/>
        <v>208.881</v>
      </c>
      <c r="O45" s="34">
        <f t="shared" si="0"/>
        <v>11.187518252019093</v>
      </c>
      <c r="P45" s="34">
        <f t="shared" si="7"/>
        <v>11.187518252019093</v>
      </c>
      <c r="Q45" s="34">
        <f t="shared" si="8"/>
        <v>26.290667892244869</v>
      </c>
      <c r="R45" s="37">
        <f t="shared" si="9"/>
        <v>44.046047241788898</v>
      </c>
      <c r="S45" s="44"/>
      <c r="T45" s="44"/>
      <c r="U45" s="34">
        <f t="shared" si="1"/>
        <v>9.6982758620689662</v>
      </c>
      <c r="V45" s="34">
        <f t="shared" si="2"/>
        <v>9.6982758620689662</v>
      </c>
      <c r="W45" s="54">
        <f t="shared" si="3"/>
        <v>11230.603448275862</v>
      </c>
      <c r="X45" s="56">
        <f t="shared" si="4"/>
        <v>119.40266666666666</v>
      </c>
      <c r="Y45" s="44">
        <v>7.5</v>
      </c>
      <c r="Z45" s="44">
        <v>13.3</v>
      </c>
      <c r="AA45" s="60">
        <v>10.4</v>
      </c>
      <c r="AB45" s="44" t="s">
        <v>148</v>
      </c>
      <c r="AC45" s="44" t="s">
        <v>37</v>
      </c>
      <c r="AD45" s="44" t="s">
        <v>253</v>
      </c>
    </row>
    <row r="46" spans="1:30" s="61" customFormat="1">
      <c r="A46" s="44" t="s">
        <v>102</v>
      </c>
      <c r="B46" s="44" t="s">
        <v>174</v>
      </c>
      <c r="C46" s="44" t="s">
        <v>88</v>
      </c>
      <c r="D46" s="44" t="s">
        <v>175</v>
      </c>
      <c r="E46" s="44">
        <v>2018</v>
      </c>
      <c r="F46" s="44" t="s">
        <v>103</v>
      </c>
      <c r="G46" s="44">
        <v>2755</v>
      </c>
      <c r="H46" s="44" t="s">
        <v>33</v>
      </c>
      <c r="I46" s="44" t="s">
        <v>34</v>
      </c>
      <c r="J46" s="44" t="s">
        <v>35</v>
      </c>
      <c r="K46" s="59">
        <v>1146</v>
      </c>
      <c r="L46" s="44">
        <v>207</v>
      </c>
      <c r="M46" s="36">
        <f t="shared" si="5"/>
        <v>237222</v>
      </c>
      <c r="N46" s="37">
        <f t="shared" si="6"/>
        <v>182.96609999999998</v>
      </c>
      <c r="O46" s="34">
        <f t="shared" si="0"/>
        <v>14.671570307286434</v>
      </c>
      <c r="P46" s="34">
        <f t="shared" si="7"/>
        <v>13.584787321561512</v>
      </c>
      <c r="Q46" s="34">
        <f t="shared" si="8"/>
        <v>31.924250205669555</v>
      </c>
      <c r="R46" s="37">
        <f t="shared" si="9"/>
        <v>35.897475825335981</v>
      </c>
      <c r="S46" s="44"/>
      <c r="T46" s="44"/>
      <c r="U46" s="34">
        <f t="shared" si="1"/>
        <v>7.7284946236559131</v>
      </c>
      <c r="V46" s="34">
        <f t="shared" si="2"/>
        <v>8.3467741935483861</v>
      </c>
      <c r="W46" s="54">
        <f t="shared" si="3"/>
        <v>9565.4032258064508</v>
      </c>
      <c r="X46" s="56">
        <f t="shared" si="4"/>
        <v>137.29855072463769</v>
      </c>
      <c r="Y46" s="44">
        <v>10.5</v>
      </c>
      <c r="Z46" s="44">
        <v>14.6</v>
      </c>
      <c r="AA46" s="60">
        <v>12.8</v>
      </c>
      <c r="AB46" s="44" t="s">
        <v>176</v>
      </c>
      <c r="AC46" s="44" t="s">
        <v>37</v>
      </c>
      <c r="AD46" s="44" t="s">
        <v>38</v>
      </c>
    </row>
    <row r="47" spans="1:30" s="61" customFormat="1">
      <c r="A47" s="44" t="s">
        <v>43</v>
      </c>
      <c r="B47" s="44" t="s">
        <v>76</v>
      </c>
      <c r="C47" s="44" t="s">
        <v>60</v>
      </c>
      <c r="D47" s="44" t="s">
        <v>31</v>
      </c>
      <c r="E47" s="44">
        <v>2018</v>
      </c>
      <c r="F47" s="44" t="s">
        <v>32</v>
      </c>
      <c r="G47" s="44">
        <v>1998</v>
      </c>
      <c r="H47" s="44" t="s">
        <v>33</v>
      </c>
      <c r="I47" s="44" t="s">
        <v>34</v>
      </c>
      <c r="J47" s="44" t="s">
        <v>35</v>
      </c>
      <c r="K47" s="59">
        <v>1106</v>
      </c>
      <c r="L47" s="44">
        <v>209</v>
      </c>
      <c r="M47" s="36">
        <f t="shared" si="5"/>
        <v>231154</v>
      </c>
      <c r="N47" s="37">
        <f t="shared" si="6"/>
        <v>195.0282</v>
      </c>
      <c r="O47" s="34">
        <f t="shared" si="0"/>
        <v>11.982164630550864</v>
      </c>
      <c r="P47" s="34">
        <f t="shared" si="7"/>
        <v>11.982164630550864</v>
      </c>
      <c r="Q47" s="34">
        <f t="shared" si="8"/>
        <v>28.158086881794532</v>
      </c>
      <c r="R47" s="37">
        <f t="shared" si="9"/>
        <v>39.278236644517165</v>
      </c>
      <c r="S47" s="44"/>
      <c r="T47" s="44"/>
      <c r="U47" s="34">
        <f t="shared" si="1"/>
        <v>9.0086206896551726</v>
      </c>
      <c r="V47" s="34">
        <f t="shared" si="2"/>
        <v>9.0086206896551726</v>
      </c>
      <c r="W47" s="54">
        <f t="shared" si="3"/>
        <v>9963.5344827586214</v>
      </c>
      <c r="X47" s="56">
        <f t="shared" si="4"/>
        <v>122.7712918660287</v>
      </c>
      <c r="Y47" s="44">
        <v>8.8000000000000007</v>
      </c>
      <c r="Z47" s="44">
        <v>13.7</v>
      </c>
      <c r="AA47" s="60">
        <v>11.4</v>
      </c>
      <c r="AB47" s="44" t="s">
        <v>82</v>
      </c>
      <c r="AC47" s="44" t="s">
        <v>37</v>
      </c>
      <c r="AD47" s="44" t="s">
        <v>38</v>
      </c>
    </row>
    <row r="48" spans="1:30" s="61" customFormat="1">
      <c r="A48" s="44" t="s">
        <v>102</v>
      </c>
      <c r="B48" s="44" t="s">
        <v>111</v>
      </c>
      <c r="C48" s="44" t="s">
        <v>60</v>
      </c>
      <c r="D48" s="44" t="s">
        <v>31</v>
      </c>
      <c r="E48" s="44">
        <v>2018</v>
      </c>
      <c r="F48" s="44" t="s">
        <v>32</v>
      </c>
      <c r="G48" s="44">
        <v>1987</v>
      </c>
      <c r="H48" s="44" t="s">
        <v>33</v>
      </c>
      <c r="I48" s="44" t="s">
        <v>34</v>
      </c>
      <c r="J48" s="44" t="s">
        <v>35</v>
      </c>
      <c r="K48" s="59">
        <v>1073</v>
      </c>
      <c r="L48" s="44">
        <v>185</v>
      </c>
      <c r="M48" s="36">
        <f t="shared" si="5"/>
        <v>198505</v>
      </c>
      <c r="N48" s="37">
        <f t="shared" si="6"/>
        <v>174.249</v>
      </c>
      <c r="O48" s="34">
        <f t="shared" si="0"/>
        <v>13.411038226905177</v>
      </c>
      <c r="P48" s="34">
        <f t="shared" si="7"/>
        <v>13.411038226905177</v>
      </c>
      <c r="Q48" s="34">
        <f t="shared" si="8"/>
        <v>31.515939833227169</v>
      </c>
      <c r="R48" s="37">
        <f t="shared" si="9"/>
        <v>34.046263753452756</v>
      </c>
      <c r="S48" s="44"/>
      <c r="T48" s="44"/>
      <c r="U48" s="34">
        <f t="shared" si="1"/>
        <v>7.9741379310344831</v>
      </c>
      <c r="V48" s="34">
        <f t="shared" si="2"/>
        <v>7.9741379310344831</v>
      </c>
      <c r="W48" s="54">
        <f t="shared" si="3"/>
        <v>8556.25</v>
      </c>
      <c r="X48" s="56">
        <f t="shared" si="4"/>
        <v>134.56</v>
      </c>
      <c r="Y48" s="44">
        <v>10.1</v>
      </c>
      <c r="Z48" s="44">
        <v>15.3</v>
      </c>
      <c r="AA48" s="60">
        <v>12.9</v>
      </c>
      <c r="AB48" s="44" t="s">
        <v>112</v>
      </c>
      <c r="AC48" s="44" t="s">
        <v>37</v>
      </c>
      <c r="AD48" s="44" t="s">
        <v>38</v>
      </c>
    </row>
    <row r="49" spans="1:30" s="61" customFormat="1">
      <c r="A49" s="44" t="s">
        <v>102</v>
      </c>
      <c r="B49" s="44" t="s">
        <v>121</v>
      </c>
      <c r="C49" s="44" t="s">
        <v>94</v>
      </c>
      <c r="D49" s="44" t="s">
        <v>374</v>
      </c>
      <c r="E49" s="44">
        <v>2018</v>
      </c>
      <c r="F49" s="44" t="s">
        <v>32</v>
      </c>
      <c r="G49" s="44">
        <v>3956</v>
      </c>
      <c r="H49" s="44" t="s">
        <v>33</v>
      </c>
      <c r="I49" s="44" t="s">
        <v>34</v>
      </c>
      <c r="J49" s="44" t="s">
        <v>74</v>
      </c>
      <c r="K49" s="59">
        <v>1026</v>
      </c>
      <c r="L49" s="44">
        <v>274</v>
      </c>
      <c r="M49" s="36">
        <f t="shared" si="5"/>
        <v>281124</v>
      </c>
      <c r="N49" s="37">
        <f t="shared" si="6"/>
        <v>251.30519999999999</v>
      </c>
      <c r="O49" s="34">
        <f t="shared" si="0"/>
        <v>9.2988923428564156</v>
      </c>
      <c r="P49" s="34">
        <f t="shared" si="7"/>
        <v>9.2988923428564156</v>
      </c>
      <c r="Q49" s="34">
        <f t="shared" si="8"/>
        <v>21.852397005712579</v>
      </c>
      <c r="R49" s="37">
        <f t="shared" si="9"/>
        <v>46.95137104326755</v>
      </c>
      <c r="S49" s="44"/>
      <c r="T49" s="44"/>
      <c r="U49" s="34">
        <f t="shared" si="1"/>
        <v>11.810344827586206</v>
      </c>
      <c r="V49" s="34">
        <f t="shared" si="2"/>
        <v>11.810344827586206</v>
      </c>
      <c r="W49" s="54">
        <f t="shared" si="3"/>
        <v>12117.413793103447</v>
      </c>
      <c r="X49" s="56">
        <f t="shared" si="4"/>
        <v>86.872992700729924</v>
      </c>
      <c r="Y49" s="44">
        <v>6.5</v>
      </c>
      <c r="Z49" s="44">
        <v>10.8</v>
      </c>
      <c r="AA49" s="60">
        <v>8.6999999999999993</v>
      </c>
      <c r="AB49" s="44" t="s">
        <v>254</v>
      </c>
      <c r="AC49" s="44" t="s">
        <v>37</v>
      </c>
      <c r="AD49" s="44" t="s">
        <v>38</v>
      </c>
    </row>
    <row r="50" spans="1:30" s="61" customFormat="1">
      <c r="A50" s="44" t="s">
        <v>43</v>
      </c>
      <c r="B50" s="44" t="s">
        <v>87</v>
      </c>
      <c r="C50" s="44" t="s">
        <v>60</v>
      </c>
      <c r="D50" s="44" t="s">
        <v>31</v>
      </c>
      <c r="E50" s="44">
        <v>2018</v>
      </c>
      <c r="F50" s="44" t="s">
        <v>32</v>
      </c>
      <c r="G50" s="44">
        <v>1998</v>
      </c>
      <c r="H50" s="44" t="s">
        <v>33</v>
      </c>
      <c r="I50" s="44" t="s">
        <v>34</v>
      </c>
      <c r="J50" s="44" t="s">
        <v>35</v>
      </c>
      <c r="K50" s="59">
        <v>997</v>
      </c>
      <c r="L50" s="44">
        <v>201</v>
      </c>
      <c r="M50" s="36">
        <f t="shared" si="5"/>
        <v>200397</v>
      </c>
      <c r="N50" s="37">
        <f t="shared" si="6"/>
        <v>188.1018</v>
      </c>
      <c r="O50" s="34">
        <f t="shared" si="0"/>
        <v>12.423379255275602</v>
      </c>
      <c r="P50" s="34">
        <f t="shared" si="7"/>
        <v>12.423379255275602</v>
      </c>
      <c r="Q50" s="34">
        <f t="shared" si="8"/>
        <v>29.194941249897667</v>
      </c>
      <c r="R50" s="37">
        <f t="shared" si="9"/>
        <v>34.149751885645415</v>
      </c>
      <c r="S50" s="44"/>
      <c r="T50" s="44"/>
      <c r="U50" s="34">
        <f t="shared" si="1"/>
        <v>8.6637931034482758</v>
      </c>
      <c r="V50" s="34">
        <f t="shared" si="2"/>
        <v>8.6637931034482758</v>
      </c>
      <c r="W50" s="54">
        <f t="shared" si="3"/>
        <v>8637.8017241379312</v>
      </c>
      <c r="X50" s="56">
        <f t="shared" si="4"/>
        <v>115.07661691542289</v>
      </c>
      <c r="Y50" s="44">
        <v>8.9</v>
      </c>
      <c r="Z50" s="44">
        <v>14.5</v>
      </c>
      <c r="AA50" s="60">
        <v>11.8</v>
      </c>
      <c r="AB50" s="44" t="s">
        <v>89</v>
      </c>
      <c r="AC50" s="44" t="s">
        <v>37</v>
      </c>
      <c r="AD50" s="44" t="s">
        <v>38</v>
      </c>
    </row>
    <row r="51" spans="1:30" s="61" customFormat="1">
      <c r="A51" s="44" t="s">
        <v>135</v>
      </c>
      <c r="B51" s="44" t="s">
        <v>255</v>
      </c>
      <c r="C51" s="44" t="s">
        <v>30</v>
      </c>
      <c r="D51" s="44" t="s">
        <v>57</v>
      </c>
      <c r="E51" s="44">
        <v>2018</v>
      </c>
      <c r="F51" s="44" t="s">
        <v>32</v>
      </c>
      <c r="G51" s="44">
        <v>796</v>
      </c>
      <c r="H51" s="44" t="s">
        <v>33</v>
      </c>
      <c r="I51" s="44" t="s">
        <v>34</v>
      </c>
      <c r="J51" s="44" t="s">
        <v>35</v>
      </c>
      <c r="K51" s="59">
        <v>994</v>
      </c>
      <c r="L51" s="44">
        <v>116</v>
      </c>
      <c r="M51" s="36">
        <f t="shared" si="5"/>
        <v>115304</v>
      </c>
      <c r="N51" s="37">
        <f t="shared" si="6"/>
        <v>114.50880000000001</v>
      </c>
      <c r="O51" s="34">
        <f t="shared" si="0"/>
        <v>20.407689190699752</v>
      </c>
      <c r="P51" s="34">
        <f t="shared" si="7"/>
        <v>20.407689190699752</v>
      </c>
      <c r="Q51" s="34">
        <f t="shared" si="8"/>
        <v>47.958069598144419</v>
      </c>
      <c r="R51" s="37">
        <f t="shared" si="9"/>
        <v>20.726438914848639</v>
      </c>
      <c r="S51" s="44"/>
      <c r="T51" s="44"/>
      <c r="U51" s="34">
        <f t="shared" si="1"/>
        <v>5</v>
      </c>
      <c r="V51" s="34">
        <f t="shared" si="2"/>
        <v>5</v>
      </c>
      <c r="W51" s="54">
        <f t="shared" si="3"/>
        <v>4970</v>
      </c>
      <c r="X51" s="56">
        <f t="shared" si="4"/>
        <v>198.8</v>
      </c>
      <c r="Y51" s="44">
        <v>17.399999999999999</v>
      </c>
      <c r="Z51" s="44">
        <v>22.7</v>
      </c>
      <c r="AA51" s="60">
        <v>20.399999999999999</v>
      </c>
      <c r="AB51" s="44" t="s">
        <v>180</v>
      </c>
      <c r="AC51" s="44" t="s">
        <v>37</v>
      </c>
      <c r="AD51" s="44" t="s">
        <v>181</v>
      </c>
    </row>
    <row r="52" spans="1:30" s="61" customFormat="1">
      <c r="A52" s="44" t="s">
        <v>50</v>
      </c>
      <c r="B52" s="44" t="s">
        <v>139</v>
      </c>
      <c r="C52" s="44" t="s">
        <v>30</v>
      </c>
      <c r="D52" s="44" t="s">
        <v>31</v>
      </c>
      <c r="E52" s="44">
        <v>2018</v>
      </c>
      <c r="F52" s="44" t="s">
        <v>32</v>
      </c>
      <c r="G52" s="44">
        <v>1496</v>
      </c>
      <c r="H52" s="44" t="s">
        <v>33</v>
      </c>
      <c r="I52" s="44" t="s">
        <v>34</v>
      </c>
      <c r="J52" s="44" t="s">
        <v>35</v>
      </c>
      <c r="K52" s="59">
        <v>921</v>
      </c>
      <c r="L52" s="44">
        <v>136</v>
      </c>
      <c r="M52" s="36">
        <f t="shared" si="5"/>
        <v>125256</v>
      </c>
      <c r="N52" s="37">
        <f t="shared" si="6"/>
        <v>131.82480000000001</v>
      </c>
      <c r="O52" s="34">
        <f t="shared" si="0"/>
        <v>17.727013429946414</v>
      </c>
      <c r="P52" s="34">
        <f t="shared" si="7"/>
        <v>17.727013429946414</v>
      </c>
      <c r="Q52" s="34">
        <f t="shared" si="8"/>
        <v>41.658481560374071</v>
      </c>
      <c r="R52" s="37">
        <f t="shared" si="9"/>
        <v>22.108343019301589</v>
      </c>
      <c r="S52" s="44"/>
      <c r="T52" s="44"/>
      <c r="U52" s="34">
        <f t="shared" si="1"/>
        <v>5.862068965517242</v>
      </c>
      <c r="V52" s="34">
        <f t="shared" si="2"/>
        <v>5.862068965517242</v>
      </c>
      <c r="W52" s="54">
        <f t="shared" si="3"/>
        <v>5398.9655172413795</v>
      </c>
      <c r="X52" s="56">
        <f t="shared" si="4"/>
        <v>157.11176470588234</v>
      </c>
      <c r="Y52" s="44">
        <v>13.3</v>
      </c>
      <c r="Z52" s="44">
        <v>21.6</v>
      </c>
      <c r="AA52" s="45">
        <v>17.600000000000001</v>
      </c>
      <c r="AB52" s="44" t="s">
        <v>256</v>
      </c>
      <c r="AC52" s="44" t="s">
        <v>37</v>
      </c>
      <c r="AD52" s="44" t="s">
        <v>38</v>
      </c>
    </row>
    <row r="53" spans="1:30" s="61" customFormat="1">
      <c r="A53" s="44" t="s">
        <v>43</v>
      </c>
      <c r="B53" s="44" t="s">
        <v>76</v>
      </c>
      <c r="C53" s="44" t="s">
        <v>60</v>
      </c>
      <c r="D53" s="44" t="s">
        <v>31</v>
      </c>
      <c r="E53" s="44">
        <v>2018</v>
      </c>
      <c r="F53" s="44" t="s">
        <v>32</v>
      </c>
      <c r="G53" s="44">
        <v>1998</v>
      </c>
      <c r="H53" s="44" t="s">
        <v>33</v>
      </c>
      <c r="I53" s="44" t="s">
        <v>34</v>
      </c>
      <c r="J53" s="44" t="s">
        <v>74</v>
      </c>
      <c r="K53" s="59">
        <v>898</v>
      </c>
      <c r="L53" s="54">
        <f>1.1325*N53-13.739</f>
        <v>156.76067553536663</v>
      </c>
      <c r="M53" s="54">
        <f>L53*K53</f>
        <v>140771.08663075924</v>
      </c>
      <c r="N53" s="54">
        <f>(23.2*100*2.35)/Q53</f>
        <v>150.55158987670342</v>
      </c>
      <c r="O53" s="34">
        <f t="shared" si="0"/>
        <v>15.521988189655175</v>
      </c>
      <c r="P53" s="34">
        <f>AA53</f>
        <v>15.41</v>
      </c>
      <c r="Q53" s="55">
        <f>P53*2.35</f>
        <v>36.213500000000003</v>
      </c>
      <c r="R53" s="54">
        <f>K53/Q53</f>
        <v>24.797382191724079</v>
      </c>
      <c r="S53" s="54">
        <f>N53</f>
        <v>150.55158987670342</v>
      </c>
      <c r="T53" s="54">
        <f>L53</f>
        <v>156.76067553536663</v>
      </c>
      <c r="U53" s="34">
        <f t="shared" si="1"/>
        <v>6.7569256696278721</v>
      </c>
      <c r="V53" s="34">
        <f t="shared" si="2"/>
        <v>6.7569256696278721</v>
      </c>
      <c r="W53" s="54">
        <f t="shared" si="3"/>
        <v>6067.7192513258287</v>
      </c>
      <c r="X53" s="56">
        <f t="shared" si="4"/>
        <v>132.900677602016</v>
      </c>
      <c r="Y53" s="44">
        <v>11.9</v>
      </c>
      <c r="Z53" s="44">
        <v>17.899999999999999</v>
      </c>
      <c r="AA53" s="60">
        <v>15.41</v>
      </c>
      <c r="AB53" s="44" t="s">
        <v>257</v>
      </c>
      <c r="AC53" s="44" t="s">
        <v>46</v>
      </c>
      <c r="AD53" s="44"/>
    </row>
    <row r="54" spans="1:30" s="61" customFormat="1">
      <c r="A54" s="44" t="s">
        <v>62</v>
      </c>
      <c r="B54" s="44" t="s">
        <v>100</v>
      </c>
      <c r="C54" s="44" t="s">
        <v>60</v>
      </c>
      <c r="D54" s="44" t="s">
        <v>175</v>
      </c>
      <c r="E54" s="44">
        <v>2018</v>
      </c>
      <c r="F54" s="44" t="s">
        <v>32</v>
      </c>
      <c r="G54" s="44">
        <v>2260</v>
      </c>
      <c r="H54" s="44" t="s">
        <v>33</v>
      </c>
      <c r="I54" s="44" t="s">
        <v>34</v>
      </c>
      <c r="J54" s="44" t="s">
        <v>74</v>
      </c>
      <c r="K54" s="59">
        <v>883</v>
      </c>
      <c r="L54" s="44">
        <v>247</v>
      </c>
      <c r="M54" s="36">
        <f t="shared" si="5"/>
        <v>218101</v>
      </c>
      <c r="N54" s="37">
        <f t="shared" si="6"/>
        <v>227.92859999999999</v>
      </c>
      <c r="O54" s="34">
        <f t="shared" si="0"/>
        <v>10.252596646493684</v>
      </c>
      <c r="P54" s="34">
        <f t="shared" si="7"/>
        <v>10.252596646493684</v>
      </c>
      <c r="Q54" s="34">
        <f t="shared" si="8"/>
        <v>24.093602119260158</v>
      </c>
      <c r="R54" s="37">
        <f t="shared" si="9"/>
        <v>36.648733370347294</v>
      </c>
      <c r="S54" s="44"/>
      <c r="T54" s="44"/>
      <c r="U54" s="34">
        <f t="shared" si="1"/>
        <v>10.646551724137931</v>
      </c>
      <c r="V54" s="34">
        <f t="shared" si="2"/>
        <v>10.646551724137931</v>
      </c>
      <c r="W54" s="54">
        <f t="shared" si="3"/>
        <v>9400.9051724137935</v>
      </c>
      <c r="X54" s="56">
        <f t="shared" si="4"/>
        <v>82.937651821862346</v>
      </c>
      <c r="Y54" s="44">
        <v>7</v>
      </c>
      <c r="Z54" s="44">
        <v>11.7</v>
      </c>
      <c r="AA54" s="60">
        <v>9.4</v>
      </c>
      <c r="AB54" s="44" t="s">
        <v>258</v>
      </c>
      <c r="AC54" s="44" t="s">
        <v>37</v>
      </c>
      <c r="AD54" s="44" t="s">
        <v>38</v>
      </c>
    </row>
    <row r="55" spans="1:30" s="61" customFormat="1">
      <c r="A55" s="44" t="s">
        <v>190</v>
      </c>
      <c r="B55" s="44" t="s">
        <v>259</v>
      </c>
      <c r="C55" s="44" t="s">
        <v>60</v>
      </c>
      <c r="D55" s="44" t="s">
        <v>31</v>
      </c>
      <c r="E55" s="44">
        <v>2018</v>
      </c>
      <c r="F55" s="44" t="s">
        <v>32</v>
      </c>
      <c r="G55" s="44">
        <v>2356</v>
      </c>
      <c r="H55" s="44" t="s">
        <v>33</v>
      </c>
      <c r="I55" s="44" t="s">
        <v>34</v>
      </c>
      <c r="J55" s="44" t="s">
        <v>74</v>
      </c>
      <c r="K55" s="59">
        <v>867</v>
      </c>
      <c r="L55" s="44">
        <v>180</v>
      </c>
      <c r="M55" s="36">
        <f t="shared" si="5"/>
        <v>156060</v>
      </c>
      <c r="N55" s="37">
        <f t="shared" si="6"/>
        <v>169.92</v>
      </c>
      <c r="O55" s="34">
        <f t="shared" si="0"/>
        <v>13.752707156308853</v>
      </c>
      <c r="P55" s="34">
        <f t="shared" si="7"/>
        <v>13.752707156308853</v>
      </c>
      <c r="Q55" s="34">
        <f t="shared" si="8"/>
        <v>32.318861817325804</v>
      </c>
      <c r="R55" s="37">
        <f t="shared" si="9"/>
        <v>26.826439770697938</v>
      </c>
      <c r="S55" s="44"/>
      <c r="T55" s="44"/>
      <c r="U55" s="34">
        <f t="shared" si="1"/>
        <v>7.7586206896551726</v>
      </c>
      <c r="V55" s="34">
        <f t="shared" si="2"/>
        <v>7.7586206896551726</v>
      </c>
      <c r="W55" s="54">
        <f t="shared" si="3"/>
        <v>6726.7241379310344</v>
      </c>
      <c r="X55" s="56">
        <f t="shared" si="4"/>
        <v>111.74666666666667</v>
      </c>
      <c r="Y55" s="44">
        <v>9.9</v>
      </c>
      <c r="Z55" s="44">
        <v>16.3</v>
      </c>
      <c r="AA55" s="60">
        <v>13.2</v>
      </c>
      <c r="AB55" s="44" t="s">
        <v>191</v>
      </c>
      <c r="AC55" s="44" t="s">
        <v>37</v>
      </c>
      <c r="AD55" s="44" t="s">
        <v>181</v>
      </c>
    </row>
    <row r="56" spans="1:30" s="61" customFormat="1">
      <c r="A56" s="44" t="s">
        <v>135</v>
      </c>
      <c r="B56" s="44" t="s">
        <v>184</v>
      </c>
      <c r="C56" s="44" t="s">
        <v>30</v>
      </c>
      <c r="D56" s="44" t="s">
        <v>40</v>
      </c>
      <c r="E56" s="44">
        <v>2018</v>
      </c>
      <c r="F56" s="44" t="s">
        <v>32</v>
      </c>
      <c r="G56" s="44">
        <v>1197</v>
      </c>
      <c r="H56" s="44" t="s">
        <v>33</v>
      </c>
      <c r="I56" s="44" t="s">
        <v>34</v>
      </c>
      <c r="J56" s="44" t="s">
        <v>35</v>
      </c>
      <c r="K56" s="59">
        <v>849</v>
      </c>
      <c r="L56" s="44">
        <v>115</v>
      </c>
      <c r="M56" s="36">
        <f t="shared" si="5"/>
        <v>97635</v>
      </c>
      <c r="N56" s="37">
        <f t="shared" si="6"/>
        <v>113.643</v>
      </c>
      <c r="O56" s="34">
        <f t="shared" si="0"/>
        <v>20.563167111040716</v>
      </c>
      <c r="P56" s="34">
        <f t="shared" si="7"/>
        <v>20.563167111040716</v>
      </c>
      <c r="Q56" s="34">
        <f t="shared" si="8"/>
        <v>48.323442710945685</v>
      </c>
      <c r="R56" s="37">
        <f t="shared" si="9"/>
        <v>17.569112471527077</v>
      </c>
      <c r="S56" s="44"/>
      <c r="T56" s="44"/>
      <c r="U56" s="34">
        <f t="shared" si="1"/>
        <v>4.9568965517241379</v>
      </c>
      <c r="V56" s="34">
        <f t="shared" si="2"/>
        <v>4.9568965517241379</v>
      </c>
      <c r="W56" s="54">
        <f t="shared" si="3"/>
        <v>4208.4051724137935</v>
      </c>
      <c r="X56" s="56">
        <f t="shared" si="4"/>
        <v>171.27652173913043</v>
      </c>
      <c r="Y56" s="44">
        <v>16.3</v>
      </c>
      <c r="Z56" s="44">
        <v>24</v>
      </c>
      <c r="AA56" s="60">
        <v>20.5</v>
      </c>
      <c r="AB56" s="44" t="s">
        <v>185</v>
      </c>
      <c r="AC56" s="44" t="s">
        <v>37</v>
      </c>
      <c r="AD56" s="44" t="s">
        <v>38</v>
      </c>
    </row>
    <row r="57" spans="1:30" s="61" customFormat="1">
      <c r="A57" s="44" t="s">
        <v>68</v>
      </c>
      <c r="B57" s="44" t="s">
        <v>163</v>
      </c>
      <c r="C57" s="44" t="s">
        <v>30</v>
      </c>
      <c r="D57" s="44" t="s">
        <v>31</v>
      </c>
      <c r="E57" s="44">
        <v>2018</v>
      </c>
      <c r="F57" s="44" t="s">
        <v>32</v>
      </c>
      <c r="G57" s="44">
        <v>1798</v>
      </c>
      <c r="H57" s="44" t="s">
        <v>33</v>
      </c>
      <c r="I57" s="44" t="s">
        <v>34</v>
      </c>
      <c r="J57" s="44" t="s">
        <v>35</v>
      </c>
      <c r="K57" s="59">
        <v>837</v>
      </c>
      <c r="L57" s="44">
        <v>182</v>
      </c>
      <c r="M57" s="36">
        <f t="shared" si="5"/>
        <v>152334</v>
      </c>
      <c r="N57" s="37">
        <f t="shared" si="6"/>
        <v>171.6516</v>
      </c>
      <c r="O57" s="34">
        <f t="shared" si="0"/>
        <v>13.613971556338537</v>
      </c>
      <c r="P57" s="34">
        <f t="shared" si="7"/>
        <v>13.613971556338537</v>
      </c>
      <c r="Q57" s="34">
        <f t="shared" si="8"/>
        <v>31.992833157395562</v>
      </c>
      <c r="R57" s="37">
        <f t="shared" si="9"/>
        <v>26.162109366250874</v>
      </c>
      <c r="S57" s="44"/>
      <c r="T57" s="44"/>
      <c r="U57" s="34">
        <f t="shared" si="1"/>
        <v>7.8448275862068968</v>
      </c>
      <c r="V57" s="34">
        <f t="shared" si="2"/>
        <v>7.8448275862068968</v>
      </c>
      <c r="W57" s="54">
        <f t="shared" si="3"/>
        <v>6566.120689655173</v>
      </c>
      <c r="X57" s="56">
        <f t="shared" si="4"/>
        <v>106.69450549450549</v>
      </c>
      <c r="Y57" s="44">
        <v>10.3</v>
      </c>
      <c r="Z57" s="44">
        <v>15.4</v>
      </c>
      <c r="AA57" s="60">
        <v>13</v>
      </c>
      <c r="AB57" s="44" t="s">
        <v>164</v>
      </c>
      <c r="AC57" s="44" t="s">
        <v>37</v>
      </c>
      <c r="AD57" s="44" t="s">
        <v>65</v>
      </c>
    </row>
    <row r="58" spans="1:30" s="61" customFormat="1">
      <c r="A58" s="44" t="s">
        <v>55</v>
      </c>
      <c r="B58" s="44" t="s">
        <v>78</v>
      </c>
      <c r="C58" s="44" t="s">
        <v>30</v>
      </c>
      <c r="D58" s="44" t="s">
        <v>31</v>
      </c>
      <c r="E58" s="44">
        <v>2018</v>
      </c>
      <c r="F58" s="44" t="s">
        <v>32</v>
      </c>
      <c r="G58" s="44">
        <v>1248</v>
      </c>
      <c r="H58" s="44" t="s">
        <v>33</v>
      </c>
      <c r="I58" s="44" t="s">
        <v>34</v>
      </c>
      <c r="J58" s="44" t="s">
        <v>35</v>
      </c>
      <c r="K58" s="59">
        <v>835</v>
      </c>
      <c r="L58" s="44">
        <v>131</v>
      </c>
      <c r="M58" s="36">
        <f t="shared" si="5"/>
        <v>109385</v>
      </c>
      <c r="N58" s="37">
        <f t="shared" si="6"/>
        <v>127.4958</v>
      </c>
      <c r="O58" s="34">
        <f t="shared" si="0"/>
        <v>18.328917501596131</v>
      </c>
      <c r="P58" s="34">
        <f t="shared" si="7"/>
        <v>18.328917501596131</v>
      </c>
      <c r="Q58" s="34">
        <f t="shared" si="8"/>
        <v>43.07295612875091</v>
      </c>
      <c r="R58" s="37">
        <f t="shared" si="9"/>
        <v>19.385713799258905</v>
      </c>
      <c r="S58" s="44"/>
      <c r="T58" s="44"/>
      <c r="U58" s="34">
        <f t="shared" si="1"/>
        <v>5.6465517241379315</v>
      </c>
      <c r="V58" s="34">
        <f t="shared" si="2"/>
        <v>5.6465517241379315</v>
      </c>
      <c r="W58" s="54">
        <f t="shared" si="3"/>
        <v>4714.870689655173</v>
      </c>
      <c r="X58" s="56">
        <f t="shared" si="4"/>
        <v>147.87786259541983</v>
      </c>
      <c r="Y58" s="44">
        <v>13.8</v>
      </c>
      <c r="Z58" s="44">
        <v>22.5</v>
      </c>
      <c r="AA58" s="60">
        <v>18.2</v>
      </c>
      <c r="AB58" s="44" t="s">
        <v>260</v>
      </c>
      <c r="AC58" s="44" t="s">
        <v>37</v>
      </c>
      <c r="AD58" s="44" t="s">
        <v>38</v>
      </c>
    </row>
    <row r="59" spans="1:30" s="61" customFormat="1">
      <c r="A59" s="44" t="s">
        <v>168</v>
      </c>
      <c r="B59" s="44" t="s">
        <v>169</v>
      </c>
      <c r="C59" s="44" t="s">
        <v>60</v>
      </c>
      <c r="D59" s="44" t="s">
        <v>40</v>
      </c>
      <c r="E59" s="44">
        <v>2018</v>
      </c>
      <c r="F59" s="44" t="s">
        <v>32</v>
      </c>
      <c r="G59" s="44">
        <v>1499</v>
      </c>
      <c r="H59" s="44" t="s">
        <v>33</v>
      </c>
      <c r="I59" s="44" t="s">
        <v>34</v>
      </c>
      <c r="J59" s="44" t="s">
        <v>35</v>
      </c>
      <c r="K59" s="59">
        <v>828</v>
      </c>
      <c r="L59" s="44">
        <v>162</v>
      </c>
      <c r="M59" s="36">
        <f t="shared" si="5"/>
        <v>134136</v>
      </c>
      <c r="N59" s="37">
        <f t="shared" si="6"/>
        <v>154.3356</v>
      </c>
      <c r="O59" s="34">
        <f t="shared" si="0"/>
        <v>15.141419089309272</v>
      </c>
      <c r="P59" s="34">
        <f t="shared" si="7"/>
        <v>15.141419089309272</v>
      </c>
      <c r="Q59" s="34">
        <f t="shared" si="8"/>
        <v>35.582334859876788</v>
      </c>
      <c r="R59" s="37">
        <f t="shared" si="9"/>
        <v>23.269973801906577</v>
      </c>
      <c r="S59" s="44"/>
      <c r="T59" s="44"/>
      <c r="U59" s="34">
        <f t="shared" si="1"/>
        <v>6.9827586206896557</v>
      </c>
      <c r="V59" s="34">
        <f t="shared" si="2"/>
        <v>6.9827586206896557</v>
      </c>
      <c r="W59" s="54">
        <f t="shared" si="3"/>
        <v>5781.7241379310353</v>
      </c>
      <c r="X59" s="56">
        <f t="shared" si="4"/>
        <v>118.57777777777777</v>
      </c>
      <c r="Y59" s="44">
        <v>11.5</v>
      </c>
      <c r="Z59" s="44">
        <v>17.600000000000001</v>
      </c>
      <c r="AA59" s="60">
        <v>14.7</v>
      </c>
      <c r="AB59" s="44" t="s">
        <v>261</v>
      </c>
      <c r="AC59" s="44" t="s">
        <v>37</v>
      </c>
      <c r="AD59" s="44" t="s">
        <v>38</v>
      </c>
    </row>
    <row r="60" spans="1:30" s="61" customFormat="1">
      <c r="A60" s="44" t="s">
        <v>50</v>
      </c>
      <c r="B60" s="44" t="s">
        <v>262</v>
      </c>
      <c r="C60" s="44" t="s">
        <v>88</v>
      </c>
      <c r="D60" s="44" t="s">
        <v>31</v>
      </c>
      <c r="E60" s="44">
        <v>2018</v>
      </c>
      <c r="F60" s="44" t="s">
        <v>103</v>
      </c>
      <c r="G60" s="44">
        <v>3198</v>
      </c>
      <c r="H60" s="44" t="s">
        <v>33</v>
      </c>
      <c r="I60" s="44" t="s">
        <v>34</v>
      </c>
      <c r="J60" s="44" t="s">
        <v>74</v>
      </c>
      <c r="K60" s="59">
        <v>800</v>
      </c>
      <c r="L60" s="44">
        <v>267</v>
      </c>
      <c r="M60" s="36">
        <f t="shared" si="5"/>
        <v>213600</v>
      </c>
      <c r="N60" s="37">
        <f t="shared" si="6"/>
        <v>229.0641</v>
      </c>
      <c r="O60" s="34">
        <f t="shared" si="0"/>
        <v>11.718990448525108</v>
      </c>
      <c r="P60" s="34">
        <f t="shared" si="7"/>
        <v>10.850917081967692</v>
      </c>
      <c r="Q60" s="34">
        <f t="shared" si="8"/>
        <v>25.499655142624079</v>
      </c>
      <c r="R60" s="37">
        <f t="shared" si="9"/>
        <v>31.372973302009719</v>
      </c>
      <c r="S60" s="44"/>
      <c r="T60" s="44"/>
      <c r="U60" s="34">
        <f t="shared" si="1"/>
        <v>9.9686379928315407</v>
      </c>
      <c r="V60" s="34">
        <f t="shared" si="2"/>
        <v>10.766129032258064</v>
      </c>
      <c r="W60" s="54">
        <f t="shared" si="3"/>
        <v>8612.9032258064508</v>
      </c>
      <c r="X60" s="56">
        <f t="shared" si="4"/>
        <v>74.307116104868911</v>
      </c>
      <c r="Y60" s="44">
        <v>7.6</v>
      </c>
      <c r="Z60" s="44">
        <v>11.9</v>
      </c>
      <c r="AA60" s="60">
        <v>9.9</v>
      </c>
      <c r="AB60" s="44" t="s">
        <v>263</v>
      </c>
      <c r="AC60" s="44" t="s">
        <v>37</v>
      </c>
      <c r="AD60" s="44" t="s">
        <v>38</v>
      </c>
    </row>
    <row r="61" spans="1:30" s="61" customFormat="1">
      <c r="A61" s="44" t="s">
        <v>62</v>
      </c>
      <c r="B61" s="44" t="s">
        <v>264</v>
      </c>
      <c r="C61" s="44" t="s">
        <v>60</v>
      </c>
      <c r="D61" s="44" t="s">
        <v>31</v>
      </c>
      <c r="E61" s="44">
        <v>2018</v>
      </c>
      <c r="F61" s="44" t="s">
        <v>103</v>
      </c>
      <c r="G61" s="44">
        <v>3198</v>
      </c>
      <c r="H61" s="44" t="s">
        <v>33</v>
      </c>
      <c r="I61" s="44" t="s">
        <v>34</v>
      </c>
      <c r="J61" s="44" t="s">
        <v>74</v>
      </c>
      <c r="K61" s="59">
        <v>783</v>
      </c>
      <c r="L61" s="44">
        <v>240</v>
      </c>
      <c r="M61" s="36">
        <f t="shared" si="5"/>
        <v>187920</v>
      </c>
      <c r="N61" s="37">
        <f t="shared" si="6"/>
        <v>208.32</v>
      </c>
      <c r="O61" s="34">
        <f t="shared" si="0"/>
        <v>12.885944700460831</v>
      </c>
      <c r="P61" s="34">
        <f t="shared" si="7"/>
        <v>11.931430278204472</v>
      </c>
      <c r="Q61" s="34">
        <f t="shared" si="8"/>
        <v>28.038861153780509</v>
      </c>
      <c r="R61" s="37">
        <f t="shared" si="9"/>
        <v>27.925527920181853</v>
      </c>
      <c r="S61" s="44"/>
      <c r="T61" s="44"/>
      <c r="U61" s="34">
        <f t="shared" si="1"/>
        <v>8.9605734767025087</v>
      </c>
      <c r="V61" s="34">
        <f t="shared" si="2"/>
        <v>9.67741935483871</v>
      </c>
      <c r="W61" s="54">
        <f t="shared" si="3"/>
        <v>7577.4193548387102</v>
      </c>
      <c r="X61" s="56">
        <f t="shared" si="4"/>
        <v>80.91</v>
      </c>
      <c r="Y61" s="44">
        <v>8.6999999999999993</v>
      </c>
      <c r="Z61" s="44">
        <v>13</v>
      </c>
      <c r="AA61" s="60">
        <v>11</v>
      </c>
      <c r="AB61" s="44" t="s">
        <v>265</v>
      </c>
      <c r="AC61" s="44" t="s">
        <v>37</v>
      </c>
      <c r="AD61" s="44" t="s">
        <v>38</v>
      </c>
    </row>
    <row r="62" spans="1:30" s="61" customFormat="1">
      <c r="A62" s="44" t="s">
        <v>135</v>
      </c>
      <c r="B62" s="44" t="s">
        <v>266</v>
      </c>
      <c r="C62" s="44" t="s">
        <v>94</v>
      </c>
      <c r="D62" s="44" t="s">
        <v>31</v>
      </c>
      <c r="E62" s="44">
        <v>2018</v>
      </c>
      <c r="F62" s="44" t="s">
        <v>32</v>
      </c>
      <c r="G62" s="44">
        <v>2393</v>
      </c>
      <c r="H62" s="44" t="s">
        <v>33</v>
      </c>
      <c r="I62" s="44" t="s">
        <v>34</v>
      </c>
      <c r="J62" s="44" t="s">
        <v>35</v>
      </c>
      <c r="K62" s="59">
        <v>773</v>
      </c>
      <c r="L62" s="44">
        <v>217</v>
      </c>
      <c r="M62" s="36">
        <f t="shared" si="5"/>
        <v>167741</v>
      </c>
      <c r="N62" s="37">
        <f t="shared" si="6"/>
        <v>201.9546</v>
      </c>
      <c r="O62" s="34">
        <f t="shared" si="0"/>
        <v>11.571214520491241</v>
      </c>
      <c r="P62" s="34">
        <f t="shared" si="7"/>
        <v>11.571214520491241</v>
      </c>
      <c r="Q62" s="34">
        <f t="shared" si="8"/>
        <v>27.192354123154416</v>
      </c>
      <c r="R62" s="37">
        <f t="shared" si="9"/>
        <v>28.427108462146236</v>
      </c>
      <c r="S62" s="44"/>
      <c r="T62" s="44"/>
      <c r="U62" s="34">
        <f t="shared" si="1"/>
        <v>9.3534482758620694</v>
      </c>
      <c r="V62" s="34">
        <f t="shared" si="2"/>
        <v>9.3534482758620694</v>
      </c>
      <c r="W62" s="54">
        <f t="shared" si="3"/>
        <v>7230.2155172413795</v>
      </c>
      <c r="X62" s="56">
        <f t="shared" si="4"/>
        <v>82.643317972350232</v>
      </c>
      <c r="Y62" s="44">
        <v>8.4</v>
      </c>
      <c r="Z62" s="44">
        <v>13.4</v>
      </c>
      <c r="AA62" s="60">
        <v>11</v>
      </c>
      <c r="AB62" s="44" t="s">
        <v>158</v>
      </c>
      <c r="AC62" s="44" t="s">
        <v>37</v>
      </c>
      <c r="AD62" s="44" t="s">
        <v>38</v>
      </c>
    </row>
    <row r="63" spans="1:30" s="61" customFormat="1">
      <c r="A63" s="44" t="s">
        <v>55</v>
      </c>
      <c r="B63" s="44" t="s">
        <v>125</v>
      </c>
      <c r="C63" s="44" t="s">
        <v>30</v>
      </c>
      <c r="D63" s="44" t="s">
        <v>31</v>
      </c>
      <c r="E63" s="44">
        <v>2018</v>
      </c>
      <c r="F63" s="44" t="s">
        <v>32</v>
      </c>
      <c r="G63" s="44">
        <v>1591</v>
      </c>
      <c r="H63" s="44" t="s">
        <v>33</v>
      </c>
      <c r="I63" s="44" t="s">
        <v>34</v>
      </c>
      <c r="J63" s="44" t="s">
        <v>35</v>
      </c>
      <c r="K63" s="59">
        <v>771</v>
      </c>
      <c r="L63" s="44">
        <v>149</v>
      </c>
      <c r="M63" s="36">
        <f t="shared" si="5"/>
        <v>114879</v>
      </c>
      <c r="N63" s="37">
        <f t="shared" si="6"/>
        <v>143.08019999999999</v>
      </c>
      <c r="O63" s="34">
        <f t="shared" si="0"/>
        <v>16.332518405761245</v>
      </c>
      <c r="P63" s="34">
        <f t="shared" si="7"/>
        <v>16.332518405761245</v>
      </c>
      <c r="Q63" s="34">
        <f t="shared" si="8"/>
        <v>38.381418253538925</v>
      </c>
      <c r="R63" s="37">
        <f t="shared" si="9"/>
        <v>20.087845501355609</v>
      </c>
      <c r="S63" s="44"/>
      <c r="T63" s="44"/>
      <c r="U63" s="34">
        <f t="shared" si="1"/>
        <v>6.4224137931034484</v>
      </c>
      <c r="V63" s="34">
        <f t="shared" si="2"/>
        <v>6.4224137931034484</v>
      </c>
      <c r="W63" s="54">
        <f t="shared" si="3"/>
        <v>4951.6810344827591</v>
      </c>
      <c r="X63" s="56">
        <f t="shared" si="4"/>
        <v>120.04832214765101</v>
      </c>
      <c r="Y63" s="44">
        <v>12</v>
      </c>
      <c r="Z63" s="44">
        <v>19.3</v>
      </c>
      <c r="AA63" s="60">
        <v>15.8</v>
      </c>
      <c r="AB63" s="44" t="s">
        <v>267</v>
      </c>
      <c r="AC63" s="44" t="s">
        <v>37</v>
      </c>
      <c r="AD63" s="44" t="s">
        <v>38</v>
      </c>
    </row>
    <row r="64" spans="1:30" s="61" customFormat="1">
      <c r="A64" s="44" t="s">
        <v>50</v>
      </c>
      <c r="B64" s="44" t="s">
        <v>51</v>
      </c>
      <c r="C64" s="44" t="s">
        <v>30</v>
      </c>
      <c r="D64" s="44" t="s">
        <v>31</v>
      </c>
      <c r="E64" s="44">
        <v>2018</v>
      </c>
      <c r="F64" s="44" t="s">
        <v>32</v>
      </c>
      <c r="G64" s="44">
        <v>1998</v>
      </c>
      <c r="H64" s="44" t="s">
        <v>33</v>
      </c>
      <c r="I64" s="44" t="s">
        <v>34</v>
      </c>
      <c r="J64" s="44" t="s">
        <v>35</v>
      </c>
      <c r="K64" s="59">
        <v>728</v>
      </c>
      <c r="L64" s="44">
        <v>154</v>
      </c>
      <c r="M64" s="36">
        <f t="shared" si="5"/>
        <v>112112</v>
      </c>
      <c r="N64" s="37">
        <f t="shared" si="6"/>
        <v>147.4092</v>
      </c>
      <c r="O64" s="34">
        <f t="shared" si="0"/>
        <v>15.852877568021535</v>
      </c>
      <c r="P64" s="34">
        <f t="shared" si="7"/>
        <v>15.852877568021535</v>
      </c>
      <c r="Q64" s="34">
        <f t="shared" si="8"/>
        <v>37.254262284850611</v>
      </c>
      <c r="R64" s="37">
        <f t="shared" si="9"/>
        <v>19.541388162074547</v>
      </c>
      <c r="S64" s="44"/>
      <c r="T64" s="44"/>
      <c r="U64" s="34">
        <f t="shared" si="1"/>
        <v>6.6379310344827589</v>
      </c>
      <c r="V64" s="34">
        <f t="shared" si="2"/>
        <v>6.6379310344827589</v>
      </c>
      <c r="W64" s="54">
        <f t="shared" si="3"/>
        <v>4832.4137931034484</v>
      </c>
      <c r="X64" s="56">
        <f t="shared" si="4"/>
        <v>109.67272727272727</v>
      </c>
      <c r="Y64" s="44">
        <v>11.4</v>
      </c>
      <c r="Z64" s="44">
        <v>19.5</v>
      </c>
      <c r="AA64" s="60">
        <v>15.5</v>
      </c>
      <c r="AB64" s="44" t="s">
        <v>268</v>
      </c>
      <c r="AC64" s="44" t="s">
        <v>37</v>
      </c>
      <c r="AD64" s="44" t="s">
        <v>38</v>
      </c>
    </row>
    <row r="65" spans="1:30" s="61" customFormat="1">
      <c r="A65" s="44" t="s">
        <v>90</v>
      </c>
      <c r="B65" s="44" t="s">
        <v>269</v>
      </c>
      <c r="C65" s="44" t="s">
        <v>60</v>
      </c>
      <c r="D65" s="44" t="s">
        <v>147</v>
      </c>
      <c r="E65" s="44">
        <v>2018</v>
      </c>
      <c r="F65" s="44" t="s">
        <v>32</v>
      </c>
      <c r="G65" s="44">
        <v>1984</v>
      </c>
      <c r="H65" s="44" t="s">
        <v>33</v>
      </c>
      <c r="I65" s="44" t="s">
        <v>34</v>
      </c>
      <c r="J65" s="44" t="s">
        <v>74</v>
      </c>
      <c r="K65" s="59">
        <v>721</v>
      </c>
      <c r="L65" s="44">
        <v>207</v>
      </c>
      <c r="M65" s="36">
        <f t="shared" si="5"/>
        <v>149247</v>
      </c>
      <c r="N65" s="37">
        <f t="shared" si="6"/>
        <v>193.29659999999998</v>
      </c>
      <c r="O65" s="34">
        <f t="shared" si="0"/>
        <v>12.089503902293162</v>
      </c>
      <c r="P65" s="34">
        <f t="shared" si="7"/>
        <v>12.089503902293162</v>
      </c>
      <c r="Q65" s="34">
        <f t="shared" si="8"/>
        <v>28.410334170388932</v>
      </c>
      <c r="R65" s="37">
        <f t="shared" si="9"/>
        <v>25.378089383808526</v>
      </c>
      <c r="S65" s="44"/>
      <c r="T65" s="44"/>
      <c r="U65" s="34">
        <f t="shared" si="1"/>
        <v>8.9224137931034484</v>
      </c>
      <c r="V65" s="34">
        <f t="shared" si="2"/>
        <v>8.9224137931034484</v>
      </c>
      <c r="W65" s="54">
        <f t="shared" si="3"/>
        <v>6433.0603448275861</v>
      </c>
      <c r="X65" s="56">
        <f t="shared" si="4"/>
        <v>80.807729468599035</v>
      </c>
      <c r="Y65" s="44">
        <v>8.3000000000000007</v>
      </c>
      <c r="Z65" s="44">
        <v>14.5</v>
      </c>
      <c r="AA65" s="60">
        <v>11.4</v>
      </c>
      <c r="AB65" s="44" t="s">
        <v>270</v>
      </c>
      <c r="AC65" s="44" t="s">
        <v>37</v>
      </c>
      <c r="AD65" s="44" t="s">
        <v>38</v>
      </c>
    </row>
    <row r="66" spans="1:30" s="61" customFormat="1">
      <c r="A66" s="44" t="s">
        <v>28</v>
      </c>
      <c r="B66" s="44" t="s">
        <v>123</v>
      </c>
      <c r="C66" s="44" t="s">
        <v>30</v>
      </c>
      <c r="D66" s="44" t="s">
        <v>31</v>
      </c>
      <c r="E66" s="44">
        <v>2018</v>
      </c>
      <c r="F66" s="44" t="s">
        <v>32</v>
      </c>
      <c r="G66" s="44">
        <v>1598</v>
      </c>
      <c r="H66" s="44" t="s">
        <v>33</v>
      </c>
      <c r="I66" s="44" t="s">
        <v>34</v>
      </c>
      <c r="J66" s="44" t="s">
        <v>35</v>
      </c>
      <c r="K66" s="59">
        <v>683</v>
      </c>
      <c r="L66" s="44">
        <v>165</v>
      </c>
      <c r="M66" s="36">
        <f t="shared" si="5"/>
        <v>112695</v>
      </c>
      <c r="N66" s="37">
        <f t="shared" si="6"/>
        <v>156.93299999999999</v>
      </c>
      <c r="O66" s="34">
        <f t="shared" ref="O66:O100" si="10">IF(F66="GASOLINA",2336.86/N66,2684.4/N66)</f>
        <v>14.890813277003563</v>
      </c>
      <c r="P66" s="34">
        <f t="shared" si="7"/>
        <v>14.890813277003563</v>
      </c>
      <c r="Q66" s="34">
        <f t="shared" si="8"/>
        <v>34.993411200958377</v>
      </c>
      <c r="R66" s="37">
        <f t="shared" si="9"/>
        <v>19.517959997603619</v>
      </c>
      <c r="S66" s="44"/>
      <c r="T66" s="44"/>
      <c r="U66" s="34">
        <f t="shared" ref="U66:U100" si="11">IF(F66="GASOLINA",(L66/23.2),(L66/(1.08*24.8)))</f>
        <v>7.112068965517242</v>
      </c>
      <c r="V66" s="34">
        <f t="shared" ref="V66:V100" si="12">IF(F66="GASOLINA",U66,U66*1.08)</f>
        <v>7.112068965517242</v>
      </c>
      <c r="W66" s="54">
        <f t="shared" ref="W66:W100" si="13">V66*K66</f>
        <v>4857.5431034482763</v>
      </c>
      <c r="X66" s="56">
        <f t="shared" ref="X66:X100" si="14">K66/V66</f>
        <v>96.033939393939391</v>
      </c>
      <c r="Y66" s="44">
        <v>10.4</v>
      </c>
      <c r="Z66" s="44">
        <v>18.600000000000001</v>
      </c>
      <c r="AA66" s="60">
        <v>14.4</v>
      </c>
      <c r="AB66" s="44" t="s">
        <v>124</v>
      </c>
      <c r="AC66" s="44" t="s">
        <v>37</v>
      </c>
      <c r="AD66" s="44" t="s">
        <v>38</v>
      </c>
    </row>
    <row r="67" spans="1:30" s="61" customFormat="1">
      <c r="A67" s="44" t="s">
        <v>68</v>
      </c>
      <c r="B67" s="44" t="s">
        <v>117</v>
      </c>
      <c r="C67" s="44" t="s">
        <v>60</v>
      </c>
      <c r="D67" s="44" t="s">
        <v>31</v>
      </c>
      <c r="E67" s="44">
        <v>2018</v>
      </c>
      <c r="F67" s="44" t="s">
        <v>32</v>
      </c>
      <c r="G67" s="44">
        <v>1997</v>
      </c>
      <c r="H67" s="44" t="s">
        <v>33</v>
      </c>
      <c r="I67" s="44" t="s">
        <v>34</v>
      </c>
      <c r="J67" s="44" t="s">
        <v>74</v>
      </c>
      <c r="K67" s="59">
        <v>682</v>
      </c>
      <c r="L67" s="44">
        <v>169</v>
      </c>
      <c r="M67" s="36">
        <f t="shared" ref="M67:M100" si="15">L67*K67</f>
        <v>115258</v>
      </c>
      <c r="N67" s="37">
        <f t="shared" ref="N67:N100" si="16">IF(F67="GASOLINA",L67*0.8658+14.076,L67*0.7683+23.928)</f>
        <v>160.39619999999999</v>
      </c>
      <c r="O67" s="34">
        <f t="shared" si="10"/>
        <v>14.569297776381237</v>
      </c>
      <c r="P67" s="34">
        <f t="shared" ref="P67:P100" si="17">IF(F67="GASOLINA",O67,O67/1.08)</f>
        <v>14.569297776381237</v>
      </c>
      <c r="Q67" s="34">
        <f t="shared" ref="Q67:Q100" si="18">P67*2.35</f>
        <v>34.237849774495906</v>
      </c>
      <c r="R67" s="37">
        <f t="shared" ref="R67:R100" si="19">K67/Q67</f>
        <v>19.91947521505945</v>
      </c>
      <c r="S67" s="44"/>
      <c r="T67" s="44"/>
      <c r="U67" s="34">
        <f t="shared" si="11"/>
        <v>7.2844827586206895</v>
      </c>
      <c r="V67" s="34">
        <f t="shared" si="12"/>
        <v>7.2844827586206895</v>
      </c>
      <c r="W67" s="54">
        <f t="shared" si="13"/>
        <v>4968.0172413793107</v>
      </c>
      <c r="X67" s="56">
        <f t="shared" si="14"/>
        <v>93.62366863905325</v>
      </c>
      <c r="Y67" s="44">
        <v>10.4</v>
      </c>
      <c r="Z67" s="44">
        <v>16.7</v>
      </c>
      <c r="AA67" s="45">
        <v>13.7</v>
      </c>
      <c r="AB67" s="45" t="s">
        <v>271</v>
      </c>
      <c r="AC67" s="44" t="s">
        <v>37</v>
      </c>
      <c r="AD67" s="44" t="s">
        <v>38</v>
      </c>
    </row>
    <row r="68" spans="1:30" s="61" customFormat="1">
      <c r="A68" s="44" t="s">
        <v>135</v>
      </c>
      <c r="B68" s="44" t="s">
        <v>184</v>
      </c>
      <c r="C68" s="44" t="s">
        <v>30</v>
      </c>
      <c r="D68" s="44" t="s">
        <v>40</v>
      </c>
      <c r="E68" s="44">
        <v>2018</v>
      </c>
      <c r="F68" s="44" t="s">
        <v>32</v>
      </c>
      <c r="G68" s="44">
        <v>1197</v>
      </c>
      <c r="H68" s="44" t="s">
        <v>33</v>
      </c>
      <c r="I68" s="44" t="s">
        <v>34</v>
      </c>
      <c r="J68" s="44" t="s">
        <v>35</v>
      </c>
      <c r="K68" s="59">
        <v>638</v>
      </c>
      <c r="L68" s="44">
        <v>124</v>
      </c>
      <c r="M68" s="36">
        <f t="shared" si="15"/>
        <v>79112</v>
      </c>
      <c r="N68" s="37">
        <f t="shared" si="16"/>
        <v>121.43520000000001</v>
      </c>
      <c r="O68" s="34">
        <f t="shared" si="10"/>
        <v>19.243678933291172</v>
      </c>
      <c r="P68" s="34">
        <f t="shared" si="17"/>
        <v>19.243678933291172</v>
      </c>
      <c r="Q68" s="34">
        <f t="shared" si="18"/>
        <v>45.222645493234253</v>
      </c>
      <c r="R68" s="37">
        <f t="shared" si="19"/>
        <v>14.10797606025616</v>
      </c>
      <c r="S68" s="44"/>
      <c r="T68" s="44"/>
      <c r="U68" s="34">
        <f t="shared" si="11"/>
        <v>5.3448275862068968</v>
      </c>
      <c r="V68" s="34">
        <f t="shared" si="12"/>
        <v>5.3448275862068968</v>
      </c>
      <c r="W68" s="54">
        <f t="shared" si="13"/>
        <v>3410</v>
      </c>
      <c r="X68" s="56">
        <f t="shared" si="14"/>
        <v>119.36774193548386</v>
      </c>
      <c r="Y68" s="44">
        <v>15.1</v>
      </c>
      <c r="Z68" s="44">
        <v>22.5</v>
      </c>
      <c r="AA68" s="60">
        <v>19.100000000000001</v>
      </c>
      <c r="AB68" s="44" t="s">
        <v>209</v>
      </c>
      <c r="AC68" s="44" t="s">
        <v>37</v>
      </c>
      <c r="AD68" s="44" t="s">
        <v>38</v>
      </c>
    </row>
    <row r="69" spans="1:30" s="61" customFormat="1">
      <c r="A69" s="44" t="s">
        <v>28</v>
      </c>
      <c r="B69" s="44" t="s">
        <v>113</v>
      </c>
      <c r="C69" s="44" t="s">
        <v>114</v>
      </c>
      <c r="D69" s="44" t="s">
        <v>115</v>
      </c>
      <c r="E69" s="44">
        <v>2018</v>
      </c>
      <c r="F69" s="44" t="s">
        <v>32</v>
      </c>
      <c r="G69" s="44">
        <v>1206</v>
      </c>
      <c r="H69" s="44" t="s">
        <v>33</v>
      </c>
      <c r="I69" s="44" t="s">
        <v>34</v>
      </c>
      <c r="J69" s="44" t="s">
        <v>35</v>
      </c>
      <c r="K69" s="59">
        <v>1167</v>
      </c>
      <c r="L69" s="44">
        <v>171</v>
      </c>
      <c r="M69" s="36">
        <f t="shared" si="15"/>
        <v>199557</v>
      </c>
      <c r="N69" s="37">
        <f t="shared" si="16"/>
        <v>162.12780000000001</v>
      </c>
      <c r="O69" s="34">
        <f t="shared" si="10"/>
        <v>14.413690927774262</v>
      </c>
      <c r="P69" s="34">
        <f t="shared" si="17"/>
        <v>14.413690927774262</v>
      </c>
      <c r="Q69" s="34">
        <f t="shared" si="18"/>
        <v>33.872173680269519</v>
      </c>
      <c r="R69" s="37">
        <f t="shared" si="19"/>
        <v>34.453059051234597</v>
      </c>
      <c r="S69" s="44"/>
      <c r="T69" s="44"/>
      <c r="U69" s="34">
        <f t="shared" si="11"/>
        <v>7.3706896551724137</v>
      </c>
      <c r="V69" s="34">
        <f t="shared" si="12"/>
        <v>7.3706896551724137</v>
      </c>
      <c r="W69" s="54">
        <f t="shared" si="13"/>
        <v>8601.5948275862065</v>
      </c>
      <c r="X69" s="56">
        <f t="shared" si="14"/>
        <v>158.32982456140351</v>
      </c>
      <c r="Y69" s="44">
        <v>11.2</v>
      </c>
      <c r="Z69" s="44">
        <v>16.7</v>
      </c>
      <c r="AA69" s="60">
        <v>14.1</v>
      </c>
      <c r="AB69" s="44" t="s">
        <v>116</v>
      </c>
      <c r="AC69" s="44" t="s">
        <v>37</v>
      </c>
      <c r="AD69" s="44" t="s">
        <v>38</v>
      </c>
    </row>
    <row r="70" spans="1:30" s="61" customFormat="1">
      <c r="A70" s="44" t="s">
        <v>28</v>
      </c>
      <c r="B70" s="44" t="s">
        <v>272</v>
      </c>
      <c r="C70" s="44" t="s">
        <v>88</v>
      </c>
      <c r="D70" s="44" t="s">
        <v>175</v>
      </c>
      <c r="E70" s="44">
        <v>2018</v>
      </c>
      <c r="F70" s="44" t="s">
        <v>103</v>
      </c>
      <c r="G70" s="44">
        <v>2500</v>
      </c>
      <c r="H70" s="44" t="s">
        <v>33</v>
      </c>
      <c r="I70" s="44" t="s">
        <v>34</v>
      </c>
      <c r="J70" s="44" t="s">
        <v>35</v>
      </c>
      <c r="K70" s="59">
        <v>624</v>
      </c>
      <c r="L70" s="44">
        <v>193</v>
      </c>
      <c r="M70" s="36">
        <f t="shared" si="15"/>
        <v>120432</v>
      </c>
      <c r="N70" s="37">
        <f t="shared" si="16"/>
        <v>172.2099</v>
      </c>
      <c r="O70" s="34">
        <f t="shared" si="10"/>
        <v>15.587954002644448</v>
      </c>
      <c r="P70" s="34">
        <f t="shared" si="17"/>
        <v>14.433290743189303</v>
      </c>
      <c r="Q70" s="34">
        <f t="shared" si="18"/>
        <v>33.918233246494864</v>
      </c>
      <c r="R70" s="37">
        <f t="shared" si="19"/>
        <v>18.397184648893369</v>
      </c>
      <c r="S70" s="44"/>
      <c r="T70" s="44"/>
      <c r="U70" s="34">
        <f t="shared" si="11"/>
        <v>7.2057945041816005</v>
      </c>
      <c r="V70" s="34">
        <f t="shared" si="12"/>
        <v>7.782258064516129</v>
      </c>
      <c r="W70" s="54">
        <f t="shared" si="13"/>
        <v>4856.1290322580644</v>
      </c>
      <c r="X70" s="56">
        <f t="shared" si="14"/>
        <v>80.182383419689117</v>
      </c>
      <c r="Y70" s="44">
        <v>11.5</v>
      </c>
      <c r="Z70" s="44">
        <v>15.7</v>
      </c>
      <c r="AA70" s="60">
        <v>13.8</v>
      </c>
      <c r="AB70" s="44" t="s">
        <v>273</v>
      </c>
      <c r="AC70" s="44" t="s">
        <v>37</v>
      </c>
      <c r="AD70" s="44" t="s">
        <v>38</v>
      </c>
    </row>
    <row r="71" spans="1:30" s="61" customFormat="1">
      <c r="A71" s="44" t="s">
        <v>274</v>
      </c>
      <c r="B71" s="44" t="s">
        <v>275</v>
      </c>
      <c r="C71" s="44" t="s">
        <v>30</v>
      </c>
      <c r="D71" s="44" t="s">
        <v>40</v>
      </c>
      <c r="E71" s="44">
        <v>2018</v>
      </c>
      <c r="F71" s="44" t="s">
        <v>32</v>
      </c>
      <c r="G71" s="44">
        <v>1368</v>
      </c>
      <c r="H71" s="44" t="s">
        <v>33</v>
      </c>
      <c r="I71" s="44" t="s">
        <v>34</v>
      </c>
      <c r="J71" s="44" t="s">
        <v>35</v>
      </c>
      <c r="K71" s="59">
        <v>599</v>
      </c>
      <c r="L71" s="44">
        <v>163</v>
      </c>
      <c r="M71" s="36">
        <f t="shared" si="15"/>
        <v>97637</v>
      </c>
      <c r="N71" s="37">
        <f t="shared" si="16"/>
        <v>155.20140000000001</v>
      </c>
      <c r="O71" s="34">
        <f t="shared" si="10"/>
        <v>15.056951805847113</v>
      </c>
      <c r="P71" s="34">
        <f t="shared" si="17"/>
        <v>15.056951805847113</v>
      </c>
      <c r="Q71" s="34">
        <f t="shared" si="18"/>
        <v>35.383836743740716</v>
      </c>
      <c r="R71" s="37">
        <f t="shared" si="19"/>
        <v>16.928633385297346</v>
      </c>
      <c r="S71" s="44"/>
      <c r="T71" s="44"/>
      <c r="U71" s="34">
        <f t="shared" si="11"/>
        <v>7.0258620689655178</v>
      </c>
      <c r="V71" s="34">
        <f t="shared" si="12"/>
        <v>7.0258620689655178</v>
      </c>
      <c r="W71" s="54">
        <f t="shared" si="13"/>
        <v>4208.4913793103451</v>
      </c>
      <c r="X71" s="56">
        <f t="shared" si="14"/>
        <v>85.256441717791404</v>
      </c>
      <c r="Y71" s="44">
        <v>11.1</v>
      </c>
      <c r="Z71" s="44">
        <v>17.899999999999999</v>
      </c>
      <c r="AA71" s="60">
        <v>14.5</v>
      </c>
      <c r="AB71" s="44" t="s">
        <v>276</v>
      </c>
      <c r="AC71" s="44" t="s">
        <v>37</v>
      </c>
      <c r="AD71" s="44" t="s">
        <v>277</v>
      </c>
    </row>
    <row r="72" spans="1:30" s="61" customFormat="1">
      <c r="A72" s="44" t="s">
        <v>43</v>
      </c>
      <c r="B72" s="44" t="s">
        <v>278</v>
      </c>
      <c r="C72" s="44" t="s">
        <v>114</v>
      </c>
      <c r="D72" s="44" t="s">
        <v>147</v>
      </c>
      <c r="E72" s="44">
        <v>2018</v>
      </c>
      <c r="F72" s="44" t="s">
        <v>32</v>
      </c>
      <c r="G72" s="44">
        <v>1598</v>
      </c>
      <c r="H72" s="44" t="s">
        <v>33</v>
      </c>
      <c r="I72" s="44" t="s">
        <v>34</v>
      </c>
      <c r="J72" s="44" t="s">
        <v>35</v>
      </c>
      <c r="K72" s="59">
        <v>597</v>
      </c>
      <c r="L72" s="44">
        <v>135</v>
      </c>
      <c r="M72" s="36">
        <f t="shared" si="15"/>
        <v>80595</v>
      </c>
      <c r="N72" s="37">
        <f t="shared" si="16"/>
        <v>130.959</v>
      </c>
      <c r="O72" s="34">
        <f t="shared" si="10"/>
        <v>17.844210783527668</v>
      </c>
      <c r="P72" s="34">
        <f t="shared" si="17"/>
        <v>17.844210783527668</v>
      </c>
      <c r="Q72" s="34">
        <f t="shared" si="18"/>
        <v>41.933895341290018</v>
      </c>
      <c r="R72" s="37">
        <f t="shared" si="19"/>
        <v>14.236693136689514</v>
      </c>
      <c r="S72" s="44"/>
      <c r="T72" s="44"/>
      <c r="U72" s="34">
        <f t="shared" si="11"/>
        <v>5.8189655172413799</v>
      </c>
      <c r="V72" s="34">
        <f t="shared" si="12"/>
        <v>5.8189655172413799</v>
      </c>
      <c r="W72" s="54">
        <f t="shared" si="13"/>
        <v>3473.9224137931037</v>
      </c>
      <c r="X72" s="56">
        <f t="shared" si="14"/>
        <v>102.59555555555555</v>
      </c>
      <c r="Y72" s="44">
        <v>16.899999999999999</v>
      </c>
      <c r="Z72" s="44">
        <v>20</v>
      </c>
      <c r="AA72" s="60">
        <v>18.899999999999999</v>
      </c>
      <c r="AB72" s="44" t="s">
        <v>279</v>
      </c>
      <c r="AC72" s="44" t="s">
        <v>37</v>
      </c>
      <c r="AD72" s="44" t="s">
        <v>38</v>
      </c>
    </row>
    <row r="73" spans="1:30" s="61" customFormat="1" ht="17.25" customHeight="1">
      <c r="A73" s="44" t="s">
        <v>90</v>
      </c>
      <c r="B73" s="44" t="s">
        <v>165</v>
      </c>
      <c r="C73" s="44" t="s">
        <v>60</v>
      </c>
      <c r="D73" s="44" t="s">
        <v>40</v>
      </c>
      <c r="E73" s="44">
        <v>2018</v>
      </c>
      <c r="F73" s="44" t="s">
        <v>32</v>
      </c>
      <c r="G73" s="44">
        <v>1598</v>
      </c>
      <c r="H73" s="44" t="s">
        <v>33</v>
      </c>
      <c r="I73" s="44" t="s">
        <v>34</v>
      </c>
      <c r="J73" s="44" t="s">
        <v>35</v>
      </c>
      <c r="K73" s="59">
        <v>564</v>
      </c>
      <c r="L73" s="54">
        <f>1.1325*N73-13.739</f>
        <v>142.7470035735557</v>
      </c>
      <c r="M73" s="54">
        <f>L73*K73</f>
        <v>80509.310015485418</v>
      </c>
      <c r="N73" s="54">
        <f>(23.2*100*2.35)/Q73</f>
        <v>138.17748659916617</v>
      </c>
      <c r="O73" s="34">
        <f t="shared" si="10"/>
        <v>16.912016982758622</v>
      </c>
      <c r="P73" s="34">
        <f>AA73</f>
        <v>16.79</v>
      </c>
      <c r="Q73" s="55">
        <f>P73*2.35</f>
        <v>39.456499999999998</v>
      </c>
      <c r="R73" s="54">
        <f>K73/Q73</f>
        <v>14.29422275163788</v>
      </c>
      <c r="S73" s="54">
        <f>N73</f>
        <v>138.17748659916617</v>
      </c>
      <c r="T73" s="54">
        <f>L73</f>
        <v>142.7470035735557</v>
      </c>
      <c r="U73" s="34">
        <f t="shared" si="11"/>
        <v>6.1528880850670564</v>
      </c>
      <c r="V73" s="34">
        <f t="shared" si="12"/>
        <v>6.1528880850670564</v>
      </c>
      <c r="W73" s="54">
        <f t="shared" si="13"/>
        <v>3470.2288799778198</v>
      </c>
      <c r="X73" s="56">
        <f t="shared" si="14"/>
        <v>91.664270859861304</v>
      </c>
      <c r="Y73" s="44">
        <v>14.1</v>
      </c>
      <c r="Z73" s="44">
        <v>21.9</v>
      </c>
      <c r="AA73" s="60">
        <v>16.79</v>
      </c>
      <c r="AB73" s="44" t="s">
        <v>280</v>
      </c>
      <c r="AC73" s="44" t="s">
        <v>167</v>
      </c>
      <c r="AD73" s="44"/>
    </row>
    <row r="74" spans="1:30" s="61" customFormat="1">
      <c r="A74" s="44" t="s">
        <v>55</v>
      </c>
      <c r="B74" s="44" t="s">
        <v>125</v>
      </c>
      <c r="C74" s="44" t="s">
        <v>30</v>
      </c>
      <c r="D74" s="44" t="s">
        <v>31</v>
      </c>
      <c r="E74" s="44">
        <v>2018</v>
      </c>
      <c r="F74" s="44" t="s">
        <v>32</v>
      </c>
      <c r="G74" s="44">
        <v>1591</v>
      </c>
      <c r="H74" s="44" t="s">
        <v>33</v>
      </c>
      <c r="I74" s="44" t="s">
        <v>34</v>
      </c>
      <c r="J74" s="44" t="s">
        <v>74</v>
      </c>
      <c r="K74" s="59">
        <v>508</v>
      </c>
      <c r="L74" s="44">
        <v>161</v>
      </c>
      <c r="M74" s="36">
        <f t="shared" si="15"/>
        <v>81788</v>
      </c>
      <c r="N74" s="37">
        <f t="shared" si="16"/>
        <v>153.46979999999999</v>
      </c>
      <c r="O74" s="34">
        <f t="shared" si="10"/>
        <v>15.226839417266461</v>
      </c>
      <c r="P74" s="34">
        <f t="shared" si="17"/>
        <v>15.226839417266461</v>
      </c>
      <c r="Q74" s="34">
        <f t="shared" si="18"/>
        <v>35.783072630576186</v>
      </c>
      <c r="R74" s="37">
        <f t="shared" si="19"/>
        <v>14.196656761273216</v>
      </c>
      <c r="S74" s="44"/>
      <c r="T74" s="44"/>
      <c r="U74" s="34">
        <f t="shared" si="11"/>
        <v>6.9396551724137936</v>
      </c>
      <c r="V74" s="34">
        <f t="shared" si="12"/>
        <v>6.9396551724137936</v>
      </c>
      <c r="W74" s="54">
        <f t="shared" si="13"/>
        <v>3525.344827586207</v>
      </c>
      <c r="X74" s="56">
        <f t="shared" si="14"/>
        <v>73.20248447204969</v>
      </c>
      <c r="Y74" s="44">
        <v>11</v>
      </c>
      <c r="Z74" s="44">
        <v>18.100000000000001</v>
      </c>
      <c r="AA74" s="60">
        <v>14.6</v>
      </c>
      <c r="AB74" s="44" t="s">
        <v>126</v>
      </c>
      <c r="AC74" s="44" t="s">
        <v>37</v>
      </c>
      <c r="AD74" s="44" t="s">
        <v>38</v>
      </c>
    </row>
    <row r="75" spans="1:30" s="61" customFormat="1">
      <c r="A75" s="44" t="s">
        <v>28</v>
      </c>
      <c r="B75" s="44" t="s">
        <v>123</v>
      </c>
      <c r="C75" s="44" t="s">
        <v>30</v>
      </c>
      <c r="D75" s="44" t="s">
        <v>31</v>
      </c>
      <c r="E75" s="44">
        <v>2018</v>
      </c>
      <c r="F75" s="44" t="s">
        <v>32</v>
      </c>
      <c r="G75" s="44">
        <v>1598</v>
      </c>
      <c r="H75" s="44" t="s">
        <v>33</v>
      </c>
      <c r="I75" s="44" t="s">
        <v>34</v>
      </c>
      <c r="J75" s="44" t="s">
        <v>74</v>
      </c>
      <c r="K75" s="59">
        <v>468</v>
      </c>
      <c r="L75" s="44">
        <v>172</v>
      </c>
      <c r="M75" s="36">
        <f t="shared" si="15"/>
        <v>80496</v>
      </c>
      <c r="N75" s="37">
        <f t="shared" si="16"/>
        <v>162.99359999999999</v>
      </c>
      <c r="O75" s="34">
        <f t="shared" si="10"/>
        <v>14.337127347331432</v>
      </c>
      <c r="P75" s="34">
        <f t="shared" si="17"/>
        <v>14.337127347331432</v>
      </c>
      <c r="Q75" s="34">
        <f t="shared" si="18"/>
        <v>33.692249266228863</v>
      </c>
      <c r="R75" s="37">
        <f t="shared" si="19"/>
        <v>13.890435046409792</v>
      </c>
      <c r="S75" s="44"/>
      <c r="T75" s="44"/>
      <c r="U75" s="34">
        <f t="shared" si="11"/>
        <v>7.4137931034482758</v>
      </c>
      <c r="V75" s="34">
        <f t="shared" si="12"/>
        <v>7.4137931034482758</v>
      </c>
      <c r="W75" s="54">
        <f t="shared" si="13"/>
        <v>3469.655172413793</v>
      </c>
      <c r="X75" s="56">
        <f t="shared" si="14"/>
        <v>63.125581395348838</v>
      </c>
      <c r="Y75" s="44">
        <v>9.9</v>
      </c>
      <c r="Z75" s="44">
        <v>17.899999999999999</v>
      </c>
      <c r="AA75" s="60">
        <v>13.9</v>
      </c>
      <c r="AB75" s="44" t="s">
        <v>281</v>
      </c>
      <c r="AC75" s="44" t="s">
        <v>37</v>
      </c>
      <c r="AD75" s="44" t="s">
        <v>38</v>
      </c>
    </row>
    <row r="76" spans="1:30" s="61" customFormat="1">
      <c r="A76" s="44" t="s">
        <v>62</v>
      </c>
      <c r="B76" s="44" t="s">
        <v>282</v>
      </c>
      <c r="C76" s="44" t="s">
        <v>60</v>
      </c>
      <c r="D76" s="44" t="s">
        <v>147</v>
      </c>
      <c r="E76" s="44">
        <v>2018</v>
      </c>
      <c r="F76" s="44" t="s">
        <v>32</v>
      </c>
      <c r="G76" s="44">
        <v>1999</v>
      </c>
      <c r="H76" s="44" t="s">
        <v>33</v>
      </c>
      <c r="I76" s="44" t="s">
        <v>34</v>
      </c>
      <c r="J76" s="44" t="s">
        <v>74</v>
      </c>
      <c r="K76" s="59">
        <v>463</v>
      </c>
      <c r="L76" s="44">
        <v>224</v>
      </c>
      <c r="M76" s="36">
        <f t="shared" si="15"/>
        <v>103712</v>
      </c>
      <c r="N76" s="37">
        <f t="shared" si="16"/>
        <v>208.01519999999999</v>
      </c>
      <c r="O76" s="34">
        <f t="shared" si="10"/>
        <v>11.234082893942366</v>
      </c>
      <c r="P76" s="34">
        <f t="shared" si="17"/>
        <v>11.234082893942366</v>
      </c>
      <c r="Q76" s="34">
        <f t="shared" si="18"/>
        <v>26.400094800764563</v>
      </c>
      <c r="R76" s="37">
        <f t="shared" si="19"/>
        <v>17.537815810668651</v>
      </c>
      <c r="S76" s="44"/>
      <c r="T76" s="44"/>
      <c r="U76" s="34">
        <f t="shared" si="11"/>
        <v>9.6551724137931032</v>
      </c>
      <c r="V76" s="34">
        <f t="shared" si="12"/>
        <v>9.6551724137931032</v>
      </c>
      <c r="W76" s="54">
        <f t="shared" si="13"/>
        <v>4470.3448275862065</v>
      </c>
      <c r="X76" s="56">
        <f t="shared" si="14"/>
        <v>47.953571428571429</v>
      </c>
      <c r="Y76" s="44">
        <v>7.8</v>
      </c>
      <c r="Z76" s="44">
        <v>12.9</v>
      </c>
      <c r="AA76" s="60">
        <v>10.4</v>
      </c>
      <c r="AB76" s="44" t="s">
        <v>283</v>
      </c>
      <c r="AC76" s="44" t="s">
        <v>37</v>
      </c>
      <c r="AD76" s="44" t="s">
        <v>38</v>
      </c>
    </row>
    <row r="77" spans="1:30" s="61" customFormat="1">
      <c r="A77" s="44" t="s">
        <v>68</v>
      </c>
      <c r="B77" s="44" t="s">
        <v>284</v>
      </c>
      <c r="C77" s="44" t="s">
        <v>60</v>
      </c>
      <c r="D77" s="44" t="s">
        <v>175</v>
      </c>
      <c r="E77" s="44">
        <v>2018</v>
      </c>
      <c r="F77" s="44" t="s">
        <v>32</v>
      </c>
      <c r="G77" s="44">
        <v>3498</v>
      </c>
      <c r="H77" s="44" t="s">
        <v>33</v>
      </c>
      <c r="I77" s="44" t="s">
        <v>34</v>
      </c>
      <c r="J77" s="44" t="s">
        <v>74</v>
      </c>
      <c r="K77" s="59">
        <v>445</v>
      </c>
      <c r="L77" s="44">
        <v>226</v>
      </c>
      <c r="M77" s="36">
        <f t="shared" si="15"/>
        <v>100570</v>
      </c>
      <c r="N77" s="37">
        <f t="shared" si="16"/>
        <v>209.74680000000001</v>
      </c>
      <c r="O77" s="34">
        <f t="shared" si="10"/>
        <v>11.141338032332317</v>
      </c>
      <c r="P77" s="34">
        <f t="shared" si="17"/>
        <v>11.141338032332317</v>
      </c>
      <c r="Q77" s="34">
        <f t="shared" si="18"/>
        <v>26.182144375980947</v>
      </c>
      <c r="R77" s="37">
        <f t="shared" si="19"/>
        <v>16.996316023993643</v>
      </c>
      <c r="S77" s="44"/>
      <c r="T77" s="44"/>
      <c r="U77" s="34">
        <f t="shared" si="11"/>
        <v>9.7413793103448274</v>
      </c>
      <c r="V77" s="34">
        <f t="shared" si="12"/>
        <v>9.7413793103448274</v>
      </c>
      <c r="W77" s="54">
        <f t="shared" si="13"/>
        <v>4334.9137931034484</v>
      </c>
      <c r="X77" s="56">
        <f t="shared" si="14"/>
        <v>45.681415929203538</v>
      </c>
      <c r="Y77" s="44">
        <v>7.6</v>
      </c>
      <c r="Z77" s="44">
        <v>13.2</v>
      </c>
      <c r="AA77" s="60">
        <v>9.6999999999999993</v>
      </c>
      <c r="AB77" s="44" t="s">
        <v>285</v>
      </c>
      <c r="AC77" s="44" t="s">
        <v>37</v>
      </c>
      <c r="AD77" s="44" t="s">
        <v>38</v>
      </c>
    </row>
    <row r="78" spans="1:30" s="61" customFormat="1">
      <c r="A78" s="44" t="s">
        <v>203</v>
      </c>
      <c r="B78" s="44" t="s">
        <v>216</v>
      </c>
      <c r="C78" s="44" t="s">
        <v>60</v>
      </c>
      <c r="D78" s="44" t="s">
        <v>31</v>
      </c>
      <c r="E78" s="44">
        <v>2018</v>
      </c>
      <c r="F78" s="44" t="s">
        <v>32</v>
      </c>
      <c r="G78" s="44">
        <v>1595</v>
      </c>
      <c r="H78" s="44" t="s">
        <v>33</v>
      </c>
      <c r="I78" s="44" t="s">
        <v>34</v>
      </c>
      <c r="J78" s="44" t="s">
        <v>74</v>
      </c>
      <c r="K78" s="59">
        <v>440</v>
      </c>
      <c r="L78" s="44">
        <v>139</v>
      </c>
      <c r="M78" s="36">
        <f t="shared" si="15"/>
        <v>61160</v>
      </c>
      <c r="N78" s="37">
        <f t="shared" si="16"/>
        <v>134.4222</v>
      </c>
      <c r="O78" s="34">
        <f t="shared" si="10"/>
        <v>17.384479646963076</v>
      </c>
      <c r="P78" s="34">
        <f t="shared" si="17"/>
        <v>17.384479646963076</v>
      </c>
      <c r="Q78" s="34">
        <f t="shared" si="18"/>
        <v>40.853527170363229</v>
      </c>
      <c r="R78" s="37">
        <f t="shared" si="19"/>
        <v>10.770183885595893</v>
      </c>
      <c r="S78" s="44"/>
      <c r="T78" s="44"/>
      <c r="U78" s="34">
        <f t="shared" si="11"/>
        <v>5.9913793103448274</v>
      </c>
      <c r="V78" s="34">
        <f t="shared" si="12"/>
        <v>5.9913793103448274</v>
      </c>
      <c r="W78" s="54">
        <f t="shared" si="13"/>
        <v>2636.2068965517242</v>
      </c>
      <c r="X78" s="56">
        <f t="shared" si="14"/>
        <v>73.438848920863308</v>
      </c>
      <c r="Y78" s="44">
        <v>13.5</v>
      </c>
      <c r="Z78" s="44">
        <v>19.600000000000001</v>
      </c>
      <c r="AA78" s="60">
        <v>16.7</v>
      </c>
      <c r="AB78" s="44" t="s">
        <v>217</v>
      </c>
      <c r="AC78" s="44" t="s">
        <v>37</v>
      </c>
      <c r="AD78" s="44" t="s">
        <v>38</v>
      </c>
    </row>
    <row r="79" spans="1:30" s="61" customFormat="1">
      <c r="A79" s="44" t="s">
        <v>102</v>
      </c>
      <c r="B79" s="44" t="s">
        <v>137</v>
      </c>
      <c r="C79" s="44" t="s">
        <v>94</v>
      </c>
      <c r="D79" s="44" t="s">
        <v>175</v>
      </c>
      <c r="E79" s="44">
        <v>2018</v>
      </c>
      <c r="F79" s="44" t="s">
        <v>103</v>
      </c>
      <c r="G79" s="44">
        <v>2755</v>
      </c>
      <c r="H79" s="44" t="s">
        <v>33</v>
      </c>
      <c r="I79" s="44" t="s">
        <v>34</v>
      </c>
      <c r="J79" s="44" t="s">
        <v>74</v>
      </c>
      <c r="K79" s="59">
        <v>395</v>
      </c>
      <c r="L79" s="44">
        <v>230</v>
      </c>
      <c r="M79" s="36">
        <f t="shared" si="15"/>
        <v>90850</v>
      </c>
      <c r="N79" s="37">
        <f t="shared" si="16"/>
        <v>200.637</v>
      </c>
      <c r="O79" s="34">
        <f t="shared" si="10"/>
        <v>13.379386653508575</v>
      </c>
      <c r="P79" s="34">
        <f t="shared" si="17"/>
        <v>12.388320975470902</v>
      </c>
      <c r="Q79" s="34">
        <f t="shared" si="18"/>
        <v>29.112554292356624</v>
      </c>
      <c r="R79" s="37">
        <f t="shared" si="19"/>
        <v>13.568029655979227</v>
      </c>
      <c r="S79" s="44"/>
      <c r="T79" s="44"/>
      <c r="U79" s="34">
        <f t="shared" si="11"/>
        <v>8.5872162485065697</v>
      </c>
      <c r="V79" s="34">
        <f t="shared" si="12"/>
        <v>9.2741935483870961</v>
      </c>
      <c r="W79" s="54">
        <f t="shared" si="13"/>
        <v>3663.3064516129029</v>
      </c>
      <c r="X79" s="56">
        <f t="shared" si="14"/>
        <v>42.591304347826089</v>
      </c>
      <c r="Y79" s="44">
        <v>9.1</v>
      </c>
      <c r="Z79" s="44">
        <v>13.5</v>
      </c>
      <c r="AA79" s="60">
        <v>11.5</v>
      </c>
      <c r="AB79" s="44" t="s">
        <v>196</v>
      </c>
      <c r="AC79" s="44" t="s">
        <v>37</v>
      </c>
      <c r="AD79" s="44" t="s">
        <v>38</v>
      </c>
    </row>
    <row r="80" spans="1:30" s="61" customFormat="1">
      <c r="A80" s="44" t="s">
        <v>43</v>
      </c>
      <c r="B80" s="44" t="s">
        <v>286</v>
      </c>
      <c r="C80" s="44" t="s">
        <v>94</v>
      </c>
      <c r="D80" s="44" t="s">
        <v>147</v>
      </c>
      <c r="E80" s="44">
        <v>2018</v>
      </c>
      <c r="F80" s="44" t="s">
        <v>32</v>
      </c>
      <c r="G80" s="44">
        <v>2488</v>
      </c>
      <c r="H80" s="44" t="s">
        <v>33</v>
      </c>
      <c r="I80" s="44" t="s">
        <v>34</v>
      </c>
      <c r="J80" s="44" t="s">
        <v>74</v>
      </c>
      <c r="K80" s="59">
        <v>389</v>
      </c>
      <c r="L80" s="44">
        <v>253</v>
      </c>
      <c r="M80" s="36">
        <f t="shared" si="15"/>
        <v>98417</v>
      </c>
      <c r="N80" s="37">
        <f t="shared" si="16"/>
        <v>233.1234</v>
      </c>
      <c r="O80" s="34">
        <f t="shared" si="10"/>
        <v>10.024133141503599</v>
      </c>
      <c r="P80" s="34">
        <f t="shared" si="17"/>
        <v>10.024133141503599</v>
      </c>
      <c r="Q80" s="34">
        <f t="shared" si="18"/>
        <v>23.556712882533457</v>
      </c>
      <c r="R80" s="37">
        <f t="shared" si="19"/>
        <v>16.51333961320346</v>
      </c>
      <c r="S80" s="44"/>
      <c r="T80" s="44"/>
      <c r="U80" s="34">
        <f t="shared" si="11"/>
        <v>10.905172413793103</v>
      </c>
      <c r="V80" s="34">
        <f t="shared" si="12"/>
        <v>10.905172413793103</v>
      </c>
      <c r="W80" s="54">
        <f t="shared" si="13"/>
        <v>4242.1120689655172</v>
      </c>
      <c r="X80" s="56">
        <f t="shared" si="14"/>
        <v>35.67114624505929</v>
      </c>
      <c r="Y80" s="44">
        <v>7.8</v>
      </c>
      <c r="Z80" s="44">
        <v>10.7</v>
      </c>
      <c r="AA80" s="60">
        <v>9.4</v>
      </c>
      <c r="AB80" s="44" t="s">
        <v>287</v>
      </c>
      <c r="AC80" s="44" t="s">
        <v>37</v>
      </c>
      <c r="AD80" s="44" t="s">
        <v>38</v>
      </c>
    </row>
    <row r="81" spans="1:30" s="61" customFormat="1">
      <c r="A81" s="44" t="s">
        <v>288</v>
      </c>
      <c r="B81" s="44" t="s">
        <v>289</v>
      </c>
      <c r="C81" s="44" t="s">
        <v>94</v>
      </c>
      <c r="D81" s="44" t="s">
        <v>175</v>
      </c>
      <c r="E81" s="44">
        <v>2018</v>
      </c>
      <c r="F81" s="44" t="s">
        <v>103</v>
      </c>
      <c r="G81" s="44">
        <v>2442</v>
      </c>
      <c r="H81" s="44" t="s">
        <v>33</v>
      </c>
      <c r="I81" s="44" t="s">
        <v>34</v>
      </c>
      <c r="J81" s="44" t="s">
        <v>74</v>
      </c>
      <c r="K81" s="59">
        <v>387</v>
      </c>
      <c r="L81" s="44">
        <v>222</v>
      </c>
      <c r="M81" s="36">
        <f t="shared" si="15"/>
        <v>85914</v>
      </c>
      <c r="N81" s="37">
        <f t="shared" si="16"/>
        <v>194.4906</v>
      </c>
      <c r="O81" s="34">
        <f t="shared" si="10"/>
        <v>13.802209464107777</v>
      </c>
      <c r="P81" s="34">
        <f t="shared" si="17"/>
        <v>12.77982357787757</v>
      </c>
      <c r="Q81" s="34">
        <f t="shared" si="18"/>
        <v>30.032585408012292</v>
      </c>
      <c r="R81" s="37">
        <f t="shared" si="19"/>
        <v>12.886003477301477</v>
      </c>
      <c r="S81" s="44"/>
      <c r="T81" s="44"/>
      <c r="U81" s="34">
        <f t="shared" si="11"/>
        <v>8.2885304659498207</v>
      </c>
      <c r="V81" s="34">
        <f t="shared" si="12"/>
        <v>8.9516129032258061</v>
      </c>
      <c r="W81" s="54">
        <f t="shared" si="13"/>
        <v>3464.2741935483868</v>
      </c>
      <c r="X81" s="56">
        <f t="shared" si="14"/>
        <v>43.232432432432432</v>
      </c>
      <c r="Y81" s="44">
        <v>9.3000000000000007</v>
      </c>
      <c r="Z81" s="44">
        <v>14.1</v>
      </c>
      <c r="AA81" s="60">
        <v>11.9</v>
      </c>
      <c r="AB81" s="44" t="s">
        <v>290</v>
      </c>
      <c r="AC81" s="44" t="s">
        <v>37</v>
      </c>
      <c r="AD81" s="44" t="s">
        <v>38</v>
      </c>
    </row>
    <row r="82" spans="1:30" s="61" customFormat="1">
      <c r="A82" s="44" t="s">
        <v>90</v>
      </c>
      <c r="B82" s="44" t="s">
        <v>291</v>
      </c>
      <c r="C82" s="44" t="s">
        <v>30</v>
      </c>
      <c r="D82" s="44" t="s">
        <v>31</v>
      </c>
      <c r="E82" s="44">
        <v>2018</v>
      </c>
      <c r="F82" s="44" t="s">
        <v>32</v>
      </c>
      <c r="G82" s="44">
        <v>1984</v>
      </c>
      <c r="H82" s="44" t="s">
        <v>33</v>
      </c>
      <c r="I82" s="44" t="s">
        <v>34</v>
      </c>
      <c r="J82" s="44" t="s">
        <v>74</v>
      </c>
      <c r="K82" s="59">
        <v>573</v>
      </c>
      <c r="L82" s="54">
        <f>1.1325*N82-13.739</f>
        <v>155.44322794591113</v>
      </c>
      <c r="M82" s="54">
        <f>L82*K82</f>
        <v>89068.969613007081</v>
      </c>
      <c r="N82" s="54">
        <f>(23.2*100*2.35)/Q82</f>
        <v>149.3882807469414</v>
      </c>
      <c r="O82" s="34">
        <f t="shared" si="10"/>
        <v>15.64286025862069</v>
      </c>
      <c r="P82" s="34">
        <f>AA82</f>
        <v>15.53</v>
      </c>
      <c r="Q82" s="55">
        <f>P82*2.35</f>
        <v>36.4955</v>
      </c>
      <c r="R82" s="54">
        <f>K82/Q82</f>
        <v>15.70056582318368</v>
      </c>
      <c r="S82" s="54">
        <f>N82</f>
        <v>149.3882807469414</v>
      </c>
      <c r="T82" s="54">
        <f>L82</f>
        <v>155.44322794591113</v>
      </c>
      <c r="U82" s="34">
        <f t="shared" si="11"/>
        <v>6.7001391355996178</v>
      </c>
      <c r="V82" s="34">
        <f t="shared" si="12"/>
        <v>6.7001391355996178</v>
      </c>
      <c r="W82" s="54">
        <f t="shared" si="13"/>
        <v>3839.1797246985811</v>
      </c>
      <c r="X82" s="56">
        <f t="shared" si="14"/>
        <v>85.520612095277087</v>
      </c>
      <c r="Y82" s="44">
        <v>12.6</v>
      </c>
      <c r="Z82" s="44">
        <v>21.7</v>
      </c>
      <c r="AA82" s="60">
        <v>15.53</v>
      </c>
      <c r="AB82" s="44" t="s">
        <v>292</v>
      </c>
      <c r="AC82" s="44" t="s">
        <v>46</v>
      </c>
      <c r="AD82" s="44"/>
    </row>
    <row r="83" spans="1:30" s="61" customFormat="1">
      <c r="A83" s="44" t="s">
        <v>190</v>
      </c>
      <c r="B83" s="44" t="s">
        <v>293</v>
      </c>
      <c r="C83" s="44" t="s">
        <v>60</v>
      </c>
      <c r="D83" s="44" t="s">
        <v>40</v>
      </c>
      <c r="E83" s="44">
        <v>2018</v>
      </c>
      <c r="F83" s="44" t="s">
        <v>32</v>
      </c>
      <c r="G83" s="44">
        <v>1496</v>
      </c>
      <c r="H83" s="44" t="s">
        <v>33</v>
      </c>
      <c r="I83" s="44" t="s">
        <v>34</v>
      </c>
      <c r="J83" s="44" t="s">
        <v>74</v>
      </c>
      <c r="K83" s="59">
        <v>722</v>
      </c>
      <c r="L83" s="44">
        <v>150</v>
      </c>
      <c r="M83" s="36">
        <f t="shared" si="15"/>
        <v>108300</v>
      </c>
      <c r="N83" s="37">
        <f t="shared" si="16"/>
        <v>143.946</v>
      </c>
      <c r="O83" s="34">
        <f t="shared" si="10"/>
        <v>16.234282300307061</v>
      </c>
      <c r="P83" s="34">
        <f t="shared" si="17"/>
        <v>16.234282300307061</v>
      </c>
      <c r="Q83" s="34">
        <f t="shared" si="18"/>
        <v>38.150563405721599</v>
      </c>
      <c r="R83" s="37">
        <f t="shared" si="19"/>
        <v>18.925015400735042</v>
      </c>
      <c r="S83" s="44"/>
      <c r="T83" s="44"/>
      <c r="U83" s="34">
        <f t="shared" si="11"/>
        <v>6.4655172413793105</v>
      </c>
      <c r="V83" s="34">
        <f t="shared" si="12"/>
        <v>6.4655172413793105</v>
      </c>
      <c r="W83" s="54">
        <f t="shared" si="13"/>
        <v>4668.1034482758623</v>
      </c>
      <c r="X83" s="56">
        <f t="shared" si="14"/>
        <v>111.66933333333333</v>
      </c>
      <c r="Y83" s="44">
        <v>12.8</v>
      </c>
      <c r="Z83" s="44">
        <v>18.600000000000001</v>
      </c>
      <c r="AA83" s="60">
        <v>15.9</v>
      </c>
      <c r="AB83" s="44" t="s">
        <v>294</v>
      </c>
      <c r="AC83" s="44" t="s">
        <v>37</v>
      </c>
      <c r="AD83" s="44" t="s">
        <v>38</v>
      </c>
    </row>
    <row r="84" spans="1:30" s="61" customFormat="1">
      <c r="A84" s="44" t="s">
        <v>102</v>
      </c>
      <c r="B84" s="44" t="s">
        <v>111</v>
      </c>
      <c r="C84" s="44" t="s">
        <v>94</v>
      </c>
      <c r="D84" s="44" t="s">
        <v>31</v>
      </c>
      <c r="E84" s="44">
        <v>2018</v>
      </c>
      <c r="F84" s="44" t="s">
        <v>32</v>
      </c>
      <c r="G84" s="44">
        <v>2494</v>
      </c>
      <c r="H84" s="44" t="s">
        <v>33</v>
      </c>
      <c r="I84" s="44" t="s">
        <v>34</v>
      </c>
      <c r="J84" s="44" t="s">
        <v>35</v>
      </c>
      <c r="K84" s="59">
        <v>348</v>
      </c>
      <c r="L84" s="44">
        <v>195</v>
      </c>
      <c r="M84" s="36">
        <f t="shared" si="15"/>
        <v>67860</v>
      </c>
      <c r="N84" s="37">
        <f t="shared" si="16"/>
        <v>182.90699999999998</v>
      </c>
      <c r="O84" s="34">
        <f t="shared" si="10"/>
        <v>12.776219608872271</v>
      </c>
      <c r="P84" s="34">
        <f t="shared" si="17"/>
        <v>12.776219608872271</v>
      </c>
      <c r="Q84" s="34">
        <f t="shared" si="18"/>
        <v>30.024116080849836</v>
      </c>
      <c r="R84" s="37">
        <f t="shared" si="19"/>
        <v>11.590682605372802</v>
      </c>
      <c r="S84" s="44"/>
      <c r="T84" s="44"/>
      <c r="U84" s="34">
        <f t="shared" si="11"/>
        <v>8.4051724137931032</v>
      </c>
      <c r="V84" s="34">
        <f t="shared" si="12"/>
        <v>8.4051724137931032</v>
      </c>
      <c r="W84" s="110">
        <f t="shared" si="13"/>
        <v>2925</v>
      </c>
      <c r="X84" s="56">
        <f t="shared" si="14"/>
        <v>41.403076923076924</v>
      </c>
      <c r="Y84" s="44">
        <v>9.1</v>
      </c>
      <c r="Z84" s="44">
        <v>15.3</v>
      </c>
      <c r="AA84" s="60">
        <v>12.2</v>
      </c>
      <c r="AB84" s="44" t="s">
        <v>211</v>
      </c>
      <c r="AC84" s="44" t="s">
        <v>37</v>
      </c>
      <c r="AD84" s="44" t="s">
        <v>38</v>
      </c>
    </row>
    <row r="85" spans="1:30" s="61" customFormat="1">
      <c r="A85" s="44" t="s">
        <v>62</v>
      </c>
      <c r="B85" s="44" t="s">
        <v>63</v>
      </c>
      <c r="C85" s="44" t="s">
        <v>30</v>
      </c>
      <c r="D85" s="44" t="s">
        <v>31</v>
      </c>
      <c r="E85" s="44">
        <v>2018</v>
      </c>
      <c r="F85" s="44" t="s">
        <v>32</v>
      </c>
      <c r="G85" s="44">
        <v>1597</v>
      </c>
      <c r="H85" s="44" t="s">
        <v>33</v>
      </c>
      <c r="I85" s="44" t="s">
        <v>34</v>
      </c>
      <c r="J85" s="44" t="s">
        <v>35</v>
      </c>
      <c r="K85" s="59">
        <v>271</v>
      </c>
      <c r="L85" s="44">
        <v>153</v>
      </c>
      <c r="M85" s="36">
        <f t="shared" si="15"/>
        <v>41463</v>
      </c>
      <c r="N85" s="37">
        <f t="shared" si="16"/>
        <v>146.54339999999999</v>
      </c>
      <c r="O85" s="34">
        <f t="shared" si="10"/>
        <v>15.946538704574893</v>
      </c>
      <c r="P85" s="34">
        <f t="shared" si="17"/>
        <v>15.946538704574893</v>
      </c>
      <c r="Q85" s="34">
        <f t="shared" si="18"/>
        <v>37.474365955750997</v>
      </c>
      <c r="R85" s="37">
        <f t="shared" si="19"/>
        <v>7.231610010960333</v>
      </c>
      <c r="S85" s="44"/>
      <c r="T85" s="44"/>
      <c r="U85" s="34">
        <f t="shared" si="11"/>
        <v>6.5948275862068968</v>
      </c>
      <c r="V85" s="34">
        <f t="shared" si="12"/>
        <v>6.5948275862068968</v>
      </c>
      <c r="W85" s="54">
        <f t="shared" si="13"/>
        <v>1787.1982758620691</v>
      </c>
      <c r="X85" s="56">
        <f t="shared" si="14"/>
        <v>41.092810457516336</v>
      </c>
      <c r="Y85" s="44">
        <v>11.4</v>
      </c>
      <c r="Z85" s="44">
        <v>19.600000000000001</v>
      </c>
      <c r="AA85" s="60">
        <v>15.5</v>
      </c>
      <c r="AB85" s="44" t="s">
        <v>234</v>
      </c>
      <c r="AC85" s="44" t="s">
        <v>37</v>
      </c>
      <c r="AD85" s="44" t="s">
        <v>181</v>
      </c>
    </row>
    <row r="86" spans="1:30" s="61" customFormat="1">
      <c r="A86" s="44" t="s">
        <v>190</v>
      </c>
      <c r="B86" s="44" t="s">
        <v>259</v>
      </c>
      <c r="C86" s="44" t="s">
        <v>94</v>
      </c>
      <c r="D86" s="44" t="s">
        <v>31</v>
      </c>
      <c r="E86" s="44">
        <v>2018</v>
      </c>
      <c r="F86" s="44" t="s">
        <v>32</v>
      </c>
      <c r="G86" s="44">
        <v>1498</v>
      </c>
      <c r="H86" s="44" t="s">
        <v>33</v>
      </c>
      <c r="I86" s="44" t="s">
        <v>34</v>
      </c>
      <c r="J86" s="44" t="s">
        <v>74</v>
      </c>
      <c r="K86" s="59">
        <v>271</v>
      </c>
      <c r="L86" s="44">
        <v>169</v>
      </c>
      <c r="M86" s="36">
        <f t="shared" si="15"/>
        <v>45799</v>
      </c>
      <c r="N86" s="37">
        <f t="shared" si="16"/>
        <v>160.39619999999999</v>
      </c>
      <c r="O86" s="34">
        <f t="shared" si="10"/>
        <v>14.569297776381237</v>
      </c>
      <c r="P86" s="34">
        <f t="shared" si="17"/>
        <v>14.569297776381237</v>
      </c>
      <c r="Q86" s="34">
        <f t="shared" si="18"/>
        <v>34.237849774495906</v>
      </c>
      <c r="R86" s="37">
        <f t="shared" si="19"/>
        <v>7.9152166910280224</v>
      </c>
      <c r="S86" s="44"/>
      <c r="T86" s="44"/>
      <c r="U86" s="34">
        <f t="shared" si="11"/>
        <v>7.2844827586206895</v>
      </c>
      <c r="V86" s="34">
        <f t="shared" si="12"/>
        <v>7.2844827586206895</v>
      </c>
      <c r="W86" s="54">
        <f t="shared" si="13"/>
        <v>1974.0948275862067</v>
      </c>
      <c r="X86" s="56">
        <f t="shared" si="14"/>
        <v>37.202366863905326</v>
      </c>
      <c r="Y86" s="44">
        <v>10.7</v>
      </c>
      <c r="Z86" s="44">
        <v>17.2</v>
      </c>
      <c r="AA86" s="60">
        <v>14.1</v>
      </c>
      <c r="AB86" s="44" t="s">
        <v>295</v>
      </c>
      <c r="AC86" s="44" t="s">
        <v>37</v>
      </c>
      <c r="AD86" s="44" t="s">
        <v>38</v>
      </c>
    </row>
    <row r="87" spans="1:30" s="61" customFormat="1">
      <c r="A87" s="44" t="s">
        <v>288</v>
      </c>
      <c r="B87" s="44" t="s">
        <v>289</v>
      </c>
      <c r="C87" s="44" t="s">
        <v>94</v>
      </c>
      <c r="D87" s="44" t="s">
        <v>175</v>
      </c>
      <c r="E87" s="44">
        <v>2018</v>
      </c>
      <c r="F87" s="44" t="s">
        <v>32</v>
      </c>
      <c r="G87" s="44">
        <v>2998</v>
      </c>
      <c r="H87" s="44" t="s">
        <v>33</v>
      </c>
      <c r="I87" s="44" t="s">
        <v>34</v>
      </c>
      <c r="J87" s="44" t="s">
        <v>74</v>
      </c>
      <c r="K87" s="59">
        <v>405</v>
      </c>
      <c r="L87" s="54">
        <f>1.1325*N87-13.739</f>
        <v>217.13973462214409</v>
      </c>
      <c r="M87" s="54">
        <f>L87*K87</f>
        <v>87941.592521968356</v>
      </c>
      <c r="N87" s="54">
        <f>(23.2*100*2.35)/Q87</f>
        <v>203.86643233743408</v>
      </c>
      <c r="O87" s="34">
        <f t="shared" si="10"/>
        <v>11.462701206896554</v>
      </c>
      <c r="P87" s="34">
        <f>AA87</f>
        <v>11.38</v>
      </c>
      <c r="Q87" s="55">
        <f>P87*2.35</f>
        <v>26.743000000000002</v>
      </c>
      <c r="R87" s="54">
        <f>K87/Q87</f>
        <v>15.144149870994278</v>
      </c>
      <c r="S87" s="54">
        <f>N87</f>
        <v>203.86643233743408</v>
      </c>
      <c r="T87" s="54">
        <f>L87</f>
        <v>217.13973462214409</v>
      </c>
      <c r="U87" s="34">
        <f t="shared" si="11"/>
        <v>9.3594713199200044</v>
      </c>
      <c r="V87" s="34">
        <f t="shared" si="12"/>
        <v>9.3594713199200044</v>
      </c>
      <c r="W87" s="54">
        <f t="shared" si="13"/>
        <v>3790.5858845676016</v>
      </c>
      <c r="X87" s="56">
        <f t="shared" si="14"/>
        <v>43.271674879544534</v>
      </c>
      <c r="Y87" s="44">
        <v>8.75</v>
      </c>
      <c r="Z87" s="44">
        <v>12.26</v>
      </c>
      <c r="AA87" s="60">
        <v>11.38</v>
      </c>
      <c r="AB87" s="44" t="s">
        <v>296</v>
      </c>
      <c r="AC87" s="44" t="s">
        <v>46</v>
      </c>
      <c r="AD87" s="44"/>
    </row>
    <row r="88" spans="1:30" s="61" customFormat="1">
      <c r="A88" s="44" t="s">
        <v>135</v>
      </c>
      <c r="B88" s="44" t="s">
        <v>255</v>
      </c>
      <c r="C88" s="44" t="s">
        <v>30</v>
      </c>
      <c r="D88" s="44" t="s">
        <v>57</v>
      </c>
      <c r="E88" s="44">
        <v>2018</v>
      </c>
      <c r="F88" s="44" t="s">
        <v>32</v>
      </c>
      <c r="G88" s="44">
        <v>998</v>
      </c>
      <c r="H88" s="44" t="s">
        <v>33</v>
      </c>
      <c r="I88" s="44" t="s">
        <v>34</v>
      </c>
      <c r="J88" s="44" t="s">
        <v>35</v>
      </c>
      <c r="K88" s="59">
        <v>241</v>
      </c>
      <c r="L88" s="44">
        <v>126</v>
      </c>
      <c r="M88" s="36">
        <f t="shared" si="15"/>
        <v>30366</v>
      </c>
      <c r="N88" s="37">
        <f t="shared" si="16"/>
        <v>123.16679999999999</v>
      </c>
      <c r="O88" s="34">
        <f t="shared" si="10"/>
        <v>18.973132370086745</v>
      </c>
      <c r="P88" s="34">
        <f t="shared" si="17"/>
        <v>18.973132370086745</v>
      </c>
      <c r="Q88" s="34">
        <f t="shared" si="18"/>
        <v>44.586861069703851</v>
      </c>
      <c r="R88" s="37">
        <f t="shared" si="19"/>
        <v>5.4051797820716319</v>
      </c>
      <c r="S88" s="44"/>
      <c r="T88" s="44"/>
      <c r="U88" s="34">
        <f t="shared" si="11"/>
        <v>5.431034482758621</v>
      </c>
      <c r="V88" s="34">
        <f t="shared" si="12"/>
        <v>5.431034482758621</v>
      </c>
      <c r="W88" s="54">
        <f t="shared" si="13"/>
        <v>1308.8793103448277</v>
      </c>
      <c r="X88" s="56">
        <f t="shared" si="14"/>
        <v>44.374603174603173</v>
      </c>
      <c r="Y88" s="44">
        <v>15.2</v>
      </c>
      <c r="Z88" s="44">
        <v>21.9</v>
      </c>
      <c r="AA88" s="60">
        <v>18.8</v>
      </c>
      <c r="AB88" s="44" t="s">
        <v>297</v>
      </c>
      <c r="AC88" s="44" t="s">
        <v>37</v>
      </c>
      <c r="AD88" s="44" t="s">
        <v>38</v>
      </c>
    </row>
    <row r="89" spans="1:30" s="61" customFormat="1">
      <c r="A89" s="44" t="s">
        <v>90</v>
      </c>
      <c r="B89" s="44" t="s">
        <v>269</v>
      </c>
      <c r="C89" s="44" t="s">
        <v>60</v>
      </c>
      <c r="D89" s="44" t="s">
        <v>147</v>
      </c>
      <c r="E89" s="44">
        <v>2018</v>
      </c>
      <c r="F89" s="44" t="s">
        <v>32</v>
      </c>
      <c r="G89" s="44">
        <v>1395</v>
      </c>
      <c r="H89" s="44" t="s">
        <v>33</v>
      </c>
      <c r="I89" s="44" t="s">
        <v>34</v>
      </c>
      <c r="J89" s="44" t="s">
        <v>35</v>
      </c>
      <c r="K89" s="59">
        <v>236</v>
      </c>
      <c r="L89" s="44">
        <v>187</v>
      </c>
      <c r="M89" s="36">
        <f t="shared" si="15"/>
        <v>44132</v>
      </c>
      <c r="N89" s="37">
        <f t="shared" si="16"/>
        <v>175.98060000000001</v>
      </c>
      <c r="O89" s="34">
        <f t="shared" si="10"/>
        <v>13.279077352844574</v>
      </c>
      <c r="P89" s="34">
        <f t="shared" si="17"/>
        <v>13.279077352844574</v>
      </c>
      <c r="Q89" s="34">
        <f t="shared" si="18"/>
        <v>31.205831779184749</v>
      </c>
      <c r="R89" s="37">
        <f t="shared" si="19"/>
        <v>7.562688976533523</v>
      </c>
      <c r="S89" s="44"/>
      <c r="T89" s="44"/>
      <c r="U89" s="34">
        <f t="shared" si="11"/>
        <v>8.0603448275862064</v>
      </c>
      <c r="V89" s="34">
        <f t="shared" si="12"/>
        <v>8.0603448275862064</v>
      </c>
      <c r="W89" s="54">
        <f t="shared" si="13"/>
        <v>1902.2413793103447</v>
      </c>
      <c r="X89" s="56">
        <f t="shared" si="14"/>
        <v>29.27914438502674</v>
      </c>
      <c r="Y89" s="44">
        <v>10.1</v>
      </c>
      <c r="Z89" s="44">
        <v>15.2</v>
      </c>
      <c r="AA89" s="60">
        <v>12.8</v>
      </c>
      <c r="AB89" s="44" t="s">
        <v>298</v>
      </c>
      <c r="AC89" s="44" t="s">
        <v>37</v>
      </c>
      <c r="AD89" s="44" t="s">
        <v>38</v>
      </c>
    </row>
    <row r="90" spans="1:30" s="61" customFormat="1">
      <c r="A90" s="44" t="s">
        <v>43</v>
      </c>
      <c r="B90" s="44" t="s">
        <v>286</v>
      </c>
      <c r="C90" s="44" t="s">
        <v>60</v>
      </c>
      <c r="D90" s="44" t="s">
        <v>147</v>
      </c>
      <c r="E90" s="44">
        <v>2018</v>
      </c>
      <c r="F90" s="44" t="s">
        <v>32</v>
      </c>
      <c r="G90" s="44">
        <v>2488</v>
      </c>
      <c r="H90" s="44" t="s">
        <v>33</v>
      </c>
      <c r="I90" s="44" t="s">
        <v>34</v>
      </c>
      <c r="J90" s="44" t="s">
        <v>74</v>
      </c>
      <c r="K90" s="59">
        <v>230</v>
      </c>
      <c r="L90" s="44">
        <v>212</v>
      </c>
      <c r="M90" s="36">
        <f t="shared" si="15"/>
        <v>48760</v>
      </c>
      <c r="N90" s="37">
        <f t="shared" si="16"/>
        <v>197.62559999999999</v>
      </c>
      <c r="O90" s="34">
        <f t="shared" si="10"/>
        <v>11.824682632209594</v>
      </c>
      <c r="P90" s="34">
        <f t="shared" si="17"/>
        <v>11.824682632209594</v>
      </c>
      <c r="Q90" s="34">
        <f t="shared" si="18"/>
        <v>27.788004185692547</v>
      </c>
      <c r="R90" s="37">
        <f t="shared" si="19"/>
        <v>8.2769528341449625</v>
      </c>
      <c r="S90" s="44"/>
      <c r="T90" s="44"/>
      <c r="U90" s="34">
        <f t="shared" si="11"/>
        <v>9.1379310344827598</v>
      </c>
      <c r="V90" s="34">
        <f t="shared" si="12"/>
        <v>9.1379310344827598</v>
      </c>
      <c r="W90" s="54">
        <f t="shared" si="13"/>
        <v>2101.7241379310349</v>
      </c>
      <c r="X90" s="56">
        <f t="shared" si="14"/>
        <v>25.169811320754715</v>
      </c>
      <c r="Y90" s="44">
        <v>8.9</v>
      </c>
      <c r="Z90" s="44">
        <v>13.2</v>
      </c>
      <c r="AA90" s="60">
        <v>11.2</v>
      </c>
      <c r="AB90" s="44" t="s">
        <v>299</v>
      </c>
      <c r="AC90" s="44" t="s">
        <v>37</v>
      </c>
      <c r="AD90" s="44" t="s">
        <v>38</v>
      </c>
    </row>
    <row r="91" spans="1:30" s="61" customFormat="1">
      <c r="A91" s="44" t="s">
        <v>102</v>
      </c>
      <c r="B91" s="44" t="s">
        <v>240</v>
      </c>
      <c r="C91" s="44" t="s">
        <v>94</v>
      </c>
      <c r="D91" s="44" t="s">
        <v>175</v>
      </c>
      <c r="E91" s="44">
        <v>2018</v>
      </c>
      <c r="F91" s="44" t="s">
        <v>32</v>
      </c>
      <c r="G91" s="44">
        <v>3956</v>
      </c>
      <c r="H91" s="44" t="s">
        <v>33</v>
      </c>
      <c r="I91" s="44" t="s">
        <v>34</v>
      </c>
      <c r="J91" s="44" t="s">
        <v>74</v>
      </c>
      <c r="K91" s="59">
        <v>199</v>
      </c>
      <c r="L91" s="44">
        <v>268</v>
      </c>
      <c r="M91" s="36">
        <f t="shared" si="15"/>
        <v>53332</v>
      </c>
      <c r="N91" s="37">
        <f t="shared" si="16"/>
        <v>246.1104</v>
      </c>
      <c r="O91" s="34">
        <f t="shared" si="10"/>
        <v>9.4951696474427738</v>
      </c>
      <c r="P91" s="34">
        <f t="shared" si="17"/>
        <v>9.4951696474427738</v>
      </c>
      <c r="Q91" s="34">
        <f t="shared" si="18"/>
        <v>22.313648671490519</v>
      </c>
      <c r="R91" s="37">
        <f t="shared" si="19"/>
        <v>8.9183083828982372</v>
      </c>
      <c r="S91" s="44"/>
      <c r="T91" s="44"/>
      <c r="U91" s="34">
        <f t="shared" si="11"/>
        <v>11.551724137931036</v>
      </c>
      <c r="V91" s="34">
        <f t="shared" si="12"/>
        <v>11.551724137931036</v>
      </c>
      <c r="W91" s="54">
        <f t="shared" si="13"/>
        <v>2298.7931034482763</v>
      </c>
      <c r="X91" s="56">
        <f t="shared" si="14"/>
        <v>17.226865671641789</v>
      </c>
      <c r="Y91" s="44">
        <v>6.5</v>
      </c>
      <c r="Z91" s="44">
        <v>10.9</v>
      </c>
      <c r="AA91" s="60">
        <v>8.6999999999999993</v>
      </c>
      <c r="AB91" s="44" t="s">
        <v>300</v>
      </c>
      <c r="AC91" s="44" t="s">
        <v>37</v>
      </c>
      <c r="AD91" s="44" t="s">
        <v>38</v>
      </c>
    </row>
    <row r="92" spans="1:30" s="61" customFormat="1">
      <c r="A92" s="44" t="s">
        <v>62</v>
      </c>
      <c r="B92" s="44" t="s">
        <v>73</v>
      </c>
      <c r="C92" s="44" t="s">
        <v>60</v>
      </c>
      <c r="D92" s="44" t="s">
        <v>31</v>
      </c>
      <c r="E92" s="44">
        <v>2018</v>
      </c>
      <c r="F92" s="44" t="s">
        <v>32</v>
      </c>
      <c r="G92" s="44">
        <v>1497</v>
      </c>
      <c r="H92" s="44" t="s">
        <v>33</v>
      </c>
      <c r="I92" s="44" t="s">
        <v>34</v>
      </c>
      <c r="J92" s="44" t="s">
        <v>35</v>
      </c>
      <c r="K92" s="59">
        <v>157</v>
      </c>
      <c r="L92" s="44">
        <v>159</v>
      </c>
      <c r="M92" s="36">
        <f t="shared" si="15"/>
        <v>24963</v>
      </c>
      <c r="N92" s="37">
        <f t="shared" si="16"/>
        <v>151.73820000000001</v>
      </c>
      <c r="O92" s="34">
        <f t="shared" si="10"/>
        <v>15.400604462159167</v>
      </c>
      <c r="P92" s="34">
        <f t="shared" si="17"/>
        <v>15.400604462159167</v>
      </c>
      <c r="Q92" s="34">
        <f t="shared" si="18"/>
        <v>36.191420486074044</v>
      </c>
      <c r="R92" s="37">
        <f t="shared" si="19"/>
        <v>4.3380447048330533</v>
      </c>
      <c r="S92" s="44"/>
      <c r="T92" s="44"/>
      <c r="U92" s="34">
        <f t="shared" si="11"/>
        <v>6.8534482758620694</v>
      </c>
      <c r="V92" s="34">
        <f t="shared" si="12"/>
        <v>6.8534482758620694</v>
      </c>
      <c r="W92" s="54">
        <f t="shared" si="13"/>
        <v>1075.9913793103449</v>
      </c>
      <c r="X92" s="56">
        <f t="shared" si="14"/>
        <v>22.908176100628928</v>
      </c>
      <c r="Y92" s="44">
        <v>11.2</v>
      </c>
      <c r="Z92" s="44">
        <v>18.3</v>
      </c>
      <c r="AA92" s="60">
        <v>14.8</v>
      </c>
      <c r="AB92" s="44" t="s">
        <v>301</v>
      </c>
      <c r="AC92" s="44" t="s">
        <v>37</v>
      </c>
      <c r="AD92" s="44" t="s">
        <v>38</v>
      </c>
    </row>
    <row r="93" spans="1:30" s="61" customFormat="1">
      <c r="A93" s="44" t="s">
        <v>102</v>
      </c>
      <c r="B93" s="44" t="s">
        <v>174</v>
      </c>
      <c r="C93" s="44" t="s">
        <v>60</v>
      </c>
      <c r="D93" s="44" t="s">
        <v>175</v>
      </c>
      <c r="E93" s="44">
        <v>2018</v>
      </c>
      <c r="F93" s="44" t="s">
        <v>32</v>
      </c>
      <c r="G93" s="44">
        <v>2694</v>
      </c>
      <c r="H93" s="44" t="s">
        <v>33</v>
      </c>
      <c r="I93" s="44" t="s">
        <v>34</v>
      </c>
      <c r="J93" s="44" t="s">
        <v>35</v>
      </c>
      <c r="K93" s="59">
        <v>106</v>
      </c>
      <c r="L93" s="44">
        <v>265</v>
      </c>
      <c r="M93" s="36">
        <f t="shared" si="15"/>
        <v>28090</v>
      </c>
      <c r="N93" s="37">
        <f t="shared" si="16"/>
        <v>243.51300000000001</v>
      </c>
      <c r="O93" s="34">
        <f t="shared" si="10"/>
        <v>9.5964486495587504</v>
      </c>
      <c r="P93" s="34">
        <f t="shared" si="17"/>
        <v>9.5964486495587504</v>
      </c>
      <c r="Q93" s="34">
        <f t="shared" si="18"/>
        <v>22.551654326463066</v>
      </c>
      <c r="R93" s="37">
        <f t="shared" si="19"/>
        <v>4.7003203607823627</v>
      </c>
      <c r="S93" s="44"/>
      <c r="T93" s="44"/>
      <c r="U93" s="34">
        <f t="shared" si="11"/>
        <v>11.422413793103448</v>
      </c>
      <c r="V93" s="34">
        <f t="shared" si="12"/>
        <v>11.422413793103448</v>
      </c>
      <c r="W93" s="54">
        <f t="shared" si="13"/>
        <v>1210.7758620689656</v>
      </c>
      <c r="X93" s="56">
        <f t="shared" si="14"/>
        <v>9.2799999999999994</v>
      </c>
      <c r="Y93" s="44">
        <v>7</v>
      </c>
      <c r="Z93" s="44">
        <v>10.8</v>
      </c>
      <c r="AA93" s="60">
        <v>9</v>
      </c>
      <c r="AB93" s="44" t="s">
        <v>302</v>
      </c>
      <c r="AC93" s="44" t="s">
        <v>37</v>
      </c>
      <c r="AD93" s="44" t="s">
        <v>38</v>
      </c>
    </row>
    <row r="94" spans="1:30" s="61" customFormat="1">
      <c r="A94" s="44" t="s">
        <v>135</v>
      </c>
      <c r="B94" s="44" t="s">
        <v>266</v>
      </c>
      <c r="C94" s="44" t="s">
        <v>94</v>
      </c>
      <c r="D94" s="44" t="s">
        <v>31</v>
      </c>
      <c r="E94" s="44">
        <v>2018</v>
      </c>
      <c r="F94" s="44" t="s">
        <v>32</v>
      </c>
      <c r="G94" s="44">
        <v>1586</v>
      </c>
      <c r="H94" s="44" t="s">
        <v>33</v>
      </c>
      <c r="I94" s="44" t="s">
        <v>34</v>
      </c>
      <c r="J94" s="44" t="s">
        <v>35</v>
      </c>
      <c r="K94" s="59">
        <v>61</v>
      </c>
      <c r="L94" s="44">
        <v>218</v>
      </c>
      <c r="M94" s="36">
        <f t="shared" si="15"/>
        <v>13298</v>
      </c>
      <c r="N94" s="37">
        <f t="shared" si="16"/>
        <v>202.82040000000001</v>
      </c>
      <c r="O94" s="34">
        <f t="shared" si="10"/>
        <v>11.521819304172558</v>
      </c>
      <c r="P94" s="34">
        <f t="shared" si="17"/>
        <v>11.521819304172558</v>
      </c>
      <c r="Q94" s="34">
        <f t="shared" si="18"/>
        <v>27.076275364805511</v>
      </c>
      <c r="R94" s="37">
        <f t="shared" si="19"/>
        <v>2.252894801006843</v>
      </c>
      <c r="S94" s="44"/>
      <c r="T94" s="44"/>
      <c r="U94" s="34">
        <f t="shared" si="11"/>
        <v>9.3965517241379306</v>
      </c>
      <c r="V94" s="34">
        <f t="shared" si="12"/>
        <v>9.3965517241379306</v>
      </c>
      <c r="W94" s="54">
        <f t="shared" si="13"/>
        <v>573.18965517241372</v>
      </c>
      <c r="X94" s="56">
        <f t="shared" si="14"/>
        <v>6.4917431192660553</v>
      </c>
      <c r="Y94" s="44">
        <v>8.9</v>
      </c>
      <c r="Z94" s="44">
        <v>12.6</v>
      </c>
      <c r="AA94" s="60">
        <v>10.9</v>
      </c>
      <c r="AB94" s="44" t="s">
        <v>136</v>
      </c>
      <c r="AC94" s="44" t="s">
        <v>37</v>
      </c>
      <c r="AD94" s="44" t="s">
        <v>38</v>
      </c>
    </row>
    <row r="95" spans="1:30" s="61" customFormat="1">
      <c r="A95" s="44" t="s">
        <v>90</v>
      </c>
      <c r="B95" s="44" t="s">
        <v>291</v>
      </c>
      <c r="C95" s="44" t="s">
        <v>30</v>
      </c>
      <c r="D95" s="44" t="s">
        <v>31</v>
      </c>
      <c r="E95" s="44">
        <v>2018</v>
      </c>
      <c r="F95" s="44" t="s">
        <v>32</v>
      </c>
      <c r="G95" s="44">
        <v>2480</v>
      </c>
      <c r="H95" s="44" t="s">
        <v>33</v>
      </c>
      <c r="I95" s="44" t="s">
        <v>34</v>
      </c>
      <c r="J95" s="44" t="s">
        <v>74</v>
      </c>
      <c r="K95" s="59">
        <v>49</v>
      </c>
      <c r="L95" s="54">
        <f>1.1325*N95-13.739</f>
        <v>171.28916901408454</v>
      </c>
      <c r="M95" s="54">
        <f>L95*K95</f>
        <v>8393.1692816901414</v>
      </c>
      <c r="N95" s="54">
        <f>(23.2*100*2.35)/Q95</f>
        <v>163.38028169014086</v>
      </c>
      <c r="O95" s="34">
        <f t="shared" si="10"/>
        <v>14.303194827586207</v>
      </c>
      <c r="P95" s="34">
        <f>AA95</f>
        <v>14.2</v>
      </c>
      <c r="Q95" s="55">
        <f>P95*2.35</f>
        <v>33.369999999999997</v>
      </c>
      <c r="R95" s="54">
        <f>K95/Q95</f>
        <v>1.46838477674558</v>
      </c>
      <c r="S95" s="54">
        <f>N95</f>
        <v>163.38028169014086</v>
      </c>
      <c r="T95" s="54">
        <f>L95</f>
        <v>171.28916901408454</v>
      </c>
      <c r="U95" s="34">
        <f t="shared" si="11"/>
        <v>7.3831538368139888</v>
      </c>
      <c r="V95" s="34">
        <f t="shared" si="12"/>
        <v>7.3831538368139888</v>
      </c>
      <c r="W95" s="54">
        <f t="shared" si="13"/>
        <v>361.77453800388548</v>
      </c>
      <c r="X95" s="56">
        <f t="shared" si="14"/>
        <v>6.6367301945782966</v>
      </c>
      <c r="Y95" s="44">
        <v>11.7</v>
      </c>
      <c r="Z95" s="44">
        <v>19.2</v>
      </c>
      <c r="AA95" s="60">
        <v>14.2</v>
      </c>
      <c r="AB95" s="44" t="s">
        <v>303</v>
      </c>
      <c r="AC95" s="44" t="s">
        <v>46</v>
      </c>
      <c r="AD95" s="44"/>
    </row>
    <row r="96" spans="1:30" s="61" customFormat="1">
      <c r="A96" s="44" t="s">
        <v>55</v>
      </c>
      <c r="B96" s="44" t="s">
        <v>319</v>
      </c>
      <c r="C96" s="44" t="s">
        <v>60</v>
      </c>
      <c r="D96" s="44" t="s">
        <v>31</v>
      </c>
      <c r="E96" s="44">
        <v>2018</v>
      </c>
      <c r="F96" s="44" t="s">
        <v>103</v>
      </c>
      <c r="G96" s="44">
        <v>1995</v>
      </c>
      <c r="H96" s="44" t="s">
        <v>33</v>
      </c>
      <c r="I96" s="44" t="s">
        <v>34</v>
      </c>
      <c r="J96" s="44" t="s">
        <v>35</v>
      </c>
      <c r="K96" s="59">
        <v>40</v>
      </c>
      <c r="L96" s="44">
        <v>156</v>
      </c>
      <c r="M96" s="36">
        <f t="shared" si="15"/>
        <v>6240</v>
      </c>
      <c r="N96" s="37">
        <f t="shared" si="16"/>
        <v>143.78280000000001</v>
      </c>
      <c r="O96" s="34">
        <f t="shared" si="10"/>
        <v>18.669826989041805</v>
      </c>
      <c r="P96" s="34">
        <f t="shared" si="17"/>
        <v>17.286876841705375</v>
      </c>
      <c r="Q96" s="34">
        <f t="shared" si="18"/>
        <v>40.624160578007633</v>
      </c>
      <c r="R96" s="37">
        <f t="shared" si="19"/>
        <v>0.98463572984335013</v>
      </c>
      <c r="S96" s="44"/>
      <c r="T96" s="44"/>
      <c r="U96" s="34">
        <f t="shared" si="11"/>
        <v>5.8243727598566304</v>
      </c>
      <c r="V96" s="34">
        <f t="shared" si="12"/>
        <v>6.290322580645161</v>
      </c>
      <c r="W96" s="54">
        <f t="shared" si="13"/>
        <v>251.61290322580643</v>
      </c>
      <c r="X96" s="56">
        <f t="shared" si="14"/>
        <v>6.3589743589743595</v>
      </c>
      <c r="Y96" s="44">
        <v>13.9</v>
      </c>
      <c r="Z96" s="44">
        <v>18.899999999999999</v>
      </c>
      <c r="AA96" s="60">
        <v>16.7</v>
      </c>
      <c r="AB96" s="44" t="s">
        <v>71</v>
      </c>
      <c r="AC96" s="44" t="s">
        <v>37</v>
      </c>
      <c r="AD96" s="44" t="s">
        <v>38</v>
      </c>
    </row>
    <row r="97" spans="1:36" s="61" customFormat="1">
      <c r="A97" s="44" t="s">
        <v>168</v>
      </c>
      <c r="B97" s="44" t="s">
        <v>169</v>
      </c>
      <c r="C97" s="44" t="s">
        <v>60</v>
      </c>
      <c r="D97" s="44" t="s">
        <v>40</v>
      </c>
      <c r="E97" s="44">
        <v>2018</v>
      </c>
      <c r="F97" s="44" t="s">
        <v>32</v>
      </c>
      <c r="G97" s="44">
        <v>1499</v>
      </c>
      <c r="H97" s="44" t="s">
        <v>33</v>
      </c>
      <c r="I97" s="44" t="s">
        <v>34</v>
      </c>
      <c r="J97" s="44" t="s">
        <v>74</v>
      </c>
      <c r="K97" s="59">
        <v>39</v>
      </c>
      <c r="L97" s="44">
        <v>170</v>
      </c>
      <c r="M97" s="36">
        <f t="shared" si="15"/>
        <v>6630</v>
      </c>
      <c r="N97" s="37">
        <f t="shared" si="16"/>
        <v>161.262</v>
      </c>
      <c r="O97" s="34">
        <f t="shared" si="10"/>
        <v>14.491076633056766</v>
      </c>
      <c r="P97" s="34">
        <f t="shared" si="17"/>
        <v>14.491076633056766</v>
      </c>
      <c r="Q97" s="34">
        <f t="shared" si="18"/>
        <v>34.054030087683401</v>
      </c>
      <c r="R97" s="37">
        <f t="shared" si="19"/>
        <v>1.1452389012278887</v>
      </c>
      <c r="S97" s="44"/>
      <c r="T97" s="44"/>
      <c r="U97" s="34">
        <f t="shared" si="11"/>
        <v>7.3275862068965516</v>
      </c>
      <c r="V97" s="34">
        <f t="shared" si="12"/>
        <v>7.3275862068965516</v>
      </c>
      <c r="W97" s="54">
        <f t="shared" si="13"/>
        <v>285.77586206896552</v>
      </c>
      <c r="X97" s="56">
        <f t="shared" si="14"/>
        <v>5.3223529411764705</v>
      </c>
      <c r="Y97" s="44">
        <v>10.9</v>
      </c>
      <c r="Z97" s="44">
        <v>16.7</v>
      </c>
      <c r="AA97" s="60">
        <v>14</v>
      </c>
      <c r="AB97" s="44" t="s">
        <v>170</v>
      </c>
      <c r="AC97" s="44" t="s">
        <v>37</v>
      </c>
      <c r="AD97" s="44" t="s">
        <v>38</v>
      </c>
    </row>
    <row r="98" spans="1:36" s="61" customFormat="1">
      <c r="A98" s="44" t="s">
        <v>288</v>
      </c>
      <c r="B98" s="44" t="s">
        <v>289</v>
      </c>
      <c r="C98" s="44" t="s">
        <v>94</v>
      </c>
      <c r="D98" s="44" t="s">
        <v>175</v>
      </c>
      <c r="E98" s="44">
        <v>2018</v>
      </c>
      <c r="F98" s="44" t="s">
        <v>32</v>
      </c>
      <c r="G98" s="44">
        <v>3497</v>
      </c>
      <c r="H98" s="44" t="s">
        <v>33</v>
      </c>
      <c r="I98" s="44" t="s">
        <v>34</v>
      </c>
      <c r="J98" s="44" t="s">
        <v>74</v>
      </c>
      <c r="K98" s="59">
        <v>44</v>
      </c>
      <c r="L98" s="54">
        <f>1.1325*N98-13.739</f>
        <v>247.9542270916335</v>
      </c>
      <c r="M98" s="54">
        <f>L98*K98</f>
        <v>10909.985992031874</v>
      </c>
      <c r="N98" s="54">
        <f>(23.2*100*2.35)/Q98</f>
        <v>231.07569721115541</v>
      </c>
      <c r="O98" s="34">
        <f t="shared" si="10"/>
        <v>10.112963103448275</v>
      </c>
      <c r="P98" s="34">
        <f>AA98</f>
        <v>10.039999999999999</v>
      </c>
      <c r="Q98" s="55">
        <f>P98*2.35</f>
        <v>23.593999999999998</v>
      </c>
      <c r="R98" s="54">
        <f>K98/Q98</f>
        <v>1.8648809019242183</v>
      </c>
      <c r="S98" s="54">
        <f>N98</f>
        <v>231.07569721115541</v>
      </c>
      <c r="T98" s="54">
        <f>L98</f>
        <v>247.9542270916335</v>
      </c>
      <c r="U98" s="34">
        <f t="shared" si="11"/>
        <v>10.687682202225583</v>
      </c>
      <c r="V98" s="34">
        <f t="shared" si="12"/>
        <v>10.687682202225583</v>
      </c>
      <c r="W98" s="54">
        <f t="shared" si="13"/>
        <v>470.25801689792564</v>
      </c>
      <c r="X98" s="56">
        <f t="shared" si="14"/>
        <v>4.1168888789411726</v>
      </c>
      <c r="Y98" s="44">
        <v>8.75</v>
      </c>
      <c r="Z98" s="44">
        <v>12.26</v>
      </c>
      <c r="AA98" s="60">
        <v>10.039999999999999</v>
      </c>
      <c r="AB98" s="44" t="s">
        <v>304</v>
      </c>
      <c r="AC98" s="44" t="s">
        <v>46</v>
      </c>
      <c r="AD98" s="44"/>
    </row>
    <row r="99" spans="1:36" s="61" customFormat="1">
      <c r="A99" s="44" t="s">
        <v>305</v>
      </c>
      <c r="B99" s="44" t="s">
        <v>306</v>
      </c>
      <c r="C99" s="44" t="s">
        <v>60</v>
      </c>
      <c r="D99" s="44" t="s">
        <v>31</v>
      </c>
      <c r="E99" s="44">
        <v>2018</v>
      </c>
      <c r="F99" s="44" t="s">
        <v>32</v>
      </c>
      <c r="G99" s="44">
        <v>1598</v>
      </c>
      <c r="H99" s="44" t="s">
        <v>33</v>
      </c>
      <c r="I99" s="44" t="s">
        <v>34</v>
      </c>
      <c r="J99" s="44" t="s">
        <v>35</v>
      </c>
      <c r="K99" s="59">
        <v>320</v>
      </c>
      <c r="L99" s="44">
        <v>169</v>
      </c>
      <c r="M99" s="36">
        <f t="shared" si="15"/>
        <v>54080</v>
      </c>
      <c r="N99" s="37">
        <f t="shared" si="16"/>
        <v>160.39619999999999</v>
      </c>
      <c r="O99" s="34">
        <f t="shared" si="10"/>
        <v>14.569297776381237</v>
      </c>
      <c r="P99" s="34">
        <f t="shared" si="17"/>
        <v>14.569297776381237</v>
      </c>
      <c r="Q99" s="34">
        <f t="shared" si="18"/>
        <v>34.237849774495906</v>
      </c>
      <c r="R99" s="37">
        <f t="shared" si="19"/>
        <v>9.3463813325792149</v>
      </c>
      <c r="S99" s="44"/>
      <c r="T99" s="44"/>
      <c r="U99" s="34">
        <f t="shared" si="11"/>
        <v>7.2844827586206895</v>
      </c>
      <c r="V99" s="34">
        <f t="shared" si="12"/>
        <v>7.2844827586206895</v>
      </c>
      <c r="W99" s="54">
        <f t="shared" si="13"/>
        <v>2331.0344827586205</v>
      </c>
      <c r="X99" s="56">
        <f t="shared" si="14"/>
        <v>43.928994082840241</v>
      </c>
      <c r="Y99" s="44">
        <v>10.1</v>
      </c>
      <c r="Z99" s="44">
        <v>18</v>
      </c>
      <c r="AA99" s="60">
        <v>14</v>
      </c>
      <c r="AB99" s="44" t="s">
        <v>307</v>
      </c>
      <c r="AC99" s="44" t="s">
        <v>37</v>
      </c>
      <c r="AD99" s="44" t="s">
        <v>38</v>
      </c>
    </row>
    <row r="100" spans="1:36" s="66" customFormat="1">
      <c r="A100" s="52" t="s">
        <v>43</v>
      </c>
      <c r="B100" s="52" t="s">
        <v>159</v>
      </c>
      <c r="C100" s="52" t="s">
        <v>60</v>
      </c>
      <c r="D100" s="52" t="s">
        <v>40</v>
      </c>
      <c r="E100" s="52">
        <v>2018</v>
      </c>
      <c r="F100" s="52" t="s">
        <v>32</v>
      </c>
      <c r="G100" s="52">
        <v>1998</v>
      </c>
      <c r="H100" s="52" t="s">
        <v>33</v>
      </c>
      <c r="I100" s="52" t="s">
        <v>34</v>
      </c>
      <c r="J100" s="52" t="s">
        <v>74</v>
      </c>
      <c r="K100" s="62">
        <f>1687+706</f>
        <v>2393</v>
      </c>
      <c r="L100" s="52">
        <v>141</v>
      </c>
      <c r="M100" s="47">
        <f t="shared" si="15"/>
        <v>337413</v>
      </c>
      <c r="N100" s="48">
        <f t="shared" si="16"/>
        <v>136.15379999999999</v>
      </c>
      <c r="O100" s="49">
        <f t="shared" si="10"/>
        <v>17.163384349169839</v>
      </c>
      <c r="P100" s="49">
        <f t="shared" si="17"/>
        <v>17.163384349169839</v>
      </c>
      <c r="Q100" s="49">
        <f t="shared" si="18"/>
        <v>40.33395322054912</v>
      </c>
      <c r="R100" s="48">
        <f t="shared" si="19"/>
        <v>59.329666668548313</v>
      </c>
      <c r="S100" s="52"/>
      <c r="T100" s="52"/>
      <c r="U100" s="49">
        <f t="shared" si="11"/>
        <v>6.0775862068965516</v>
      </c>
      <c r="V100" s="49">
        <f t="shared" si="12"/>
        <v>6.0775862068965516</v>
      </c>
      <c r="W100" s="63">
        <f t="shared" si="13"/>
        <v>14543.663793103447</v>
      </c>
      <c r="X100" s="64">
        <f t="shared" si="14"/>
        <v>393.74184397163123</v>
      </c>
      <c r="Y100" s="52">
        <v>8.8000000000000007</v>
      </c>
      <c r="Z100" s="52">
        <v>10.8</v>
      </c>
      <c r="AA100" s="65"/>
      <c r="AB100" s="52" t="s">
        <v>308</v>
      </c>
      <c r="AC100" s="52" t="s">
        <v>309</v>
      </c>
      <c r="AD100" s="52" t="s">
        <v>162</v>
      </c>
    </row>
    <row r="101" spans="1:36" s="12" customFormat="1" ht="60">
      <c r="A101" s="13"/>
      <c r="B101" s="13"/>
      <c r="C101" s="13"/>
      <c r="D101" s="13"/>
      <c r="E101" s="13"/>
      <c r="F101" s="13"/>
      <c r="G101" s="13"/>
      <c r="H101" s="13"/>
      <c r="I101" s="13"/>
      <c r="J101" s="15" t="s">
        <v>222</v>
      </c>
      <c r="K101" s="15">
        <f>SUM(K2:K100)</f>
        <v>177483</v>
      </c>
      <c r="L101" s="17" t="s">
        <v>223</v>
      </c>
      <c r="M101" s="18">
        <f>SUM(M2:M100)/K101</f>
        <v>167.75281215959347</v>
      </c>
      <c r="N101" s="19"/>
      <c r="O101" s="11"/>
      <c r="P101" s="19"/>
      <c r="Q101" s="17" t="s">
        <v>224</v>
      </c>
      <c r="R101" s="17">
        <f>K101/SUM(R2:R100)</f>
        <v>34.714540136128328</v>
      </c>
      <c r="S101" s="13"/>
      <c r="T101" s="13"/>
      <c r="U101" s="11"/>
      <c r="V101" s="17" t="s">
        <v>225</v>
      </c>
      <c r="W101" s="17">
        <f>SUM(W2:W100)/K101</f>
        <v>7.1944932078515409</v>
      </c>
      <c r="X101" s="19"/>
      <c r="Y101" s="13"/>
      <c r="Z101" s="13"/>
      <c r="AA101" s="13"/>
      <c r="AB101" s="13"/>
      <c r="AC101" s="13"/>
      <c r="AD101" s="13"/>
    </row>
    <row r="102" spans="1:36" s="12" customFormat="1" ht="75">
      <c r="K102" s="19"/>
      <c r="M102" s="14"/>
      <c r="V102" s="13"/>
      <c r="W102" s="21" t="s">
        <v>226</v>
      </c>
      <c r="X102" s="21">
        <f>K101/SUM(X2:X100)</f>
        <v>6.9808612452421164</v>
      </c>
    </row>
    <row r="105" spans="1:36">
      <c r="H105" s="25"/>
    </row>
    <row r="106" spans="1:36" s="10" customFormat="1">
      <c r="M106" s="9"/>
      <c r="AE106"/>
      <c r="AF106"/>
      <c r="AG106"/>
      <c r="AH106"/>
      <c r="AI106"/>
      <c r="AJ106"/>
    </row>
    <row r="109" spans="1:36" s="10" customFormat="1">
      <c r="M109" s="9"/>
      <c r="AE109"/>
      <c r="AF109"/>
      <c r="AG109"/>
      <c r="AH109"/>
      <c r="AI109"/>
      <c r="AJ109"/>
    </row>
  </sheetData>
  <autoFilter ref="A1:AD102" xr:uid="{00000000-0009-0000-0000-000001000000}">
    <filterColumn colId="24" showButton="0"/>
    <filterColumn colId="25" showButton="0"/>
  </autoFilter>
  <mergeCells count="1">
    <mergeCell ref="Y1:AA1"/>
  </mergeCells>
  <pageMargins left="0.7" right="0.7" top="0.75" bottom="0.75" header="0.3" footer="0.3"/>
  <pageSetup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6514-4EFB-43BB-9CFB-37BA1D00D04C}">
  <dimension ref="A1:AD107"/>
  <sheetViews>
    <sheetView topLeftCell="P1" zoomScaleNormal="100" workbookViewId="0">
      <pane ySplit="1" topLeftCell="A83" activePane="bottomLeft" state="frozen"/>
      <selection pane="bottomLeft" activeCell="X88" sqref="X88"/>
    </sheetView>
  </sheetViews>
  <sheetFormatPr baseColWidth="10" defaultRowHeight="15"/>
  <cols>
    <col min="1" max="1" width="14.7109375" bestFit="1" customWidth="1"/>
    <col min="2" max="2" width="40.42578125" bestFit="1" customWidth="1"/>
    <col min="3" max="3" width="14.42578125" bestFit="1" customWidth="1"/>
    <col min="4" max="4" width="15.7109375" customWidth="1"/>
    <col min="6" max="6" width="16.28515625" customWidth="1"/>
    <col min="8" max="8" width="11.28515625" bestFit="1" customWidth="1"/>
    <col min="10" max="10" width="15.5703125" bestFit="1" customWidth="1"/>
    <col min="11" max="11" width="13" bestFit="1" customWidth="1"/>
    <col min="12" max="12" width="14.5703125" style="10" bestFit="1" customWidth="1"/>
    <col min="13" max="13" width="19" style="9" bestFit="1" customWidth="1"/>
    <col min="28" max="28" width="69.5703125" style="24" bestFit="1" customWidth="1"/>
    <col min="29" max="29" width="149.85546875" style="10" bestFit="1" customWidth="1"/>
    <col min="30" max="30" width="11.5703125" style="10"/>
  </cols>
  <sheetData>
    <row r="1" spans="1:30" s="8" customFormat="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 t="s">
        <v>21</v>
      </c>
      <c r="W1" s="76" t="s">
        <v>22</v>
      </c>
      <c r="X1" s="76" t="s">
        <v>23</v>
      </c>
      <c r="Y1" s="129" t="s">
        <v>24</v>
      </c>
      <c r="Z1" s="129"/>
      <c r="AA1" s="130"/>
      <c r="AB1" s="6" t="s">
        <v>25</v>
      </c>
      <c r="AC1" s="7" t="s">
        <v>26</v>
      </c>
      <c r="AD1" s="30" t="s">
        <v>27</v>
      </c>
    </row>
    <row r="2" spans="1:30" s="82" customFormat="1">
      <c r="A2" s="51" t="s">
        <v>28</v>
      </c>
      <c r="B2" s="51" t="s">
        <v>29</v>
      </c>
      <c r="C2" s="51" t="s">
        <v>30</v>
      </c>
      <c r="D2" s="51" t="s">
        <v>31</v>
      </c>
      <c r="E2" s="51">
        <v>2017</v>
      </c>
      <c r="F2" s="51" t="s">
        <v>32</v>
      </c>
      <c r="G2" s="51">
        <v>1399</v>
      </c>
      <c r="H2" s="51" t="s">
        <v>33</v>
      </c>
      <c r="I2" s="51" t="s">
        <v>34</v>
      </c>
      <c r="J2" s="51" t="s">
        <v>35</v>
      </c>
      <c r="K2" s="88">
        <v>16696</v>
      </c>
      <c r="L2" s="89">
        <v>149</v>
      </c>
      <c r="M2" s="88">
        <f t="shared" ref="M2:M65" si="0">K2*L2</f>
        <v>2487704</v>
      </c>
      <c r="N2" s="89">
        <f>IF(F2="GASOLINA",L2*0.8658+14.076,L2*0.7683+23.928)</f>
        <v>143.08019999999999</v>
      </c>
      <c r="O2" s="90">
        <f>IF(F2="GASOLINA",2336.86/N2,2684.4/N2)</f>
        <v>16.332518405761245</v>
      </c>
      <c r="P2" s="90">
        <f>IF(F2="GASOLINA",O2,O2/1.08)</f>
        <v>16.332518405761245</v>
      </c>
      <c r="Q2" s="90">
        <f>P2*2.35</f>
        <v>38.381418253538925</v>
      </c>
      <c r="R2" s="89">
        <f>K2/Q2</f>
        <v>435.00216406048412</v>
      </c>
      <c r="S2" s="89"/>
      <c r="T2" s="89"/>
      <c r="U2" s="90">
        <f>IF(F2="GASOLINA",(L2/23.2),(L2/(1.08*24.8)))</f>
        <v>6.4224137931034484</v>
      </c>
      <c r="V2" s="91">
        <f>IF(F2="GASOLINA",U2,U2*1.08)</f>
        <v>6.4224137931034484</v>
      </c>
      <c r="W2" s="37">
        <f t="shared" ref="W2:W65" si="1">V2*K2</f>
        <v>107228.62068965517</v>
      </c>
      <c r="X2" s="92">
        <f>K2/V2</f>
        <v>2599.6456375838925</v>
      </c>
      <c r="Y2" s="93">
        <v>12</v>
      </c>
      <c r="Z2" s="89">
        <v>19.399999999999999</v>
      </c>
      <c r="AA2" s="93">
        <v>15.8</v>
      </c>
      <c r="AB2" s="94" t="s">
        <v>36</v>
      </c>
      <c r="AC2" s="77" t="s">
        <v>37</v>
      </c>
      <c r="AD2" s="78" t="s">
        <v>38</v>
      </c>
    </row>
    <row r="3" spans="1:30" s="83" customFormat="1">
      <c r="A3" s="44" t="s">
        <v>28</v>
      </c>
      <c r="B3" s="44" t="s">
        <v>39</v>
      </c>
      <c r="C3" s="44" t="s">
        <v>30</v>
      </c>
      <c r="D3" s="44" t="s">
        <v>40</v>
      </c>
      <c r="E3" s="44">
        <v>2017</v>
      </c>
      <c r="F3" s="44" t="s">
        <v>32</v>
      </c>
      <c r="G3" s="44">
        <v>1206</v>
      </c>
      <c r="H3" s="44" t="s">
        <v>41</v>
      </c>
      <c r="I3" s="44" t="s">
        <v>34</v>
      </c>
      <c r="J3" s="44" t="s">
        <v>35</v>
      </c>
      <c r="K3" s="95">
        <v>10817</v>
      </c>
      <c r="L3" s="44">
        <v>140</v>
      </c>
      <c r="M3" s="95">
        <f t="shared" si="0"/>
        <v>1514380</v>
      </c>
      <c r="N3" s="37">
        <f t="shared" ref="N3:N66" si="2">IF(F3="GASOLINA",L3*0.8658+14.076,L3*0.7683+23.928)</f>
        <v>135.28800000000001</v>
      </c>
      <c r="O3" s="34">
        <f t="shared" ref="O3:O66" si="3">IF(F3="GASOLINA",2336.86/N3,2684.4/N3)</f>
        <v>17.273224528413458</v>
      </c>
      <c r="P3" s="34">
        <f t="shared" ref="P3:P66" si="4">IF(F3="GASOLINA",O3,O3/1.08)</f>
        <v>17.273224528413458</v>
      </c>
      <c r="Q3" s="34">
        <f t="shared" ref="Q3:Q66" si="5">P3*2.35</f>
        <v>40.592077641771624</v>
      </c>
      <c r="R3" s="37">
        <f t="shared" ref="R3:R66" si="6">K3/Q3</f>
        <v>266.48057030883962</v>
      </c>
      <c r="S3" s="37"/>
      <c r="T3" s="37"/>
      <c r="U3" s="34">
        <f t="shared" ref="U3:U66" si="7">IF(F3="GASOLINA",(L3/23.2),(L3/(1.08*24.8)))</f>
        <v>6.0344827586206895</v>
      </c>
      <c r="V3" s="96">
        <f t="shared" ref="V3:V66" si="8">IF(F3="GASOLINA",U3,U3*1.08)</f>
        <v>6.0344827586206895</v>
      </c>
      <c r="W3" s="37">
        <f t="shared" si="1"/>
        <v>65275</v>
      </c>
      <c r="X3" s="92">
        <f t="shared" ref="X3:X66" si="9">K3/V3</f>
        <v>1792.5314285714287</v>
      </c>
      <c r="Y3" s="97">
        <v>12.6</v>
      </c>
      <c r="Z3" s="41">
        <v>21.4</v>
      </c>
      <c r="AA3" s="97">
        <v>17</v>
      </c>
      <c r="AB3" s="98" t="s">
        <v>42</v>
      </c>
      <c r="AC3" s="79" t="s">
        <v>37</v>
      </c>
      <c r="AD3" s="26" t="s">
        <v>38</v>
      </c>
    </row>
    <row r="4" spans="1:30" s="83" customFormat="1">
      <c r="A4" s="44" t="s">
        <v>43</v>
      </c>
      <c r="B4" s="44" t="s">
        <v>44</v>
      </c>
      <c r="C4" s="44" t="s">
        <v>30</v>
      </c>
      <c r="D4" s="44" t="s">
        <v>31</v>
      </c>
      <c r="E4" s="44">
        <v>2017</v>
      </c>
      <c r="F4" s="44" t="s">
        <v>32</v>
      </c>
      <c r="G4" s="44">
        <v>1598</v>
      </c>
      <c r="H4" s="44" t="s">
        <v>33</v>
      </c>
      <c r="I4" s="44" t="s">
        <v>34</v>
      </c>
      <c r="J4" s="44" t="s">
        <v>35</v>
      </c>
      <c r="K4" s="95">
        <v>7994</v>
      </c>
      <c r="L4" s="37">
        <f>1.1325*N4-13.739</f>
        <v>156.98224756335284</v>
      </c>
      <c r="M4" s="99">
        <f>L4*K4</f>
        <v>1254916.0870214426</v>
      </c>
      <c r="N4" s="54">
        <f>(23.2*100*2.35)/Q4</f>
        <v>150.74723846653671</v>
      </c>
      <c r="O4" s="34">
        <f t="shared" si="3"/>
        <v>15.501842844827587</v>
      </c>
      <c r="P4" s="34">
        <f>AA4</f>
        <v>15.39</v>
      </c>
      <c r="Q4" s="55">
        <f>P4*2.35</f>
        <v>36.166499999999999</v>
      </c>
      <c r="R4" s="54">
        <f>K4/Q4</f>
        <v>221.03327665104447</v>
      </c>
      <c r="S4" s="54">
        <f>N4</f>
        <v>150.74723846653671</v>
      </c>
      <c r="T4" s="54">
        <f>L4</f>
        <v>156.98224756335284</v>
      </c>
      <c r="U4" s="34">
        <f t="shared" si="7"/>
        <v>6.7664761880755542</v>
      </c>
      <c r="V4" s="96">
        <f t="shared" si="8"/>
        <v>6.7664761880755542</v>
      </c>
      <c r="W4" s="37">
        <f t="shared" si="1"/>
        <v>54091.210647475978</v>
      </c>
      <c r="X4" s="92">
        <f t="shared" si="9"/>
        <v>1181.4125665716065</v>
      </c>
      <c r="Y4" s="100">
        <v>13.2</v>
      </c>
      <c r="Z4" s="44">
        <v>19.3</v>
      </c>
      <c r="AA4" s="100">
        <v>15.39</v>
      </c>
      <c r="AB4" s="101" t="s">
        <v>45</v>
      </c>
      <c r="AC4" s="80" t="s">
        <v>46</v>
      </c>
      <c r="AD4" s="31"/>
    </row>
    <row r="5" spans="1:30" s="83" customFormat="1" ht="30">
      <c r="A5" s="44" t="s">
        <v>43</v>
      </c>
      <c r="B5" s="44" t="s">
        <v>47</v>
      </c>
      <c r="C5" s="44" t="s">
        <v>30</v>
      </c>
      <c r="D5" s="44" t="s">
        <v>31</v>
      </c>
      <c r="E5" s="44">
        <v>2017</v>
      </c>
      <c r="F5" s="44" t="s">
        <v>32</v>
      </c>
      <c r="G5" s="44">
        <v>1598</v>
      </c>
      <c r="H5" s="44" t="s">
        <v>41</v>
      </c>
      <c r="I5" s="44" t="s">
        <v>34</v>
      </c>
      <c r="J5" s="44" t="s">
        <v>35</v>
      </c>
      <c r="K5" s="95">
        <v>7943</v>
      </c>
      <c r="L5" s="44">
        <v>170</v>
      </c>
      <c r="M5" s="95">
        <f t="shared" si="0"/>
        <v>1350310</v>
      </c>
      <c r="N5" s="37">
        <f t="shared" si="2"/>
        <v>161.262</v>
      </c>
      <c r="O5" s="34">
        <f t="shared" si="3"/>
        <v>14.491076633056766</v>
      </c>
      <c r="P5" s="34">
        <f t="shared" si="4"/>
        <v>14.491076633056766</v>
      </c>
      <c r="Q5" s="34">
        <f t="shared" si="5"/>
        <v>34.054030087683401</v>
      </c>
      <c r="R5" s="37">
        <f t="shared" si="6"/>
        <v>233.24698955008</v>
      </c>
      <c r="S5" s="37"/>
      <c r="T5" s="37"/>
      <c r="U5" s="34">
        <f t="shared" si="7"/>
        <v>7.3275862068965516</v>
      </c>
      <c r="V5" s="96">
        <f t="shared" si="8"/>
        <v>7.3275862068965516</v>
      </c>
      <c r="W5" s="37">
        <f t="shared" si="1"/>
        <v>58203.017241379312</v>
      </c>
      <c r="X5" s="92">
        <f t="shared" si="9"/>
        <v>1083.9858823529412</v>
      </c>
      <c r="Y5" s="100">
        <v>14.6</v>
      </c>
      <c r="Z5" s="44">
        <v>21.4</v>
      </c>
      <c r="AA5" s="100">
        <v>17.100000000000001</v>
      </c>
      <c r="AB5" s="101" t="s">
        <v>48</v>
      </c>
      <c r="AC5" s="81" t="s">
        <v>49</v>
      </c>
      <c r="AD5" s="29"/>
    </row>
    <row r="6" spans="1:30" s="83" customFormat="1">
      <c r="A6" s="44" t="s">
        <v>50</v>
      </c>
      <c r="B6" s="44" t="s">
        <v>51</v>
      </c>
      <c r="C6" s="44" t="s">
        <v>30</v>
      </c>
      <c r="D6" s="44" t="s">
        <v>31</v>
      </c>
      <c r="E6" s="44">
        <v>2017</v>
      </c>
      <c r="F6" s="44" t="s">
        <v>32</v>
      </c>
      <c r="G6" s="44">
        <v>1998</v>
      </c>
      <c r="H6" s="44" t="s">
        <v>33</v>
      </c>
      <c r="I6" s="44" t="s">
        <v>34</v>
      </c>
      <c r="J6" s="44" t="s">
        <v>35</v>
      </c>
      <c r="K6" s="95">
        <f>7916+1475</f>
        <v>9391</v>
      </c>
      <c r="L6" s="44">
        <v>154</v>
      </c>
      <c r="M6" s="95">
        <f t="shared" si="0"/>
        <v>1446214</v>
      </c>
      <c r="N6" s="37">
        <f t="shared" si="2"/>
        <v>147.4092</v>
      </c>
      <c r="O6" s="34">
        <f t="shared" si="3"/>
        <v>15.852877568021535</v>
      </c>
      <c r="P6" s="34">
        <f t="shared" si="4"/>
        <v>15.852877568021535</v>
      </c>
      <c r="Q6" s="34">
        <f t="shared" si="5"/>
        <v>37.254262284850611</v>
      </c>
      <c r="R6" s="37">
        <f t="shared" si="6"/>
        <v>252.07853877753033</v>
      </c>
      <c r="S6" s="37"/>
      <c r="T6" s="37"/>
      <c r="U6" s="34">
        <f t="shared" si="7"/>
        <v>6.6379310344827589</v>
      </c>
      <c r="V6" s="96">
        <f t="shared" si="8"/>
        <v>6.6379310344827589</v>
      </c>
      <c r="W6" s="37">
        <f t="shared" si="1"/>
        <v>62336.810344827587</v>
      </c>
      <c r="X6" s="92">
        <f t="shared" si="9"/>
        <v>1414.7480519480519</v>
      </c>
      <c r="Y6" s="100">
        <v>11.4</v>
      </c>
      <c r="Z6" s="44">
        <v>19.5</v>
      </c>
      <c r="AA6" s="100">
        <v>15.5</v>
      </c>
      <c r="AB6" s="101" t="s">
        <v>52</v>
      </c>
      <c r="AC6" s="79" t="s">
        <v>37</v>
      </c>
      <c r="AD6" s="29" t="s">
        <v>38</v>
      </c>
    </row>
    <row r="7" spans="1:30" s="83" customFormat="1">
      <c r="A7" s="44" t="s">
        <v>43</v>
      </c>
      <c r="B7" s="44" t="s">
        <v>53</v>
      </c>
      <c r="C7" s="44" t="s">
        <v>30</v>
      </c>
      <c r="D7" s="44" t="s">
        <v>31</v>
      </c>
      <c r="E7" s="44">
        <v>2017</v>
      </c>
      <c r="F7" s="44" t="s">
        <v>32</v>
      </c>
      <c r="G7" s="44">
        <v>1598</v>
      </c>
      <c r="H7" s="44" t="s">
        <v>33</v>
      </c>
      <c r="I7" s="44" t="s">
        <v>34</v>
      </c>
      <c r="J7" s="44" t="s">
        <v>35</v>
      </c>
      <c r="K7" s="95">
        <v>7619</v>
      </c>
      <c r="L7" s="37">
        <f>1.1325*N7-13.739</f>
        <v>151.71440050377834</v>
      </c>
      <c r="M7" s="99">
        <f>L7*K7</f>
        <v>1155912.0174382871</v>
      </c>
      <c r="N7" s="54">
        <f>(23.2*100*2.35)/Q7</f>
        <v>146.09571788413098</v>
      </c>
      <c r="O7" s="34">
        <f t="shared" si="3"/>
        <v>15.995403793103449</v>
      </c>
      <c r="P7" s="34">
        <f>AA7</f>
        <v>15.88</v>
      </c>
      <c r="Q7" s="55">
        <f>P7*2.35</f>
        <v>37.318000000000005</v>
      </c>
      <c r="R7" s="54">
        <f>K7/Q7</f>
        <v>204.16421030065916</v>
      </c>
      <c r="S7" s="54">
        <f>N7</f>
        <v>146.09571788413098</v>
      </c>
      <c r="T7" s="54">
        <f>L7</f>
        <v>151.71440050377834</v>
      </c>
      <c r="U7" s="34">
        <f t="shared" si="7"/>
        <v>6.5394138148180323</v>
      </c>
      <c r="V7" s="96">
        <f t="shared" si="8"/>
        <v>6.5394138148180323</v>
      </c>
      <c r="W7" s="37">
        <f t="shared" si="1"/>
        <v>49823.793855098585</v>
      </c>
      <c r="X7" s="92">
        <f t="shared" si="9"/>
        <v>1165.0891373070276</v>
      </c>
      <c r="Y7" s="100">
        <v>13.7</v>
      </c>
      <c r="Z7" s="44">
        <v>19.7</v>
      </c>
      <c r="AA7" s="100">
        <v>15.88</v>
      </c>
      <c r="AB7" s="101" t="s">
        <v>54</v>
      </c>
      <c r="AC7" s="80" t="s">
        <v>46</v>
      </c>
      <c r="AD7" s="31"/>
    </row>
    <row r="8" spans="1:30" s="83" customFormat="1" ht="15" customHeight="1">
      <c r="A8" s="44" t="s">
        <v>55</v>
      </c>
      <c r="B8" s="44" t="s">
        <v>56</v>
      </c>
      <c r="C8" s="44" t="s">
        <v>30</v>
      </c>
      <c r="D8" s="44" t="s">
        <v>57</v>
      </c>
      <c r="E8" s="44">
        <v>2017</v>
      </c>
      <c r="F8" s="44" t="s">
        <v>32</v>
      </c>
      <c r="G8" s="44">
        <v>1248</v>
      </c>
      <c r="H8" s="44" t="s">
        <v>33</v>
      </c>
      <c r="I8" s="44" t="s">
        <v>34</v>
      </c>
      <c r="J8" s="44" t="s">
        <v>35</v>
      </c>
      <c r="K8" s="95">
        <v>7544</v>
      </c>
      <c r="L8" s="44">
        <v>117</v>
      </c>
      <c r="M8" s="95">
        <f t="shared" si="0"/>
        <v>882648</v>
      </c>
      <c r="N8" s="37">
        <f t="shared" si="2"/>
        <v>115.37460000000002</v>
      </c>
      <c r="O8" s="34">
        <f t="shared" si="3"/>
        <v>20.254544761151934</v>
      </c>
      <c r="P8" s="34">
        <f t="shared" si="4"/>
        <v>20.254544761151934</v>
      </c>
      <c r="Q8" s="34">
        <f t="shared" si="5"/>
        <v>47.598180188707047</v>
      </c>
      <c r="R8" s="37">
        <f t="shared" si="6"/>
        <v>158.4934543734901</v>
      </c>
      <c r="S8" s="37"/>
      <c r="T8" s="37"/>
      <c r="U8" s="34">
        <f t="shared" si="7"/>
        <v>5.0431034482758621</v>
      </c>
      <c r="V8" s="96">
        <f t="shared" si="8"/>
        <v>5.0431034482758621</v>
      </c>
      <c r="W8" s="37">
        <f t="shared" si="1"/>
        <v>38045.172413793101</v>
      </c>
      <c r="X8" s="92">
        <f t="shared" si="9"/>
        <v>1495.9042735042735</v>
      </c>
      <c r="Y8" s="97">
        <v>15</v>
      </c>
      <c r="Z8" s="41">
        <v>25.7</v>
      </c>
      <c r="AA8" s="97">
        <v>20.399999999999999</v>
      </c>
      <c r="AB8" s="98" t="s">
        <v>58</v>
      </c>
      <c r="AC8" s="79" t="s">
        <v>37</v>
      </c>
      <c r="AD8" s="29" t="s">
        <v>38</v>
      </c>
    </row>
    <row r="9" spans="1:30" s="83" customFormat="1">
      <c r="A9" s="44" t="s">
        <v>28</v>
      </c>
      <c r="B9" s="44" t="s">
        <v>59</v>
      </c>
      <c r="C9" s="44" t="s">
        <v>60</v>
      </c>
      <c r="D9" s="44" t="s">
        <v>31</v>
      </c>
      <c r="E9" s="44">
        <v>2017</v>
      </c>
      <c r="F9" s="44" t="s">
        <v>32</v>
      </c>
      <c r="G9" s="44">
        <v>1796</v>
      </c>
      <c r="H9" s="44" t="s">
        <v>33</v>
      </c>
      <c r="I9" s="44" t="s">
        <v>34</v>
      </c>
      <c r="J9" s="44" t="s">
        <v>35</v>
      </c>
      <c r="K9" s="95">
        <v>6154</v>
      </c>
      <c r="L9" s="44">
        <v>184</v>
      </c>
      <c r="M9" s="95">
        <f t="shared" si="0"/>
        <v>1132336</v>
      </c>
      <c r="N9" s="37">
        <f t="shared" si="2"/>
        <v>173.38319999999999</v>
      </c>
      <c r="O9" s="34">
        <f t="shared" si="3"/>
        <v>13.478007096419955</v>
      </c>
      <c r="P9" s="34">
        <f t="shared" si="4"/>
        <v>13.478007096419955</v>
      </c>
      <c r="Q9" s="34">
        <f t="shared" si="5"/>
        <v>31.673316676586893</v>
      </c>
      <c r="R9" s="37">
        <f t="shared" si="6"/>
        <v>194.29603987602201</v>
      </c>
      <c r="S9" s="37"/>
      <c r="T9" s="37"/>
      <c r="U9" s="34">
        <f t="shared" si="7"/>
        <v>7.931034482758621</v>
      </c>
      <c r="V9" s="96">
        <f t="shared" si="8"/>
        <v>7.931034482758621</v>
      </c>
      <c r="W9" s="37">
        <f t="shared" si="1"/>
        <v>48807.586206896551</v>
      </c>
      <c r="X9" s="92">
        <f t="shared" si="9"/>
        <v>775.93913043478256</v>
      </c>
      <c r="Y9" s="100">
        <v>9.6999999999999993</v>
      </c>
      <c r="Z9" s="44">
        <v>16.100000000000001</v>
      </c>
      <c r="AA9" s="100">
        <v>13</v>
      </c>
      <c r="AB9" s="101" t="s">
        <v>61</v>
      </c>
      <c r="AC9" s="79" t="s">
        <v>37</v>
      </c>
      <c r="AD9" s="29" t="s">
        <v>38</v>
      </c>
    </row>
    <row r="10" spans="1:30" s="83" customFormat="1">
      <c r="A10" s="44" t="s">
        <v>62</v>
      </c>
      <c r="B10" s="44" t="s">
        <v>63</v>
      </c>
      <c r="C10" s="44" t="s">
        <v>30</v>
      </c>
      <c r="D10" s="44" t="s">
        <v>31</v>
      </c>
      <c r="E10" s="44">
        <v>2017</v>
      </c>
      <c r="F10" s="44" t="s">
        <v>32</v>
      </c>
      <c r="G10" s="44">
        <v>1597</v>
      </c>
      <c r="H10" s="44" t="s">
        <v>33</v>
      </c>
      <c r="I10" s="44" t="s">
        <v>34</v>
      </c>
      <c r="J10" s="44" t="s">
        <v>35</v>
      </c>
      <c r="K10" s="95">
        <v>5851</v>
      </c>
      <c r="L10" s="44">
        <v>153</v>
      </c>
      <c r="M10" s="95">
        <f t="shared" si="0"/>
        <v>895203</v>
      </c>
      <c r="N10" s="37">
        <f t="shared" si="2"/>
        <v>146.54339999999999</v>
      </c>
      <c r="O10" s="34">
        <f t="shared" si="3"/>
        <v>15.946538704574893</v>
      </c>
      <c r="P10" s="34">
        <f t="shared" si="4"/>
        <v>15.946538704574893</v>
      </c>
      <c r="Q10" s="34">
        <f t="shared" si="5"/>
        <v>37.474365955750997</v>
      </c>
      <c r="R10" s="37">
        <f t="shared" si="6"/>
        <v>156.13339547649045</v>
      </c>
      <c r="S10" s="37"/>
      <c r="T10" s="37"/>
      <c r="U10" s="34">
        <f t="shared" si="7"/>
        <v>6.5948275862068968</v>
      </c>
      <c r="V10" s="96">
        <f t="shared" si="8"/>
        <v>6.5948275862068968</v>
      </c>
      <c r="W10" s="37">
        <f t="shared" si="1"/>
        <v>38586.336206896551</v>
      </c>
      <c r="X10" s="92">
        <f t="shared" si="9"/>
        <v>887.21045751633983</v>
      </c>
      <c r="Y10" s="100">
        <v>11.4</v>
      </c>
      <c r="Z10" s="44">
        <v>19.600000000000001</v>
      </c>
      <c r="AA10" s="100">
        <v>15.5</v>
      </c>
      <c r="AB10" s="101" t="s">
        <v>64</v>
      </c>
      <c r="AC10" s="79" t="s">
        <v>37</v>
      </c>
      <c r="AD10" s="29" t="s">
        <v>65</v>
      </c>
    </row>
    <row r="11" spans="1:30" s="83" customFormat="1">
      <c r="A11" s="44" t="s">
        <v>28</v>
      </c>
      <c r="B11" s="44" t="s">
        <v>66</v>
      </c>
      <c r="C11" s="44" t="s">
        <v>30</v>
      </c>
      <c r="D11" s="44" t="s">
        <v>57</v>
      </c>
      <c r="E11" s="44">
        <v>2017</v>
      </c>
      <c r="F11" s="44" t="s">
        <v>32</v>
      </c>
      <c r="G11" s="44">
        <v>995</v>
      </c>
      <c r="H11" s="44" t="s">
        <v>41</v>
      </c>
      <c r="I11" s="44" t="s">
        <v>34</v>
      </c>
      <c r="J11" s="44" t="s">
        <v>35</v>
      </c>
      <c r="K11" s="95">
        <v>4269</v>
      </c>
      <c r="L11" s="44">
        <v>153</v>
      </c>
      <c r="M11" s="95">
        <f t="shared" si="0"/>
        <v>653157</v>
      </c>
      <c r="N11" s="37">
        <f t="shared" si="2"/>
        <v>146.54339999999999</v>
      </c>
      <c r="O11" s="34">
        <f t="shared" si="3"/>
        <v>15.946538704574893</v>
      </c>
      <c r="P11" s="34">
        <f t="shared" si="4"/>
        <v>15.946538704574893</v>
      </c>
      <c r="Q11" s="34">
        <f t="shared" si="5"/>
        <v>37.474365955750997</v>
      </c>
      <c r="R11" s="37">
        <f t="shared" si="6"/>
        <v>113.91787135346739</v>
      </c>
      <c r="S11" s="37"/>
      <c r="T11" s="37"/>
      <c r="U11" s="34">
        <f t="shared" si="7"/>
        <v>6.5948275862068968</v>
      </c>
      <c r="V11" s="96">
        <f t="shared" si="8"/>
        <v>6.5948275862068968</v>
      </c>
      <c r="W11" s="37">
        <f t="shared" si="1"/>
        <v>28153.318965517243</v>
      </c>
      <c r="X11" s="92">
        <f t="shared" si="9"/>
        <v>647.32549019607836</v>
      </c>
      <c r="Y11" s="97">
        <v>11.6</v>
      </c>
      <c r="Z11" s="41">
        <v>19.399999999999999</v>
      </c>
      <c r="AA11" s="97">
        <v>15.5</v>
      </c>
      <c r="AB11" s="98" t="s">
        <v>67</v>
      </c>
      <c r="AC11" s="79" t="s">
        <v>37</v>
      </c>
      <c r="AD11" s="29" t="s">
        <v>38</v>
      </c>
    </row>
    <row r="12" spans="1:30" s="83" customFormat="1">
      <c r="A12" s="44" t="s">
        <v>68</v>
      </c>
      <c r="B12" s="44" t="s">
        <v>69</v>
      </c>
      <c r="C12" s="44" t="s">
        <v>30</v>
      </c>
      <c r="D12" s="44" t="s">
        <v>40</v>
      </c>
      <c r="E12" s="44">
        <v>2017</v>
      </c>
      <c r="F12" s="44" t="s">
        <v>32</v>
      </c>
      <c r="G12" s="44">
        <v>1598</v>
      </c>
      <c r="H12" s="44" t="s">
        <v>33</v>
      </c>
      <c r="I12" s="44" t="s">
        <v>34</v>
      </c>
      <c r="J12" s="44" t="s">
        <v>35</v>
      </c>
      <c r="K12" s="95">
        <v>4167</v>
      </c>
      <c r="L12" s="44">
        <v>155</v>
      </c>
      <c r="M12" s="95">
        <f t="shared" si="0"/>
        <v>645885</v>
      </c>
      <c r="N12" s="37">
        <f t="shared" si="2"/>
        <v>148.27500000000001</v>
      </c>
      <c r="O12" s="34">
        <f t="shared" si="3"/>
        <v>15.760310234361828</v>
      </c>
      <c r="P12" s="34">
        <f t="shared" si="4"/>
        <v>15.760310234361828</v>
      </c>
      <c r="Q12" s="34">
        <f t="shared" si="5"/>
        <v>37.036729050750296</v>
      </c>
      <c r="R12" s="37">
        <f t="shared" si="6"/>
        <v>112.50993559096668</v>
      </c>
      <c r="S12" s="37"/>
      <c r="T12" s="37"/>
      <c r="U12" s="34">
        <f t="shared" si="7"/>
        <v>6.681034482758621</v>
      </c>
      <c r="V12" s="96">
        <f t="shared" si="8"/>
        <v>6.681034482758621</v>
      </c>
      <c r="W12" s="37">
        <f t="shared" si="1"/>
        <v>27839.870689655174</v>
      </c>
      <c r="X12" s="92">
        <f t="shared" si="9"/>
        <v>623.70580645161283</v>
      </c>
      <c r="Y12" s="97">
        <v>11.6</v>
      </c>
      <c r="Z12" s="41">
        <v>18.899999999999999</v>
      </c>
      <c r="AA12" s="97">
        <v>15.3</v>
      </c>
      <c r="AB12" s="98" t="s">
        <v>70</v>
      </c>
      <c r="AC12" s="79" t="s">
        <v>37</v>
      </c>
      <c r="AD12" s="29" t="s">
        <v>38</v>
      </c>
    </row>
    <row r="13" spans="1:30" s="83" customFormat="1">
      <c r="A13" s="44" t="s">
        <v>55</v>
      </c>
      <c r="B13" s="44" t="s">
        <v>319</v>
      </c>
      <c r="C13" s="44" t="s">
        <v>60</v>
      </c>
      <c r="D13" s="44" t="s">
        <v>31</v>
      </c>
      <c r="E13" s="44">
        <v>2017</v>
      </c>
      <c r="F13" s="44" t="s">
        <v>32</v>
      </c>
      <c r="G13" s="44">
        <v>1999</v>
      </c>
      <c r="H13" s="44" t="s">
        <v>33</v>
      </c>
      <c r="I13" s="44" t="s">
        <v>34</v>
      </c>
      <c r="J13" s="44" t="s">
        <v>35</v>
      </c>
      <c r="K13" s="95">
        <v>4008</v>
      </c>
      <c r="L13" s="44">
        <v>199</v>
      </c>
      <c r="M13" s="95">
        <f t="shared" si="0"/>
        <v>797592</v>
      </c>
      <c r="N13" s="37">
        <f t="shared" si="2"/>
        <v>186.37019999999998</v>
      </c>
      <c r="O13" s="34">
        <f t="shared" si="3"/>
        <v>12.538807169815778</v>
      </c>
      <c r="P13" s="34">
        <f t="shared" si="4"/>
        <v>12.538807169815778</v>
      </c>
      <c r="Q13" s="34">
        <f t="shared" si="5"/>
        <v>29.466196849067078</v>
      </c>
      <c r="R13" s="37">
        <f t="shared" si="6"/>
        <v>136.02026825959035</v>
      </c>
      <c r="S13" s="37"/>
      <c r="T13" s="37"/>
      <c r="U13" s="34">
        <f t="shared" si="7"/>
        <v>8.5775862068965516</v>
      </c>
      <c r="V13" s="96">
        <f t="shared" si="8"/>
        <v>8.5775862068965516</v>
      </c>
      <c r="W13" s="37">
        <f t="shared" si="1"/>
        <v>34378.965517241377</v>
      </c>
      <c r="X13" s="92">
        <f t="shared" si="9"/>
        <v>467.26432160804023</v>
      </c>
      <c r="Y13" s="97">
        <v>8.8000000000000007</v>
      </c>
      <c r="Z13" s="41">
        <v>14.5</v>
      </c>
      <c r="AA13" s="97">
        <v>11.6</v>
      </c>
      <c r="AB13" s="98" t="s">
        <v>71</v>
      </c>
      <c r="AC13" s="79" t="s">
        <v>37</v>
      </c>
      <c r="AD13" s="29" t="s">
        <v>38</v>
      </c>
    </row>
    <row r="14" spans="1:30" s="83" customFormat="1">
      <c r="A14" s="44" t="s">
        <v>55</v>
      </c>
      <c r="B14" s="44" t="s">
        <v>56</v>
      </c>
      <c r="C14" s="44" t="s">
        <v>30</v>
      </c>
      <c r="D14" s="44" t="s">
        <v>57</v>
      </c>
      <c r="E14" s="44">
        <v>2017</v>
      </c>
      <c r="F14" s="44" t="s">
        <v>32</v>
      </c>
      <c r="G14" s="44">
        <v>998</v>
      </c>
      <c r="H14" s="44" t="s">
        <v>33</v>
      </c>
      <c r="I14" s="44" t="s">
        <v>34</v>
      </c>
      <c r="J14" s="44" t="s">
        <v>35</v>
      </c>
      <c r="K14" s="95">
        <v>3892</v>
      </c>
      <c r="L14" s="44">
        <v>109</v>
      </c>
      <c r="M14" s="95">
        <f t="shared" si="0"/>
        <v>424228</v>
      </c>
      <c r="N14" s="37">
        <f t="shared" si="2"/>
        <v>108.44820000000001</v>
      </c>
      <c r="O14" s="34">
        <f t="shared" si="3"/>
        <v>21.548167696651486</v>
      </c>
      <c r="P14" s="34">
        <f t="shared" si="4"/>
        <v>21.548167696651486</v>
      </c>
      <c r="Q14" s="34">
        <f t="shared" si="5"/>
        <v>50.638194087130991</v>
      </c>
      <c r="R14" s="37">
        <f t="shared" si="6"/>
        <v>76.858981054956274</v>
      </c>
      <c r="S14" s="37"/>
      <c r="T14" s="37"/>
      <c r="U14" s="34">
        <f t="shared" si="7"/>
        <v>4.6982758620689653</v>
      </c>
      <c r="V14" s="96">
        <f t="shared" si="8"/>
        <v>4.6982758620689653</v>
      </c>
      <c r="W14" s="37">
        <f t="shared" si="1"/>
        <v>18285.689655172413</v>
      </c>
      <c r="X14" s="92">
        <f t="shared" si="9"/>
        <v>828.3889908256881</v>
      </c>
      <c r="Y14" s="97">
        <v>16.399999999999999</v>
      </c>
      <c r="Z14" s="41">
        <v>26.7</v>
      </c>
      <c r="AA14" s="97">
        <v>21.7</v>
      </c>
      <c r="AB14" s="98" t="s">
        <v>72</v>
      </c>
      <c r="AC14" s="79" t="s">
        <v>37</v>
      </c>
      <c r="AD14" s="29" t="s">
        <v>38</v>
      </c>
    </row>
    <row r="15" spans="1:30" s="83" customFormat="1">
      <c r="A15" s="44" t="s">
        <v>62</v>
      </c>
      <c r="B15" s="44" t="s">
        <v>73</v>
      </c>
      <c r="C15" s="44" t="s">
        <v>60</v>
      </c>
      <c r="D15" s="44" t="s">
        <v>31</v>
      </c>
      <c r="E15" s="44">
        <v>2017</v>
      </c>
      <c r="F15" s="44" t="s">
        <v>32</v>
      </c>
      <c r="G15" s="44">
        <v>1999</v>
      </c>
      <c r="H15" s="44" t="s">
        <v>33</v>
      </c>
      <c r="I15" s="44" t="s">
        <v>34</v>
      </c>
      <c r="J15" s="44" t="s">
        <v>74</v>
      </c>
      <c r="K15" s="95">
        <v>3878</v>
      </c>
      <c r="L15" s="44">
        <v>176</v>
      </c>
      <c r="M15" s="95">
        <f t="shared" si="0"/>
        <v>682528</v>
      </c>
      <c r="N15" s="37">
        <f t="shared" si="2"/>
        <v>166.45679999999999</v>
      </c>
      <c r="O15" s="34">
        <f t="shared" si="3"/>
        <v>14.03883770443743</v>
      </c>
      <c r="P15" s="34">
        <f t="shared" si="4"/>
        <v>14.03883770443743</v>
      </c>
      <c r="Q15" s="34">
        <f t="shared" si="5"/>
        <v>32.991268605427962</v>
      </c>
      <c r="R15" s="37">
        <f t="shared" si="6"/>
        <v>117.54625280950741</v>
      </c>
      <c r="S15" s="37"/>
      <c r="T15" s="37"/>
      <c r="U15" s="34">
        <f t="shared" si="7"/>
        <v>7.5862068965517242</v>
      </c>
      <c r="V15" s="96">
        <f t="shared" si="8"/>
        <v>7.5862068965517242</v>
      </c>
      <c r="W15" s="37">
        <f t="shared" si="1"/>
        <v>29419.310344827587</v>
      </c>
      <c r="X15" s="92">
        <f t="shared" si="9"/>
        <v>511.19090909090909</v>
      </c>
      <c r="Y15" s="100">
        <v>10.1</v>
      </c>
      <c r="Z15" s="44">
        <v>16.8</v>
      </c>
      <c r="AA15" s="100">
        <v>13.6</v>
      </c>
      <c r="AB15" s="101" t="s">
        <v>75</v>
      </c>
      <c r="AC15" s="80" t="s">
        <v>37</v>
      </c>
      <c r="AD15" s="29" t="s">
        <v>38</v>
      </c>
    </row>
    <row r="16" spans="1:30" s="83" customFormat="1">
      <c r="A16" s="44" t="s">
        <v>43</v>
      </c>
      <c r="B16" s="44" t="s">
        <v>76</v>
      </c>
      <c r="C16" s="44" t="s">
        <v>60</v>
      </c>
      <c r="D16" s="44" t="s">
        <v>31</v>
      </c>
      <c r="E16" s="44">
        <v>2017</v>
      </c>
      <c r="F16" s="44" t="s">
        <v>32</v>
      </c>
      <c r="G16" s="44">
        <v>1599</v>
      </c>
      <c r="H16" s="44" t="s">
        <v>41</v>
      </c>
      <c r="I16" s="44" t="s">
        <v>34</v>
      </c>
      <c r="J16" s="44" t="s">
        <v>35</v>
      </c>
      <c r="K16" s="95">
        <v>3811</v>
      </c>
      <c r="L16" s="44">
        <v>199</v>
      </c>
      <c r="M16" s="95">
        <f t="shared" si="0"/>
        <v>758389</v>
      </c>
      <c r="N16" s="37">
        <f t="shared" si="2"/>
        <v>186.37019999999998</v>
      </c>
      <c r="O16" s="34">
        <f t="shared" si="3"/>
        <v>12.538807169815778</v>
      </c>
      <c r="P16" s="34">
        <f t="shared" si="4"/>
        <v>12.538807169815778</v>
      </c>
      <c r="Q16" s="34">
        <f t="shared" si="5"/>
        <v>29.466196849067078</v>
      </c>
      <c r="R16" s="37">
        <f t="shared" si="6"/>
        <v>129.33464130172126</v>
      </c>
      <c r="S16" s="37"/>
      <c r="T16" s="37"/>
      <c r="U16" s="34">
        <f t="shared" si="7"/>
        <v>8.5775862068965516</v>
      </c>
      <c r="V16" s="96">
        <f t="shared" si="8"/>
        <v>8.5775862068965516</v>
      </c>
      <c r="W16" s="37">
        <f t="shared" si="1"/>
        <v>32689.181034482757</v>
      </c>
      <c r="X16" s="92">
        <f t="shared" si="9"/>
        <v>444.29748743718596</v>
      </c>
      <c r="Y16" s="97">
        <v>9.1</v>
      </c>
      <c r="Z16" s="41">
        <v>14.6</v>
      </c>
      <c r="AA16" s="97">
        <v>11.9</v>
      </c>
      <c r="AB16" s="98" t="s">
        <v>77</v>
      </c>
      <c r="AC16" s="79" t="s">
        <v>37</v>
      </c>
      <c r="AD16" s="29" t="s">
        <v>38</v>
      </c>
    </row>
    <row r="17" spans="1:30" s="83" customFormat="1">
      <c r="A17" s="44" t="s">
        <v>55</v>
      </c>
      <c r="B17" s="44" t="s">
        <v>78</v>
      </c>
      <c r="C17" s="44" t="s">
        <v>30</v>
      </c>
      <c r="D17" s="44" t="s">
        <v>31</v>
      </c>
      <c r="E17" s="44">
        <v>2017</v>
      </c>
      <c r="F17" s="44" t="s">
        <v>32</v>
      </c>
      <c r="G17" s="44">
        <v>1248</v>
      </c>
      <c r="H17" s="44" t="s">
        <v>33</v>
      </c>
      <c r="I17" s="44" t="s">
        <v>34</v>
      </c>
      <c r="J17" s="44" t="s">
        <v>35</v>
      </c>
      <c r="K17" s="95">
        <v>3734</v>
      </c>
      <c r="L17" s="44">
        <v>131</v>
      </c>
      <c r="M17" s="95">
        <f t="shared" si="0"/>
        <v>489154</v>
      </c>
      <c r="N17" s="37">
        <f t="shared" si="2"/>
        <v>127.4958</v>
      </c>
      <c r="O17" s="34">
        <f t="shared" si="3"/>
        <v>18.328917501596131</v>
      </c>
      <c r="P17" s="34">
        <f t="shared" si="4"/>
        <v>18.328917501596131</v>
      </c>
      <c r="Q17" s="34">
        <f t="shared" si="5"/>
        <v>43.07295612875091</v>
      </c>
      <c r="R17" s="37">
        <f t="shared" si="6"/>
        <v>86.690126139440423</v>
      </c>
      <c r="S17" s="37"/>
      <c r="T17" s="37"/>
      <c r="U17" s="34">
        <f t="shared" si="7"/>
        <v>5.6465517241379315</v>
      </c>
      <c r="V17" s="96">
        <f t="shared" si="8"/>
        <v>5.6465517241379315</v>
      </c>
      <c r="W17" s="37">
        <f t="shared" si="1"/>
        <v>21084.224137931036</v>
      </c>
      <c r="X17" s="92">
        <f t="shared" si="9"/>
        <v>661.28854961832053</v>
      </c>
      <c r="Y17" s="100">
        <v>13.8</v>
      </c>
      <c r="Z17" s="44">
        <v>22.5</v>
      </c>
      <c r="AA17" s="100">
        <v>18.2</v>
      </c>
      <c r="AB17" s="98" t="s">
        <v>79</v>
      </c>
      <c r="AC17" s="79" t="s">
        <v>37</v>
      </c>
      <c r="AD17" s="29" t="s">
        <v>38</v>
      </c>
    </row>
    <row r="18" spans="1:30" s="83" customFormat="1">
      <c r="A18" s="44" t="s">
        <v>50</v>
      </c>
      <c r="B18" s="44" t="s">
        <v>80</v>
      </c>
      <c r="C18" s="44" t="s">
        <v>30</v>
      </c>
      <c r="D18" s="44" t="s">
        <v>40</v>
      </c>
      <c r="E18" s="44">
        <v>2017</v>
      </c>
      <c r="F18" s="44" t="s">
        <v>32</v>
      </c>
      <c r="G18" s="44">
        <v>1496</v>
      </c>
      <c r="H18" s="44" t="s">
        <v>33</v>
      </c>
      <c r="I18" s="44" t="s">
        <v>34</v>
      </c>
      <c r="J18" s="44" t="s">
        <v>74</v>
      </c>
      <c r="K18" s="102">
        <v>3646</v>
      </c>
      <c r="L18" s="44">
        <v>138</v>
      </c>
      <c r="M18" s="95">
        <f t="shared" si="0"/>
        <v>503148</v>
      </c>
      <c r="N18" s="37">
        <f t="shared" si="2"/>
        <v>133.5564</v>
      </c>
      <c r="O18" s="34">
        <f t="shared" si="3"/>
        <v>17.497177222506746</v>
      </c>
      <c r="P18" s="34">
        <f t="shared" si="4"/>
        <v>17.497177222506746</v>
      </c>
      <c r="Q18" s="34">
        <f t="shared" si="5"/>
        <v>41.118366472890855</v>
      </c>
      <c r="R18" s="37">
        <f t="shared" si="6"/>
        <v>88.670837699833982</v>
      </c>
      <c r="S18" s="37"/>
      <c r="T18" s="37"/>
      <c r="U18" s="34">
        <f t="shared" si="7"/>
        <v>5.9482758620689653</v>
      </c>
      <c r="V18" s="96">
        <f t="shared" si="8"/>
        <v>5.9482758620689653</v>
      </c>
      <c r="W18" s="37">
        <f t="shared" si="1"/>
        <v>21687.413793103449</v>
      </c>
      <c r="X18" s="92">
        <f t="shared" si="9"/>
        <v>612.95072463768122</v>
      </c>
      <c r="Y18" s="97">
        <v>13</v>
      </c>
      <c r="Z18" s="41">
        <v>21.2</v>
      </c>
      <c r="AA18" s="97">
        <v>17.2</v>
      </c>
      <c r="AB18" s="98" t="s">
        <v>81</v>
      </c>
      <c r="AC18" s="79" t="s">
        <v>37</v>
      </c>
      <c r="AD18" s="29" t="s">
        <v>38</v>
      </c>
    </row>
    <row r="19" spans="1:30" s="83" customFormat="1">
      <c r="A19" s="44" t="s">
        <v>43</v>
      </c>
      <c r="B19" s="44" t="s">
        <v>76</v>
      </c>
      <c r="C19" s="44" t="s">
        <v>60</v>
      </c>
      <c r="D19" s="44" t="s">
        <v>31</v>
      </c>
      <c r="E19" s="44">
        <v>2017</v>
      </c>
      <c r="F19" s="44" t="s">
        <v>32</v>
      </c>
      <c r="G19" s="44">
        <v>1998</v>
      </c>
      <c r="H19" s="44" t="s">
        <v>33</v>
      </c>
      <c r="I19" s="44" t="s">
        <v>34</v>
      </c>
      <c r="J19" s="44" t="s">
        <v>74</v>
      </c>
      <c r="K19" s="102">
        <v>3424</v>
      </c>
      <c r="L19" s="44">
        <v>209</v>
      </c>
      <c r="M19" s="95">
        <f t="shared" si="0"/>
        <v>715616</v>
      </c>
      <c r="N19" s="37">
        <f t="shared" si="2"/>
        <v>195.0282</v>
      </c>
      <c r="O19" s="34">
        <f t="shared" si="3"/>
        <v>11.982164630550864</v>
      </c>
      <c r="P19" s="34">
        <f t="shared" si="4"/>
        <v>11.982164630550864</v>
      </c>
      <c r="Q19" s="34">
        <f t="shared" si="5"/>
        <v>28.158086881794532</v>
      </c>
      <c r="R19" s="37">
        <f t="shared" si="6"/>
        <v>121.59917022678731</v>
      </c>
      <c r="S19" s="37"/>
      <c r="T19" s="37"/>
      <c r="U19" s="34">
        <f t="shared" si="7"/>
        <v>9.0086206896551726</v>
      </c>
      <c r="V19" s="96">
        <f t="shared" si="8"/>
        <v>9.0086206896551726</v>
      </c>
      <c r="W19" s="37">
        <f t="shared" si="1"/>
        <v>30845.517241379312</v>
      </c>
      <c r="X19" s="92">
        <f t="shared" si="9"/>
        <v>380.08038277511963</v>
      </c>
      <c r="Y19" s="100">
        <v>8.8000000000000007</v>
      </c>
      <c r="Z19" s="44">
        <v>13.7</v>
      </c>
      <c r="AA19" s="100">
        <v>11.4</v>
      </c>
      <c r="AB19" s="101" t="s">
        <v>82</v>
      </c>
      <c r="AC19" s="80" t="s">
        <v>37</v>
      </c>
      <c r="AD19" s="29" t="s">
        <v>38</v>
      </c>
    </row>
    <row r="20" spans="1:30" s="83" customFormat="1">
      <c r="A20" s="44" t="s">
        <v>43</v>
      </c>
      <c r="B20" s="44" t="s">
        <v>83</v>
      </c>
      <c r="C20" s="44" t="s">
        <v>30</v>
      </c>
      <c r="D20" s="44" t="s">
        <v>40</v>
      </c>
      <c r="E20" s="44">
        <v>2017</v>
      </c>
      <c r="F20" s="44" t="s">
        <v>32</v>
      </c>
      <c r="G20" s="44">
        <v>1149</v>
      </c>
      <c r="H20" s="44" t="s">
        <v>41</v>
      </c>
      <c r="I20" s="44" t="s">
        <v>34</v>
      </c>
      <c r="J20" s="44" t="s">
        <v>35</v>
      </c>
      <c r="K20" s="102">
        <v>3414</v>
      </c>
      <c r="L20" s="44">
        <v>137</v>
      </c>
      <c r="M20" s="95">
        <f t="shared" si="0"/>
        <v>467718</v>
      </c>
      <c r="N20" s="37">
        <f t="shared" si="2"/>
        <v>132.69059999999999</v>
      </c>
      <c r="O20" s="34">
        <f t="shared" si="3"/>
        <v>17.611345490939073</v>
      </c>
      <c r="P20" s="34">
        <f t="shared" si="4"/>
        <v>17.611345490939073</v>
      </c>
      <c r="Q20" s="34">
        <f t="shared" si="5"/>
        <v>41.386661903706823</v>
      </c>
      <c r="R20" s="37">
        <f t="shared" si="6"/>
        <v>82.490344544898477</v>
      </c>
      <c r="S20" s="37"/>
      <c r="T20" s="37"/>
      <c r="U20" s="34">
        <f t="shared" si="7"/>
        <v>5.9051724137931032</v>
      </c>
      <c r="V20" s="96">
        <f t="shared" si="8"/>
        <v>5.9051724137931032</v>
      </c>
      <c r="W20" s="37">
        <f t="shared" si="1"/>
        <v>20160.258620689656</v>
      </c>
      <c r="X20" s="92">
        <f t="shared" si="9"/>
        <v>578.13722627737229</v>
      </c>
      <c r="Y20" s="100">
        <v>13</v>
      </c>
      <c r="Z20" s="44">
        <v>21.6</v>
      </c>
      <c r="AA20" s="100">
        <v>17.399999999999999</v>
      </c>
      <c r="AB20" s="98" t="s">
        <v>84</v>
      </c>
      <c r="AC20" s="80" t="s">
        <v>37</v>
      </c>
      <c r="AD20" s="29" t="s">
        <v>38</v>
      </c>
    </row>
    <row r="21" spans="1:30" s="83" customFormat="1">
      <c r="A21" s="44" t="s">
        <v>62</v>
      </c>
      <c r="B21" s="44" t="s">
        <v>85</v>
      </c>
      <c r="C21" s="44" t="s">
        <v>60</v>
      </c>
      <c r="D21" s="44" t="s">
        <v>31</v>
      </c>
      <c r="E21" s="44">
        <v>2017</v>
      </c>
      <c r="F21" s="44" t="s">
        <v>32</v>
      </c>
      <c r="G21" s="44">
        <v>1999</v>
      </c>
      <c r="H21" s="44" t="s">
        <v>33</v>
      </c>
      <c r="I21" s="44" t="s">
        <v>34</v>
      </c>
      <c r="J21" s="44" t="s">
        <v>74</v>
      </c>
      <c r="K21" s="102">
        <v>3378</v>
      </c>
      <c r="L21" s="44">
        <v>210</v>
      </c>
      <c r="M21" s="95">
        <f t="shared" si="0"/>
        <v>709380</v>
      </c>
      <c r="N21" s="37">
        <f t="shared" si="2"/>
        <v>195.89400000000001</v>
      </c>
      <c r="O21" s="34">
        <f t="shared" si="3"/>
        <v>11.929206611739001</v>
      </c>
      <c r="P21" s="34">
        <f t="shared" si="4"/>
        <v>11.929206611739001</v>
      </c>
      <c r="Q21" s="34">
        <f t="shared" si="5"/>
        <v>28.033635537586655</v>
      </c>
      <c r="R21" s="37">
        <f t="shared" si="6"/>
        <v>120.4981064789431</v>
      </c>
      <c r="S21" s="37"/>
      <c r="T21" s="37"/>
      <c r="U21" s="34">
        <f t="shared" si="7"/>
        <v>9.0517241379310356</v>
      </c>
      <c r="V21" s="96">
        <f t="shared" si="8"/>
        <v>9.0517241379310356</v>
      </c>
      <c r="W21" s="37">
        <f t="shared" si="1"/>
        <v>30576.72413793104</v>
      </c>
      <c r="X21" s="92">
        <f t="shared" si="9"/>
        <v>373.18857142857138</v>
      </c>
      <c r="Y21" s="100">
        <v>8.3000000000000007</v>
      </c>
      <c r="Z21" s="44">
        <v>13.8</v>
      </c>
      <c r="AA21" s="100">
        <v>11.11</v>
      </c>
      <c r="AB21" s="98" t="s">
        <v>86</v>
      </c>
      <c r="AC21" s="80" t="s">
        <v>37</v>
      </c>
      <c r="AD21" s="29" t="s">
        <v>38</v>
      </c>
    </row>
    <row r="22" spans="1:30" s="83" customFormat="1">
      <c r="A22" s="44" t="s">
        <v>43</v>
      </c>
      <c r="B22" s="44" t="s">
        <v>87</v>
      </c>
      <c r="C22" s="44" t="s">
        <v>88</v>
      </c>
      <c r="D22" s="44" t="s">
        <v>31</v>
      </c>
      <c r="E22" s="44">
        <v>2017</v>
      </c>
      <c r="F22" s="44" t="s">
        <v>32</v>
      </c>
      <c r="G22" s="44">
        <v>1998</v>
      </c>
      <c r="H22" s="44" t="s">
        <v>33</v>
      </c>
      <c r="I22" s="44" t="s">
        <v>34</v>
      </c>
      <c r="J22" s="44" t="s">
        <v>35</v>
      </c>
      <c r="K22" s="102">
        <v>3365</v>
      </c>
      <c r="L22" s="44">
        <v>201</v>
      </c>
      <c r="M22" s="95">
        <f t="shared" si="0"/>
        <v>676365</v>
      </c>
      <c r="N22" s="37">
        <f t="shared" si="2"/>
        <v>188.1018</v>
      </c>
      <c r="O22" s="34">
        <f t="shared" si="3"/>
        <v>12.423379255275602</v>
      </c>
      <c r="P22" s="34">
        <f t="shared" si="4"/>
        <v>12.423379255275602</v>
      </c>
      <c r="Q22" s="34">
        <f t="shared" si="5"/>
        <v>29.194941249897667</v>
      </c>
      <c r="R22" s="37">
        <f t="shared" si="6"/>
        <v>115.25969417773001</v>
      </c>
      <c r="S22" s="37"/>
      <c r="T22" s="37"/>
      <c r="U22" s="34">
        <f t="shared" si="7"/>
        <v>8.6637931034482758</v>
      </c>
      <c r="V22" s="96">
        <f t="shared" si="8"/>
        <v>8.6637931034482758</v>
      </c>
      <c r="W22" s="37">
        <f t="shared" si="1"/>
        <v>29153.663793103449</v>
      </c>
      <c r="X22" s="92">
        <f t="shared" si="9"/>
        <v>388.39800995024876</v>
      </c>
      <c r="Y22" s="100">
        <v>8.9</v>
      </c>
      <c r="Z22" s="44">
        <v>14.5</v>
      </c>
      <c r="AA22" s="100">
        <v>11.8</v>
      </c>
      <c r="AB22" s="101" t="s">
        <v>89</v>
      </c>
      <c r="AC22" s="80" t="s">
        <v>37</v>
      </c>
      <c r="AD22" s="29" t="s">
        <v>38</v>
      </c>
    </row>
    <row r="23" spans="1:30" s="83" customFormat="1">
      <c r="A23" s="44" t="s">
        <v>90</v>
      </c>
      <c r="B23" s="44" t="s">
        <v>91</v>
      </c>
      <c r="C23" s="44" t="s">
        <v>30</v>
      </c>
      <c r="D23" s="44" t="s">
        <v>40</v>
      </c>
      <c r="E23" s="44">
        <v>2017</v>
      </c>
      <c r="F23" s="44" t="s">
        <v>32</v>
      </c>
      <c r="G23" s="44">
        <v>1599</v>
      </c>
      <c r="H23" s="44" t="s">
        <v>33</v>
      </c>
      <c r="I23" s="44" t="s">
        <v>34</v>
      </c>
      <c r="J23" s="44" t="s">
        <v>35</v>
      </c>
      <c r="K23" s="102">
        <v>2969</v>
      </c>
      <c r="L23" s="44">
        <v>164</v>
      </c>
      <c r="M23" s="95">
        <f t="shared" si="0"/>
        <v>486916</v>
      </c>
      <c r="N23" s="37">
        <f t="shared" si="2"/>
        <v>156.06719999999999</v>
      </c>
      <c r="O23" s="34">
        <f t="shared" si="3"/>
        <v>14.973421705521726</v>
      </c>
      <c r="P23" s="34">
        <f t="shared" si="4"/>
        <v>14.973421705521726</v>
      </c>
      <c r="Q23" s="34">
        <f t="shared" si="5"/>
        <v>35.187541007976058</v>
      </c>
      <c r="R23" s="37">
        <f t="shared" si="6"/>
        <v>84.376455840634293</v>
      </c>
      <c r="S23" s="37"/>
      <c r="T23" s="37"/>
      <c r="U23" s="34">
        <f t="shared" si="7"/>
        <v>7.0689655172413799</v>
      </c>
      <c r="V23" s="96">
        <f t="shared" si="8"/>
        <v>7.0689655172413799</v>
      </c>
      <c r="W23" s="37">
        <f t="shared" si="1"/>
        <v>20987.758620689656</v>
      </c>
      <c r="X23" s="92">
        <f t="shared" si="9"/>
        <v>420.00487804878043</v>
      </c>
      <c r="Y23" s="100">
        <v>10.8</v>
      </c>
      <c r="Z23" s="44">
        <v>18</v>
      </c>
      <c r="AA23" s="100">
        <v>14.4</v>
      </c>
      <c r="AB23" s="98" t="s">
        <v>92</v>
      </c>
      <c r="AC23" s="80" t="s">
        <v>37</v>
      </c>
      <c r="AD23" s="29" t="s">
        <v>38</v>
      </c>
    </row>
    <row r="24" spans="1:30" s="83" customFormat="1">
      <c r="A24" s="44" t="s">
        <v>43</v>
      </c>
      <c r="B24" s="44" t="s">
        <v>93</v>
      </c>
      <c r="C24" s="44" t="s">
        <v>94</v>
      </c>
      <c r="D24" s="44" t="s">
        <v>31</v>
      </c>
      <c r="E24" s="44">
        <v>2017</v>
      </c>
      <c r="F24" s="44" t="s">
        <v>32</v>
      </c>
      <c r="G24" s="44">
        <v>1998</v>
      </c>
      <c r="H24" s="44" t="s">
        <v>33</v>
      </c>
      <c r="I24" s="44" t="s">
        <v>34</v>
      </c>
      <c r="J24" s="44" t="s">
        <v>35</v>
      </c>
      <c r="K24" s="102">
        <v>2749</v>
      </c>
      <c r="L24" s="44">
        <v>236</v>
      </c>
      <c r="M24" s="95">
        <f t="shared" si="0"/>
        <v>648764</v>
      </c>
      <c r="N24" s="37">
        <f t="shared" si="2"/>
        <v>218.40479999999999</v>
      </c>
      <c r="O24" s="34">
        <f t="shared" si="3"/>
        <v>10.6996732672542</v>
      </c>
      <c r="P24" s="34">
        <f t="shared" si="4"/>
        <v>10.6996732672542</v>
      </c>
      <c r="Q24" s="34">
        <f t="shared" si="5"/>
        <v>25.144232178047371</v>
      </c>
      <c r="R24" s="37">
        <f t="shared" si="6"/>
        <v>109.32924817644917</v>
      </c>
      <c r="S24" s="37"/>
      <c r="T24" s="37"/>
      <c r="U24" s="34">
        <f t="shared" si="7"/>
        <v>10.172413793103448</v>
      </c>
      <c r="V24" s="96">
        <f t="shared" si="8"/>
        <v>10.172413793103448</v>
      </c>
      <c r="W24" s="37">
        <f t="shared" si="1"/>
        <v>27963.96551724138</v>
      </c>
      <c r="X24" s="92">
        <f t="shared" si="9"/>
        <v>270.24067796610171</v>
      </c>
      <c r="Y24" s="95">
        <v>7.2</v>
      </c>
      <c r="Z24" s="59">
        <v>13.1</v>
      </c>
      <c r="AA24" s="95">
        <v>10.1</v>
      </c>
      <c r="AB24" s="98" t="s">
        <v>95</v>
      </c>
      <c r="AC24" s="79" t="s">
        <v>37</v>
      </c>
      <c r="AD24" s="29" t="s">
        <v>38</v>
      </c>
    </row>
    <row r="25" spans="1:30" s="83" customFormat="1">
      <c r="A25" s="44" t="s">
        <v>68</v>
      </c>
      <c r="B25" s="44" t="s">
        <v>96</v>
      </c>
      <c r="C25" s="44" t="s">
        <v>30</v>
      </c>
      <c r="D25" s="44" t="s">
        <v>31</v>
      </c>
      <c r="E25" s="44">
        <v>2017</v>
      </c>
      <c r="F25" s="44" t="s">
        <v>32</v>
      </c>
      <c r="G25" s="44">
        <v>1598</v>
      </c>
      <c r="H25" s="44" t="s">
        <v>33</v>
      </c>
      <c r="I25" s="44" t="s">
        <v>34</v>
      </c>
      <c r="J25" s="44" t="s">
        <v>35</v>
      </c>
      <c r="K25" s="102">
        <v>2672</v>
      </c>
      <c r="L25" s="44">
        <v>155</v>
      </c>
      <c r="M25" s="95">
        <f t="shared" si="0"/>
        <v>414160</v>
      </c>
      <c r="N25" s="37">
        <f t="shared" si="2"/>
        <v>148.27500000000001</v>
      </c>
      <c r="O25" s="34">
        <f t="shared" si="3"/>
        <v>15.760310234361828</v>
      </c>
      <c r="P25" s="34">
        <f t="shared" si="4"/>
        <v>15.760310234361828</v>
      </c>
      <c r="Q25" s="34">
        <f t="shared" si="5"/>
        <v>37.036729050750296</v>
      </c>
      <c r="R25" s="37">
        <f t="shared" si="6"/>
        <v>72.144599927780888</v>
      </c>
      <c r="S25" s="37"/>
      <c r="T25" s="37"/>
      <c r="U25" s="34">
        <f t="shared" si="7"/>
        <v>6.681034482758621</v>
      </c>
      <c r="V25" s="96">
        <f t="shared" si="8"/>
        <v>6.681034482758621</v>
      </c>
      <c r="W25" s="37">
        <f t="shared" si="1"/>
        <v>17851.724137931036</v>
      </c>
      <c r="X25" s="92">
        <f t="shared" si="9"/>
        <v>399.93806451612903</v>
      </c>
      <c r="Y25" s="100">
        <v>11.6</v>
      </c>
      <c r="Z25" s="44">
        <v>19</v>
      </c>
      <c r="AA25" s="100">
        <v>15.4</v>
      </c>
      <c r="AB25" s="101" t="s">
        <v>97</v>
      </c>
      <c r="AC25" s="80" t="s">
        <v>37</v>
      </c>
      <c r="AD25" s="29" t="s">
        <v>38</v>
      </c>
    </row>
    <row r="26" spans="1:30" s="83" customFormat="1">
      <c r="A26" s="44" t="s">
        <v>50</v>
      </c>
      <c r="B26" s="44" t="s">
        <v>98</v>
      </c>
      <c r="C26" s="44" t="s">
        <v>60</v>
      </c>
      <c r="D26" s="44" t="s">
        <v>31</v>
      </c>
      <c r="E26" s="44">
        <v>2017</v>
      </c>
      <c r="F26" s="44" t="s">
        <v>32</v>
      </c>
      <c r="G26" s="44">
        <v>1998</v>
      </c>
      <c r="H26" s="44" t="s">
        <v>33</v>
      </c>
      <c r="I26" s="44" t="s">
        <v>34</v>
      </c>
      <c r="J26" s="44" t="s">
        <v>74</v>
      </c>
      <c r="K26" s="102">
        <v>2619</v>
      </c>
      <c r="L26" s="44">
        <v>175</v>
      </c>
      <c r="M26" s="95">
        <f t="shared" si="0"/>
        <v>458325</v>
      </c>
      <c r="N26" s="37">
        <f t="shared" si="2"/>
        <v>165.59100000000001</v>
      </c>
      <c r="O26" s="34">
        <f t="shared" si="3"/>
        <v>14.112240399538623</v>
      </c>
      <c r="P26" s="34">
        <f t="shared" si="4"/>
        <v>14.112240399538623</v>
      </c>
      <c r="Q26" s="34">
        <f t="shared" si="5"/>
        <v>33.163764938915762</v>
      </c>
      <c r="R26" s="37">
        <f t="shared" si="6"/>
        <v>78.971733300604683</v>
      </c>
      <c r="S26" s="37"/>
      <c r="T26" s="37"/>
      <c r="U26" s="34">
        <f t="shared" si="7"/>
        <v>7.5431034482758621</v>
      </c>
      <c r="V26" s="96">
        <f t="shared" si="8"/>
        <v>7.5431034482758621</v>
      </c>
      <c r="W26" s="37">
        <f t="shared" si="1"/>
        <v>19755.387931034482</v>
      </c>
      <c r="X26" s="92">
        <f t="shared" si="9"/>
        <v>347.20457142857146</v>
      </c>
      <c r="Y26" s="100">
        <v>10.8</v>
      </c>
      <c r="Z26" s="44">
        <v>15.5</v>
      </c>
      <c r="AA26" s="100">
        <v>13.3</v>
      </c>
      <c r="AB26" s="101" t="s">
        <v>99</v>
      </c>
      <c r="AC26" s="80" t="s">
        <v>37</v>
      </c>
      <c r="AD26" s="29" t="s">
        <v>38</v>
      </c>
    </row>
    <row r="27" spans="1:30" s="83" customFormat="1">
      <c r="A27" s="44" t="s">
        <v>62</v>
      </c>
      <c r="B27" s="44" t="s">
        <v>100</v>
      </c>
      <c r="C27" s="44" t="s">
        <v>60</v>
      </c>
      <c r="D27" s="44" t="s">
        <v>175</v>
      </c>
      <c r="E27" s="44">
        <v>2017</v>
      </c>
      <c r="F27" s="44" t="s">
        <v>32</v>
      </c>
      <c r="G27" s="44">
        <v>3497</v>
      </c>
      <c r="H27" s="44" t="s">
        <v>33</v>
      </c>
      <c r="I27" s="44" t="s">
        <v>34</v>
      </c>
      <c r="J27" s="44" t="s">
        <v>74</v>
      </c>
      <c r="K27" s="102">
        <v>2235</v>
      </c>
      <c r="L27" s="44">
        <v>269</v>
      </c>
      <c r="M27" s="95">
        <f t="shared" si="0"/>
        <v>601215</v>
      </c>
      <c r="N27" s="37">
        <f t="shared" si="2"/>
        <v>246.97620000000001</v>
      </c>
      <c r="O27" s="34">
        <f t="shared" si="3"/>
        <v>9.4618833717580895</v>
      </c>
      <c r="P27" s="34">
        <f t="shared" si="4"/>
        <v>9.4618833717580895</v>
      </c>
      <c r="Q27" s="34">
        <f t="shared" si="5"/>
        <v>22.23542592363151</v>
      </c>
      <c r="R27" s="37">
        <f t="shared" si="6"/>
        <v>100.51527718318506</v>
      </c>
      <c r="S27" s="37"/>
      <c r="T27" s="37"/>
      <c r="U27" s="34">
        <f t="shared" si="7"/>
        <v>11.594827586206897</v>
      </c>
      <c r="V27" s="96">
        <f t="shared" si="8"/>
        <v>11.594827586206897</v>
      </c>
      <c r="W27" s="37">
        <f t="shared" si="1"/>
        <v>25914.439655172413</v>
      </c>
      <c r="X27" s="92">
        <f t="shared" si="9"/>
        <v>192.75836431226764</v>
      </c>
      <c r="Y27" s="100">
        <v>6.2</v>
      </c>
      <c r="Z27" s="44">
        <v>11.1</v>
      </c>
      <c r="AA27" s="100">
        <v>8.6</v>
      </c>
      <c r="AB27" s="101" t="s">
        <v>101</v>
      </c>
      <c r="AC27" s="80" t="s">
        <v>37</v>
      </c>
      <c r="AD27" s="29" t="s">
        <v>38</v>
      </c>
    </row>
    <row r="28" spans="1:30" s="83" customFormat="1">
      <c r="A28" s="44" t="s">
        <v>102</v>
      </c>
      <c r="B28" s="44" t="s">
        <v>240</v>
      </c>
      <c r="C28" s="44" t="s">
        <v>94</v>
      </c>
      <c r="D28" s="44" t="s">
        <v>175</v>
      </c>
      <c r="E28" s="44">
        <v>2017</v>
      </c>
      <c r="F28" s="44" t="s">
        <v>103</v>
      </c>
      <c r="G28" s="44">
        <v>2982</v>
      </c>
      <c r="H28" s="44" t="s">
        <v>33</v>
      </c>
      <c r="I28" s="44" t="s">
        <v>34</v>
      </c>
      <c r="J28" s="44" t="s">
        <v>74</v>
      </c>
      <c r="K28" s="102">
        <v>2208</v>
      </c>
      <c r="L28" s="44">
        <v>225</v>
      </c>
      <c r="M28" s="95">
        <f t="shared" si="0"/>
        <v>496800</v>
      </c>
      <c r="N28" s="37">
        <f t="shared" si="2"/>
        <v>196.7955</v>
      </c>
      <c r="O28" s="34">
        <f t="shared" si="3"/>
        <v>13.640555805391891</v>
      </c>
      <c r="P28" s="34">
        <f t="shared" si="4"/>
        <v>12.630144264251751</v>
      </c>
      <c r="Q28" s="34">
        <f t="shared" si="5"/>
        <v>29.680839020991616</v>
      </c>
      <c r="R28" s="37">
        <f t="shared" si="6"/>
        <v>74.391428033365358</v>
      </c>
      <c r="S28" s="37"/>
      <c r="T28" s="37"/>
      <c r="U28" s="34">
        <f t="shared" si="7"/>
        <v>8.400537634408602</v>
      </c>
      <c r="V28" s="96">
        <f t="shared" si="8"/>
        <v>9.07258064516129</v>
      </c>
      <c r="W28" s="37">
        <f t="shared" si="1"/>
        <v>20032.258064516129</v>
      </c>
      <c r="X28" s="92">
        <f t="shared" si="9"/>
        <v>243.37066666666666</v>
      </c>
      <c r="Y28" s="100">
        <v>11.76</v>
      </c>
      <c r="Z28" s="44">
        <v>9.43</v>
      </c>
      <c r="AA28" s="100">
        <v>13.7</v>
      </c>
      <c r="AB28" s="101" t="s">
        <v>104</v>
      </c>
      <c r="AC28" s="80" t="s">
        <v>105</v>
      </c>
      <c r="AD28" s="31" t="s">
        <v>106</v>
      </c>
    </row>
    <row r="29" spans="1:30" s="83" customFormat="1">
      <c r="A29" s="44" t="s">
        <v>28</v>
      </c>
      <c r="B29" s="44" t="s">
        <v>107</v>
      </c>
      <c r="C29" s="44" t="s">
        <v>30</v>
      </c>
      <c r="D29" s="44" t="s">
        <v>31</v>
      </c>
      <c r="E29" s="44">
        <v>2017</v>
      </c>
      <c r="F29" s="44" t="s">
        <v>32</v>
      </c>
      <c r="G29" s="44">
        <v>1389</v>
      </c>
      <c r="H29" s="44" t="s">
        <v>33</v>
      </c>
      <c r="I29" s="44" t="s">
        <v>34</v>
      </c>
      <c r="J29" s="44" t="s">
        <v>35</v>
      </c>
      <c r="K29" s="102">
        <v>2108</v>
      </c>
      <c r="L29" s="44">
        <v>161</v>
      </c>
      <c r="M29" s="95">
        <f t="shared" si="0"/>
        <v>339388</v>
      </c>
      <c r="N29" s="37">
        <f t="shared" si="2"/>
        <v>153.46979999999999</v>
      </c>
      <c r="O29" s="34">
        <f t="shared" si="3"/>
        <v>15.226839417266461</v>
      </c>
      <c r="P29" s="34">
        <f t="shared" si="4"/>
        <v>15.226839417266461</v>
      </c>
      <c r="Q29" s="34">
        <f t="shared" si="5"/>
        <v>35.783072630576186</v>
      </c>
      <c r="R29" s="37">
        <f t="shared" si="6"/>
        <v>58.910536324338466</v>
      </c>
      <c r="S29" s="37"/>
      <c r="T29" s="37"/>
      <c r="U29" s="34">
        <f t="shared" si="7"/>
        <v>6.9396551724137936</v>
      </c>
      <c r="V29" s="96">
        <f t="shared" si="8"/>
        <v>6.9396551724137936</v>
      </c>
      <c r="W29" s="37">
        <f t="shared" si="1"/>
        <v>14628.793103448277</v>
      </c>
      <c r="X29" s="92">
        <f t="shared" si="9"/>
        <v>303.76149068322979</v>
      </c>
      <c r="Y29" s="100">
        <v>11</v>
      </c>
      <c r="Z29" s="44">
        <v>18.399999999999999</v>
      </c>
      <c r="AA29" s="100">
        <v>14.7</v>
      </c>
      <c r="AB29" s="101" t="s">
        <v>108</v>
      </c>
      <c r="AC29" s="80" t="s">
        <v>37</v>
      </c>
      <c r="AD29" s="29" t="s">
        <v>38</v>
      </c>
    </row>
    <row r="30" spans="1:30" s="83" customFormat="1">
      <c r="A30" s="44" t="s">
        <v>68</v>
      </c>
      <c r="B30" s="44" t="s">
        <v>109</v>
      </c>
      <c r="C30" s="44" t="s">
        <v>88</v>
      </c>
      <c r="D30" s="44" t="s">
        <v>175</v>
      </c>
      <c r="E30" s="44">
        <v>2017</v>
      </c>
      <c r="F30" s="44" t="s">
        <v>32</v>
      </c>
      <c r="G30" s="44">
        <v>2488</v>
      </c>
      <c r="H30" s="44" t="s">
        <v>33</v>
      </c>
      <c r="I30" s="44" t="s">
        <v>34</v>
      </c>
      <c r="J30" s="44" t="s">
        <v>35</v>
      </c>
      <c r="K30" s="102">
        <v>1960</v>
      </c>
      <c r="L30" s="44">
        <v>231</v>
      </c>
      <c r="M30" s="95">
        <f t="shared" si="0"/>
        <v>452760</v>
      </c>
      <c r="N30" s="37">
        <f t="shared" si="2"/>
        <v>214.07579999999999</v>
      </c>
      <c r="O30" s="34">
        <f t="shared" si="3"/>
        <v>10.91604001946974</v>
      </c>
      <c r="P30" s="34">
        <f t="shared" si="4"/>
        <v>10.91604001946974</v>
      </c>
      <c r="Q30" s="34">
        <f t="shared" si="5"/>
        <v>25.65269404575389</v>
      </c>
      <c r="R30" s="37">
        <f t="shared" si="6"/>
        <v>76.405230441066479</v>
      </c>
      <c r="S30" s="37"/>
      <c r="T30" s="37"/>
      <c r="U30" s="34">
        <f t="shared" si="7"/>
        <v>9.9568965517241388</v>
      </c>
      <c r="V30" s="96">
        <f t="shared" si="8"/>
        <v>9.9568965517241388</v>
      </c>
      <c r="W30" s="37">
        <f t="shared" si="1"/>
        <v>19515.517241379312</v>
      </c>
      <c r="X30" s="92">
        <f t="shared" si="9"/>
        <v>196.84848484848484</v>
      </c>
      <c r="Y30" s="100">
        <v>7.9</v>
      </c>
      <c r="Z30" s="44">
        <v>12.5</v>
      </c>
      <c r="AA30" s="100">
        <v>10.3</v>
      </c>
      <c r="AB30" s="101" t="s">
        <v>110</v>
      </c>
      <c r="AC30" s="80" t="s">
        <v>37</v>
      </c>
      <c r="AD30" s="29" t="s">
        <v>38</v>
      </c>
    </row>
    <row r="31" spans="1:30" s="83" customFormat="1">
      <c r="A31" s="44" t="s">
        <v>102</v>
      </c>
      <c r="B31" s="44" t="s">
        <v>111</v>
      </c>
      <c r="C31" s="44" t="s">
        <v>60</v>
      </c>
      <c r="D31" s="44" t="s">
        <v>31</v>
      </c>
      <c r="E31" s="44">
        <v>2017</v>
      </c>
      <c r="F31" s="44" t="s">
        <v>32</v>
      </c>
      <c r="G31" s="44">
        <v>1987</v>
      </c>
      <c r="H31" s="44" t="s">
        <v>33</v>
      </c>
      <c r="I31" s="44" t="s">
        <v>34</v>
      </c>
      <c r="J31" s="44" t="s">
        <v>35</v>
      </c>
      <c r="K31" s="102">
        <v>1900</v>
      </c>
      <c r="L31" s="44">
        <v>185</v>
      </c>
      <c r="M31" s="95">
        <f t="shared" si="0"/>
        <v>351500</v>
      </c>
      <c r="N31" s="37">
        <f t="shared" si="2"/>
        <v>174.249</v>
      </c>
      <c r="O31" s="34">
        <f t="shared" si="3"/>
        <v>13.411038226905177</v>
      </c>
      <c r="P31" s="34">
        <f t="shared" si="4"/>
        <v>13.411038226905177</v>
      </c>
      <c r="Q31" s="34">
        <f t="shared" si="5"/>
        <v>31.515939833227169</v>
      </c>
      <c r="R31" s="37">
        <f t="shared" si="6"/>
        <v>60.286953524287263</v>
      </c>
      <c r="S31" s="37"/>
      <c r="T31" s="37"/>
      <c r="U31" s="34">
        <f t="shared" si="7"/>
        <v>7.9741379310344831</v>
      </c>
      <c r="V31" s="96">
        <f t="shared" si="8"/>
        <v>7.9741379310344831</v>
      </c>
      <c r="W31" s="37">
        <f t="shared" si="1"/>
        <v>15150.862068965518</v>
      </c>
      <c r="X31" s="92">
        <f t="shared" si="9"/>
        <v>238.27027027027026</v>
      </c>
      <c r="Y31" s="100">
        <v>10.1</v>
      </c>
      <c r="Z31" s="44">
        <v>15.3</v>
      </c>
      <c r="AA31" s="100">
        <v>12.9</v>
      </c>
      <c r="AB31" s="101" t="s">
        <v>112</v>
      </c>
      <c r="AC31" s="80" t="s">
        <v>37</v>
      </c>
      <c r="AD31" s="29" t="s">
        <v>38</v>
      </c>
    </row>
    <row r="32" spans="1:30" s="83" customFormat="1">
      <c r="A32" s="44" t="s">
        <v>28</v>
      </c>
      <c r="B32" s="44" t="s">
        <v>113</v>
      </c>
      <c r="C32" s="44" t="s">
        <v>114</v>
      </c>
      <c r="D32" s="44" t="s">
        <v>115</v>
      </c>
      <c r="E32" s="44">
        <v>2017</v>
      </c>
      <c r="F32" s="44" t="s">
        <v>32</v>
      </c>
      <c r="G32" s="44">
        <v>1206</v>
      </c>
      <c r="H32" s="44" t="s">
        <v>33</v>
      </c>
      <c r="I32" s="44" t="s">
        <v>34</v>
      </c>
      <c r="J32" s="44" t="s">
        <v>35</v>
      </c>
      <c r="K32" s="102">
        <v>1806</v>
      </c>
      <c r="L32" s="44">
        <v>171</v>
      </c>
      <c r="M32" s="95">
        <f t="shared" si="0"/>
        <v>308826</v>
      </c>
      <c r="N32" s="37">
        <f t="shared" si="2"/>
        <v>162.12780000000001</v>
      </c>
      <c r="O32" s="34">
        <f t="shared" si="3"/>
        <v>14.413690927774262</v>
      </c>
      <c r="P32" s="34">
        <f t="shared" si="4"/>
        <v>14.413690927774262</v>
      </c>
      <c r="Q32" s="34">
        <f>P32*2.35</f>
        <v>33.872173680269519</v>
      </c>
      <c r="R32" s="37">
        <f t="shared" si="6"/>
        <v>53.318101667977444</v>
      </c>
      <c r="S32" s="37"/>
      <c r="T32" s="37"/>
      <c r="U32" s="34">
        <f t="shared" si="7"/>
        <v>7.3706896551724137</v>
      </c>
      <c r="V32" s="96">
        <f t="shared" si="8"/>
        <v>7.3706896551724137</v>
      </c>
      <c r="W32" s="37">
        <f t="shared" si="1"/>
        <v>13311.465517241379</v>
      </c>
      <c r="X32" s="92">
        <f t="shared" si="9"/>
        <v>245.02456140350878</v>
      </c>
      <c r="Y32" s="100">
        <v>11.2</v>
      </c>
      <c r="Z32" s="44">
        <v>16.7</v>
      </c>
      <c r="AA32" s="100">
        <v>14.1</v>
      </c>
      <c r="AB32" s="101" t="s">
        <v>116</v>
      </c>
      <c r="AC32" s="80" t="s">
        <v>37</v>
      </c>
      <c r="AD32" s="31" t="s">
        <v>38</v>
      </c>
    </row>
    <row r="33" spans="1:30" s="83" customFormat="1" ht="30">
      <c r="A33" s="44" t="s">
        <v>43</v>
      </c>
      <c r="B33" s="44" t="s">
        <v>47</v>
      </c>
      <c r="C33" s="44" t="s">
        <v>30</v>
      </c>
      <c r="D33" s="44" t="s">
        <v>31</v>
      </c>
      <c r="E33" s="44">
        <v>2017</v>
      </c>
      <c r="F33" s="44" t="s">
        <v>32</v>
      </c>
      <c r="G33" s="44">
        <v>1598</v>
      </c>
      <c r="H33" s="44" t="s">
        <v>41</v>
      </c>
      <c r="I33" s="44" t="s">
        <v>34</v>
      </c>
      <c r="J33" s="44" t="s">
        <v>35</v>
      </c>
      <c r="K33" s="102">
        <v>1795</v>
      </c>
      <c r="L33" s="44">
        <v>170</v>
      </c>
      <c r="M33" s="95">
        <f t="shared" si="0"/>
        <v>305150</v>
      </c>
      <c r="N33" s="37">
        <f t="shared" si="2"/>
        <v>161.262</v>
      </c>
      <c r="O33" s="34">
        <f t="shared" si="3"/>
        <v>14.491076633056766</v>
      </c>
      <c r="P33" s="34">
        <f t="shared" si="4"/>
        <v>14.491076633056766</v>
      </c>
      <c r="Q33" s="34">
        <f t="shared" si="5"/>
        <v>34.054030087683401</v>
      </c>
      <c r="R33" s="37">
        <f t="shared" si="6"/>
        <v>52.710354556514361</v>
      </c>
      <c r="S33" s="37"/>
      <c r="T33" s="37"/>
      <c r="U33" s="34">
        <f t="shared" si="7"/>
        <v>7.3275862068965516</v>
      </c>
      <c r="V33" s="96">
        <f t="shared" si="8"/>
        <v>7.3275862068965516</v>
      </c>
      <c r="W33" s="37">
        <f t="shared" si="1"/>
        <v>13153.01724137931</v>
      </c>
      <c r="X33" s="92">
        <f t="shared" si="9"/>
        <v>244.96470588235294</v>
      </c>
      <c r="Y33" s="100">
        <v>14.6</v>
      </c>
      <c r="Z33" s="44">
        <v>21.4</v>
      </c>
      <c r="AA33" s="100">
        <v>17.100000000000001</v>
      </c>
      <c r="AB33" s="101" t="s">
        <v>48</v>
      </c>
      <c r="AC33" s="81" t="s">
        <v>49</v>
      </c>
      <c r="AD33" s="29"/>
    </row>
    <row r="34" spans="1:30" s="83" customFormat="1">
      <c r="A34" s="44" t="s">
        <v>68</v>
      </c>
      <c r="B34" s="44" t="s">
        <v>117</v>
      </c>
      <c r="C34" s="44" t="s">
        <v>60</v>
      </c>
      <c r="D34" s="44" t="s">
        <v>31</v>
      </c>
      <c r="E34" s="44">
        <v>2017</v>
      </c>
      <c r="F34" s="44" t="s">
        <v>32</v>
      </c>
      <c r="G34" s="44">
        <v>1997</v>
      </c>
      <c r="H34" s="44" t="s">
        <v>33</v>
      </c>
      <c r="I34" s="44" t="s">
        <v>34</v>
      </c>
      <c r="J34" s="44" t="s">
        <v>35</v>
      </c>
      <c r="K34" s="102">
        <v>1682</v>
      </c>
      <c r="L34" s="44">
        <v>179</v>
      </c>
      <c r="M34" s="95">
        <f t="shared" si="0"/>
        <v>301078</v>
      </c>
      <c r="N34" s="37">
        <f t="shared" si="2"/>
        <v>169.05420000000001</v>
      </c>
      <c r="O34" s="34">
        <f t="shared" si="3"/>
        <v>13.823140744211027</v>
      </c>
      <c r="P34" s="34">
        <f t="shared" si="4"/>
        <v>13.823140744211027</v>
      </c>
      <c r="Q34" s="34">
        <f t="shared" si="5"/>
        <v>32.484380748895916</v>
      </c>
      <c r="R34" s="37">
        <f t="shared" si="6"/>
        <v>51.778730615240931</v>
      </c>
      <c r="S34" s="37"/>
      <c r="T34" s="37"/>
      <c r="U34" s="34">
        <f t="shared" si="7"/>
        <v>7.7155172413793105</v>
      </c>
      <c r="V34" s="96">
        <f t="shared" si="8"/>
        <v>7.7155172413793105</v>
      </c>
      <c r="W34" s="37">
        <f t="shared" si="1"/>
        <v>12977.5</v>
      </c>
      <c r="X34" s="92">
        <f t="shared" si="9"/>
        <v>218.00223463687149</v>
      </c>
      <c r="Y34" s="100">
        <v>9.1300000000000008</v>
      </c>
      <c r="Z34" s="44">
        <v>16.7</v>
      </c>
      <c r="AA34" s="100">
        <v>13</v>
      </c>
      <c r="AB34" s="101" t="s">
        <v>118</v>
      </c>
      <c r="AC34" s="80" t="s">
        <v>37</v>
      </c>
      <c r="AD34" s="31" t="s">
        <v>38</v>
      </c>
    </row>
    <row r="35" spans="1:30" s="83" customFormat="1">
      <c r="A35" s="44" t="s">
        <v>50</v>
      </c>
      <c r="B35" s="44" t="s">
        <v>119</v>
      </c>
      <c r="C35" s="44" t="s">
        <v>60</v>
      </c>
      <c r="D35" s="44" t="s">
        <v>40</v>
      </c>
      <c r="E35" s="44">
        <v>2017</v>
      </c>
      <c r="F35" s="44" t="s">
        <v>32</v>
      </c>
      <c r="G35" s="44">
        <v>1998</v>
      </c>
      <c r="H35" s="44" t="s">
        <v>33</v>
      </c>
      <c r="I35" s="44" t="s">
        <v>34</v>
      </c>
      <c r="J35" s="44" t="s">
        <v>35</v>
      </c>
      <c r="K35" s="102">
        <v>1676</v>
      </c>
      <c r="L35" s="44">
        <v>151</v>
      </c>
      <c r="M35" s="95">
        <f t="shared" si="0"/>
        <v>253076</v>
      </c>
      <c r="N35" s="37">
        <f t="shared" si="2"/>
        <v>144.81180000000001</v>
      </c>
      <c r="O35" s="34">
        <f t="shared" si="3"/>
        <v>16.137220861835846</v>
      </c>
      <c r="P35" s="34">
        <f t="shared" si="4"/>
        <v>16.137220861835846</v>
      </c>
      <c r="Q35" s="34">
        <f t="shared" si="5"/>
        <v>37.922469025314243</v>
      </c>
      <c r="R35" s="37">
        <f t="shared" si="6"/>
        <v>44.195434608469874</v>
      </c>
      <c r="S35" s="37"/>
      <c r="T35" s="37"/>
      <c r="U35" s="34">
        <f t="shared" si="7"/>
        <v>6.5086206896551726</v>
      </c>
      <c r="V35" s="96">
        <f t="shared" si="8"/>
        <v>6.5086206896551726</v>
      </c>
      <c r="W35" s="37">
        <f t="shared" si="1"/>
        <v>10908.448275862069</v>
      </c>
      <c r="X35" s="92">
        <f t="shared" si="9"/>
        <v>257.50463576158938</v>
      </c>
      <c r="Y35" s="100">
        <v>12.1</v>
      </c>
      <c r="Z35" s="44">
        <v>19</v>
      </c>
      <c r="AA35" s="100">
        <v>15.17</v>
      </c>
      <c r="AB35" s="101" t="s">
        <v>120</v>
      </c>
      <c r="AC35" s="80" t="s">
        <v>37</v>
      </c>
      <c r="AD35" s="29" t="s">
        <v>38</v>
      </c>
    </row>
    <row r="36" spans="1:30" s="83" customFormat="1">
      <c r="A36" s="44" t="s">
        <v>102</v>
      </c>
      <c r="B36" s="44" t="s">
        <v>121</v>
      </c>
      <c r="C36" s="44" t="s">
        <v>94</v>
      </c>
      <c r="D36" s="44" t="s">
        <v>374</v>
      </c>
      <c r="E36" s="44">
        <v>2017</v>
      </c>
      <c r="F36" s="44" t="s">
        <v>32</v>
      </c>
      <c r="G36" s="44">
        <v>3956</v>
      </c>
      <c r="H36" s="44" t="s">
        <v>33</v>
      </c>
      <c r="I36" s="44" t="s">
        <v>34</v>
      </c>
      <c r="J36" s="44" t="s">
        <v>74</v>
      </c>
      <c r="K36" s="102">
        <v>1653</v>
      </c>
      <c r="L36" s="44">
        <v>274</v>
      </c>
      <c r="M36" s="95">
        <f t="shared" si="0"/>
        <v>452922</v>
      </c>
      <c r="N36" s="37">
        <f t="shared" si="2"/>
        <v>251.30519999999999</v>
      </c>
      <c r="O36" s="34">
        <f t="shared" si="3"/>
        <v>9.2988923428564156</v>
      </c>
      <c r="P36" s="34">
        <f t="shared" si="4"/>
        <v>9.2988923428564156</v>
      </c>
      <c r="Q36" s="34">
        <f t="shared" si="5"/>
        <v>21.852397005712579</v>
      </c>
      <c r="R36" s="37">
        <f t="shared" si="6"/>
        <v>75.643875569708825</v>
      </c>
      <c r="S36" s="37"/>
      <c r="T36" s="37"/>
      <c r="U36" s="34">
        <f t="shared" si="7"/>
        <v>11.810344827586206</v>
      </c>
      <c r="V36" s="96">
        <f t="shared" si="8"/>
        <v>11.810344827586206</v>
      </c>
      <c r="W36" s="37">
        <f t="shared" si="1"/>
        <v>19522.5</v>
      </c>
      <c r="X36" s="92">
        <f t="shared" si="9"/>
        <v>139.96204379562045</v>
      </c>
      <c r="Y36" s="100">
        <v>6.5</v>
      </c>
      <c r="Z36" s="44">
        <v>10.8</v>
      </c>
      <c r="AA36" s="100">
        <v>8.6999999999999993</v>
      </c>
      <c r="AB36" s="101" t="s">
        <v>122</v>
      </c>
      <c r="AC36" s="80" t="s">
        <v>37</v>
      </c>
      <c r="AD36" s="29" t="s">
        <v>38</v>
      </c>
    </row>
    <row r="37" spans="1:30" s="83" customFormat="1">
      <c r="A37" s="44" t="s">
        <v>28</v>
      </c>
      <c r="B37" s="44" t="s">
        <v>123</v>
      </c>
      <c r="C37" s="44" t="s">
        <v>30</v>
      </c>
      <c r="D37" s="44" t="s">
        <v>31</v>
      </c>
      <c r="E37" s="44">
        <v>2017</v>
      </c>
      <c r="F37" s="44" t="s">
        <v>32</v>
      </c>
      <c r="G37" s="44">
        <v>1598</v>
      </c>
      <c r="H37" s="44" t="s">
        <v>33</v>
      </c>
      <c r="I37" s="44" t="s">
        <v>34</v>
      </c>
      <c r="J37" s="44" t="s">
        <v>35</v>
      </c>
      <c r="K37" s="102">
        <v>1623</v>
      </c>
      <c r="L37" s="44">
        <v>165</v>
      </c>
      <c r="M37" s="95">
        <f t="shared" si="0"/>
        <v>267795</v>
      </c>
      <c r="N37" s="37">
        <f t="shared" si="2"/>
        <v>156.93299999999999</v>
      </c>
      <c r="O37" s="34">
        <f t="shared" si="3"/>
        <v>14.890813277003563</v>
      </c>
      <c r="P37" s="34">
        <f t="shared" si="4"/>
        <v>14.890813277003563</v>
      </c>
      <c r="Q37" s="34">
        <f t="shared" si="5"/>
        <v>34.993411200958377</v>
      </c>
      <c r="R37" s="37">
        <f t="shared" si="6"/>
        <v>46.380159701479755</v>
      </c>
      <c r="S37" s="37"/>
      <c r="T37" s="37"/>
      <c r="U37" s="34">
        <f t="shared" si="7"/>
        <v>7.112068965517242</v>
      </c>
      <c r="V37" s="96">
        <f t="shared" si="8"/>
        <v>7.112068965517242</v>
      </c>
      <c r="W37" s="37">
        <f t="shared" si="1"/>
        <v>11542.887931034484</v>
      </c>
      <c r="X37" s="92">
        <f t="shared" si="9"/>
        <v>228.20363636363635</v>
      </c>
      <c r="Y37" s="100">
        <v>10.4</v>
      </c>
      <c r="Z37" s="44">
        <v>18.600000000000001</v>
      </c>
      <c r="AA37" s="100">
        <v>14.4</v>
      </c>
      <c r="AB37" s="101" t="s">
        <v>124</v>
      </c>
      <c r="AC37" s="80" t="s">
        <v>37</v>
      </c>
      <c r="AD37" s="31" t="s">
        <v>38</v>
      </c>
    </row>
    <row r="38" spans="1:30" s="83" customFormat="1">
      <c r="A38" s="44" t="s">
        <v>55</v>
      </c>
      <c r="B38" s="44" t="s">
        <v>125</v>
      </c>
      <c r="C38" s="44" t="s">
        <v>30</v>
      </c>
      <c r="D38" s="44" t="s">
        <v>31</v>
      </c>
      <c r="E38" s="44">
        <v>2017</v>
      </c>
      <c r="F38" s="44" t="s">
        <v>32</v>
      </c>
      <c r="G38" s="44">
        <v>1591</v>
      </c>
      <c r="H38" s="44" t="s">
        <v>33</v>
      </c>
      <c r="I38" s="44" t="s">
        <v>34</v>
      </c>
      <c r="J38" s="44" t="s">
        <v>35</v>
      </c>
      <c r="K38" s="102">
        <v>1602</v>
      </c>
      <c r="L38" s="44">
        <v>161</v>
      </c>
      <c r="M38" s="95">
        <f t="shared" si="0"/>
        <v>257922</v>
      </c>
      <c r="N38" s="37">
        <f t="shared" si="2"/>
        <v>153.46979999999999</v>
      </c>
      <c r="O38" s="34">
        <f t="shared" si="3"/>
        <v>15.226839417266461</v>
      </c>
      <c r="P38" s="34">
        <f t="shared" si="4"/>
        <v>15.226839417266461</v>
      </c>
      <c r="Q38" s="34">
        <f t="shared" si="5"/>
        <v>35.783072630576186</v>
      </c>
      <c r="R38" s="37">
        <f t="shared" si="6"/>
        <v>44.769771912519083</v>
      </c>
      <c r="S38" s="37"/>
      <c r="T38" s="37"/>
      <c r="U38" s="34">
        <f t="shared" si="7"/>
        <v>6.9396551724137936</v>
      </c>
      <c r="V38" s="96">
        <f t="shared" si="8"/>
        <v>6.9396551724137936</v>
      </c>
      <c r="W38" s="37">
        <f t="shared" si="1"/>
        <v>11117.327586206897</v>
      </c>
      <c r="X38" s="92">
        <f t="shared" si="9"/>
        <v>230.84720496894408</v>
      </c>
      <c r="Y38" s="100">
        <v>11</v>
      </c>
      <c r="Z38" s="44">
        <v>18.100000000000001</v>
      </c>
      <c r="AA38" s="100">
        <v>14.6</v>
      </c>
      <c r="AB38" s="101" t="s">
        <v>126</v>
      </c>
      <c r="AC38" s="80" t="s">
        <v>37</v>
      </c>
      <c r="AD38" s="31" t="s">
        <v>38</v>
      </c>
    </row>
    <row r="39" spans="1:30" s="83" customFormat="1">
      <c r="A39" s="44" t="s">
        <v>90</v>
      </c>
      <c r="B39" s="44" t="s">
        <v>127</v>
      </c>
      <c r="C39" s="44" t="s">
        <v>30</v>
      </c>
      <c r="D39" s="44" t="s">
        <v>31</v>
      </c>
      <c r="E39" s="44">
        <v>2017</v>
      </c>
      <c r="F39" s="44" t="s">
        <v>32</v>
      </c>
      <c r="G39" s="44">
        <v>1598</v>
      </c>
      <c r="H39" s="44" t="s">
        <v>33</v>
      </c>
      <c r="I39" s="44" t="s">
        <v>34</v>
      </c>
      <c r="J39" s="44" t="s">
        <v>35</v>
      </c>
      <c r="K39" s="102">
        <v>1602</v>
      </c>
      <c r="L39" s="44">
        <v>164</v>
      </c>
      <c r="M39" s="95">
        <f t="shared" si="0"/>
        <v>262728</v>
      </c>
      <c r="N39" s="37">
        <f t="shared" si="2"/>
        <v>156.06719999999999</v>
      </c>
      <c r="O39" s="34">
        <f t="shared" si="3"/>
        <v>14.973421705521726</v>
      </c>
      <c r="P39" s="34">
        <f t="shared" si="4"/>
        <v>14.973421705521726</v>
      </c>
      <c r="Q39" s="34">
        <f t="shared" si="5"/>
        <v>35.187541007976058</v>
      </c>
      <c r="R39" s="37">
        <f t="shared" si="6"/>
        <v>45.527478025158679</v>
      </c>
      <c r="S39" s="37"/>
      <c r="T39" s="37"/>
      <c r="U39" s="34">
        <f t="shared" si="7"/>
        <v>7.0689655172413799</v>
      </c>
      <c r="V39" s="96">
        <f t="shared" si="8"/>
        <v>7.0689655172413799</v>
      </c>
      <c r="W39" s="37">
        <f t="shared" si="1"/>
        <v>11324.48275862069</v>
      </c>
      <c r="X39" s="92">
        <f t="shared" si="9"/>
        <v>226.62439024390241</v>
      </c>
      <c r="Y39" s="100">
        <v>10.8</v>
      </c>
      <c r="Z39" s="44">
        <v>18</v>
      </c>
      <c r="AA39" s="100">
        <v>14.4</v>
      </c>
      <c r="AB39" s="101" t="s">
        <v>128</v>
      </c>
      <c r="AC39" s="80" t="s">
        <v>37</v>
      </c>
      <c r="AD39" s="31" t="s">
        <v>38</v>
      </c>
    </row>
    <row r="40" spans="1:30" s="83" customFormat="1">
      <c r="A40" s="44" t="s">
        <v>68</v>
      </c>
      <c r="B40" s="44" t="s">
        <v>129</v>
      </c>
      <c r="C40" s="44" t="s">
        <v>60</v>
      </c>
      <c r="D40" s="44" t="s">
        <v>31</v>
      </c>
      <c r="E40" s="44">
        <v>2017</v>
      </c>
      <c r="F40" s="44" t="s">
        <v>32</v>
      </c>
      <c r="G40" s="44">
        <v>2488</v>
      </c>
      <c r="H40" s="44" t="s">
        <v>33</v>
      </c>
      <c r="I40" s="44" t="s">
        <v>34</v>
      </c>
      <c r="J40" s="44" t="s">
        <v>35</v>
      </c>
      <c r="K40" s="102">
        <v>1578</v>
      </c>
      <c r="L40" s="44">
        <v>192</v>
      </c>
      <c r="M40" s="95">
        <f t="shared" si="0"/>
        <v>302976</v>
      </c>
      <c r="N40" s="37">
        <f t="shared" si="2"/>
        <v>180.30959999999999</v>
      </c>
      <c r="O40" s="34">
        <f t="shared" si="3"/>
        <v>12.960263901644728</v>
      </c>
      <c r="P40" s="34">
        <f t="shared" si="4"/>
        <v>12.960263901644728</v>
      </c>
      <c r="Q40" s="34">
        <f t="shared" si="5"/>
        <v>30.456620168865111</v>
      </c>
      <c r="R40" s="37">
        <f t="shared" si="6"/>
        <v>51.811395724504649</v>
      </c>
      <c r="S40" s="37"/>
      <c r="T40" s="37"/>
      <c r="U40" s="34">
        <f t="shared" si="7"/>
        <v>8.2758620689655178</v>
      </c>
      <c r="V40" s="96">
        <f t="shared" si="8"/>
        <v>8.2758620689655178</v>
      </c>
      <c r="W40" s="37">
        <f t="shared" si="1"/>
        <v>13059.310344827587</v>
      </c>
      <c r="X40" s="92">
        <f t="shared" si="9"/>
        <v>190.67499999999998</v>
      </c>
      <c r="Y40" s="100">
        <v>9.3000000000000007</v>
      </c>
      <c r="Z40" s="44">
        <v>15.4</v>
      </c>
      <c r="AA40" s="100">
        <v>12.4</v>
      </c>
      <c r="AB40" s="101" t="s">
        <v>130</v>
      </c>
      <c r="AC40" s="80" t="s">
        <v>37</v>
      </c>
      <c r="AD40" s="29" t="s">
        <v>38</v>
      </c>
    </row>
    <row r="41" spans="1:30" s="83" customFormat="1">
      <c r="A41" s="44" t="s">
        <v>68</v>
      </c>
      <c r="B41" s="44" t="s">
        <v>131</v>
      </c>
      <c r="C41" s="44" t="s">
        <v>88</v>
      </c>
      <c r="D41" s="44" t="s">
        <v>175</v>
      </c>
      <c r="E41" s="44">
        <v>2017</v>
      </c>
      <c r="F41" s="44" t="s">
        <v>103</v>
      </c>
      <c r="G41" s="44">
        <v>2488</v>
      </c>
      <c r="H41" s="44" t="s">
        <v>33</v>
      </c>
      <c r="I41" s="44" t="s">
        <v>34</v>
      </c>
      <c r="J41" s="44" t="s">
        <v>35</v>
      </c>
      <c r="K41" s="102">
        <v>1482</v>
      </c>
      <c r="L41" s="44">
        <v>220</v>
      </c>
      <c r="M41" s="95">
        <f t="shared" si="0"/>
        <v>326040</v>
      </c>
      <c r="N41" s="37">
        <f t="shared" si="2"/>
        <v>192.95400000000001</v>
      </c>
      <c r="O41" s="34">
        <f t="shared" si="3"/>
        <v>13.912124133213098</v>
      </c>
      <c r="P41" s="34">
        <f t="shared" si="4"/>
        <v>12.881596419641756</v>
      </c>
      <c r="Q41" s="34">
        <f t="shared" si="5"/>
        <v>30.271751586158128</v>
      </c>
      <c r="R41" s="37">
        <f t="shared" si="6"/>
        <v>48.956532818459372</v>
      </c>
      <c r="S41" s="37"/>
      <c r="T41" s="37"/>
      <c r="U41" s="34">
        <f t="shared" si="7"/>
        <v>8.2138590203106325</v>
      </c>
      <c r="V41" s="96">
        <f t="shared" si="8"/>
        <v>8.870967741935484</v>
      </c>
      <c r="W41" s="37">
        <f t="shared" si="1"/>
        <v>13146.774193548386</v>
      </c>
      <c r="X41" s="92">
        <f t="shared" si="9"/>
        <v>167.06181818181818</v>
      </c>
      <c r="Y41" s="97">
        <v>13.5</v>
      </c>
      <c r="Z41" s="41">
        <v>16.86</v>
      </c>
      <c r="AA41" s="97">
        <v>16.22</v>
      </c>
      <c r="AB41" s="98" t="s">
        <v>132</v>
      </c>
      <c r="AC41" s="79" t="s">
        <v>37</v>
      </c>
      <c r="AD41" s="29" t="s">
        <v>38</v>
      </c>
    </row>
    <row r="42" spans="1:30" s="83" customFormat="1">
      <c r="A42" s="44" t="s">
        <v>28</v>
      </c>
      <c r="B42" s="44" t="s">
        <v>133</v>
      </c>
      <c r="C42" s="44" t="s">
        <v>30</v>
      </c>
      <c r="D42" s="44" t="s">
        <v>31</v>
      </c>
      <c r="E42" s="44">
        <v>2017</v>
      </c>
      <c r="F42" s="44" t="s">
        <v>32</v>
      </c>
      <c r="G42" s="44">
        <v>1399</v>
      </c>
      <c r="H42" s="44" t="s">
        <v>33</v>
      </c>
      <c r="I42" s="44" t="s">
        <v>34</v>
      </c>
      <c r="J42" s="44" t="s">
        <v>74</v>
      </c>
      <c r="K42" s="102">
        <v>1381</v>
      </c>
      <c r="L42" s="44">
        <v>158</v>
      </c>
      <c r="M42" s="95">
        <f t="shared" si="0"/>
        <v>218198</v>
      </c>
      <c r="N42" s="37">
        <f t="shared" si="2"/>
        <v>150.8724</v>
      </c>
      <c r="O42" s="34">
        <f t="shared" si="3"/>
        <v>15.488982743033187</v>
      </c>
      <c r="P42" s="34">
        <f t="shared" si="4"/>
        <v>15.488982743033187</v>
      </c>
      <c r="Q42" s="34">
        <f t="shared" si="5"/>
        <v>36.399109446127994</v>
      </c>
      <c r="R42" s="37">
        <f t="shared" si="6"/>
        <v>37.940488682667642</v>
      </c>
      <c r="S42" s="37"/>
      <c r="T42" s="37"/>
      <c r="U42" s="34">
        <f t="shared" si="7"/>
        <v>6.8103448275862073</v>
      </c>
      <c r="V42" s="96">
        <f t="shared" si="8"/>
        <v>6.8103448275862073</v>
      </c>
      <c r="W42" s="37">
        <f t="shared" si="1"/>
        <v>9405.0862068965525</v>
      </c>
      <c r="X42" s="92">
        <f t="shared" si="9"/>
        <v>202.77974683544304</v>
      </c>
      <c r="Y42" s="100">
        <v>11</v>
      </c>
      <c r="Z42" s="44">
        <v>19</v>
      </c>
      <c r="AA42" s="100">
        <v>15</v>
      </c>
      <c r="AB42" s="101" t="s">
        <v>134</v>
      </c>
      <c r="AC42" s="80" t="s">
        <v>37</v>
      </c>
      <c r="AD42" s="29" t="s">
        <v>38</v>
      </c>
    </row>
    <row r="43" spans="1:30" s="83" customFormat="1">
      <c r="A43" s="44" t="s">
        <v>135</v>
      </c>
      <c r="B43" s="44" t="s">
        <v>266</v>
      </c>
      <c r="C43" s="44" t="s">
        <v>94</v>
      </c>
      <c r="D43" s="44" t="s">
        <v>31</v>
      </c>
      <c r="E43" s="44">
        <v>2017</v>
      </c>
      <c r="F43" s="44" t="s">
        <v>32</v>
      </c>
      <c r="G43" s="44">
        <v>1586</v>
      </c>
      <c r="H43" s="44" t="s">
        <v>33</v>
      </c>
      <c r="I43" s="44" t="s">
        <v>34</v>
      </c>
      <c r="J43" s="44" t="s">
        <v>74</v>
      </c>
      <c r="K43" s="102">
        <v>1377</v>
      </c>
      <c r="L43" s="44">
        <v>218</v>
      </c>
      <c r="M43" s="95">
        <f t="shared" si="0"/>
        <v>300186</v>
      </c>
      <c r="N43" s="37">
        <f t="shared" si="2"/>
        <v>202.82040000000001</v>
      </c>
      <c r="O43" s="34">
        <f t="shared" si="3"/>
        <v>11.521819304172558</v>
      </c>
      <c r="P43" s="34">
        <f t="shared" si="4"/>
        <v>11.521819304172558</v>
      </c>
      <c r="Q43" s="34">
        <f t="shared" si="5"/>
        <v>27.076275364805511</v>
      </c>
      <c r="R43" s="37">
        <f t="shared" si="6"/>
        <v>50.856330180105296</v>
      </c>
      <c r="S43" s="37"/>
      <c r="T43" s="37"/>
      <c r="U43" s="34">
        <f t="shared" si="7"/>
        <v>9.3965517241379306</v>
      </c>
      <c r="V43" s="96">
        <f t="shared" si="8"/>
        <v>9.3965517241379306</v>
      </c>
      <c r="W43" s="37">
        <f t="shared" si="1"/>
        <v>12939.051724137931</v>
      </c>
      <c r="X43" s="92">
        <f t="shared" si="9"/>
        <v>146.54311926605504</v>
      </c>
      <c r="Y43" s="100">
        <v>8.9</v>
      </c>
      <c r="Z43" s="44">
        <v>12.6</v>
      </c>
      <c r="AA43" s="100">
        <v>10.9</v>
      </c>
      <c r="AB43" s="101" t="s">
        <v>136</v>
      </c>
      <c r="AC43" s="80" t="s">
        <v>37</v>
      </c>
      <c r="AD43" s="31" t="s">
        <v>38</v>
      </c>
    </row>
    <row r="44" spans="1:30" s="83" customFormat="1">
      <c r="A44" s="44" t="s">
        <v>102</v>
      </c>
      <c r="B44" s="44" t="s">
        <v>137</v>
      </c>
      <c r="C44" s="44" t="s">
        <v>60</v>
      </c>
      <c r="D44" s="44" t="s">
        <v>175</v>
      </c>
      <c r="E44" s="44">
        <v>2017</v>
      </c>
      <c r="F44" s="44" t="s">
        <v>32</v>
      </c>
      <c r="G44" s="44">
        <v>2694</v>
      </c>
      <c r="H44" s="44" t="s">
        <v>33</v>
      </c>
      <c r="I44" s="44" t="s">
        <v>34</v>
      </c>
      <c r="J44" s="44" t="s">
        <v>74</v>
      </c>
      <c r="K44" s="102">
        <v>1196</v>
      </c>
      <c r="L44" s="44">
        <v>261</v>
      </c>
      <c r="M44" s="95">
        <f t="shared" si="0"/>
        <v>312156</v>
      </c>
      <c r="N44" s="37">
        <f t="shared" si="2"/>
        <v>240.0498</v>
      </c>
      <c r="O44" s="34">
        <f t="shared" si="3"/>
        <v>9.7348966756064783</v>
      </c>
      <c r="P44" s="34">
        <f t="shared" si="4"/>
        <v>9.7348966756064783</v>
      </c>
      <c r="Q44" s="34">
        <f t="shared" si="5"/>
        <v>22.877007187675225</v>
      </c>
      <c r="R44" s="37">
        <f t="shared" si="6"/>
        <v>52.279565687435458</v>
      </c>
      <c r="S44" s="37"/>
      <c r="T44" s="37"/>
      <c r="U44" s="34">
        <f t="shared" si="7"/>
        <v>11.25</v>
      </c>
      <c r="V44" s="96">
        <f t="shared" si="8"/>
        <v>11.25</v>
      </c>
      <c r="W44" s="37">
        <f t="shared" si="1"/>
        <v>13455</v>
      </c>
      <c r="X44" s="92">
        <f t="shared" si="9"/>
        <v>106.31111111111112</v>
      </c>
      <c r="Y44" s="100">
        <v>7.3</v>
      </c>
      <c r="Z44" s="44">
        <v>10.7</v>
      </c>
      <c r="AA44" s="100">
        <v>9.1</v>
      </c>
      <c r="AB44" s="101" t="s">
        <v>138</v>
      </c>
      <c r="AC44" s="80" t="s">
        <v>37</v>
      </c>
      <c r="AD44" s="29" t="s">
        <v>38</v>
      </c>
    </row>
    <row r="45" spans="1:30" s="83" customFormat="1">
      <c r="A45" s="44" t="s">
        <v>50</v>
      </c>
      <c r="B45" s="44" t="s">
        <v>139</v>
      </c>
      <c r="C45" s="44" t="s">
        <v>30</v>
      </c>
      <c r="D45" s="44" t="s">
        <v>31</v>
      </c>
      <c r="E45" s="44">
        <v>2017</v>
      </c>
      <c r="F45" s="44" t="s">
        <v>32</v>
      </c>
      <c r="G45" s="44">
        <v>1496</v>
      </c>
      <c r="H45" s="44" t="s">
        <v>33</v>
      </c>
      <c r="I45" s="44" t="s">
        <v>34</v>
      </c>
      <c r="J45" s="44" t="s">
        <v>35</v>
      </c>
      <c r="K45" s="102">
        <v>1168</v>
      </c>
      <c r="L45" s="44">
        <v>136</v>
      </c>
      <c r="M45" s="95">
        <f t="shared" si="0"/>
        <v>158848</v>
      </c>
      <c r="N45" s="37">
        <f t="shared" si="2"/>
        <v>131.82480000000001</v>
      </c>
      <c r="O45" s="34">
        <f t="shared" si="3"/>
        <v>17.727013429946414</v>
      </c>
      <c r="P45" s="34">
        <f t="shared" si="4"/>
        <v>17.727013429946414</v>
      </c>
      <c r="Q45" s="34">
        <f t="shared" si="5"/>
        <v>41.658481560374071</v>
      </c>
      <c r="R45" s="37">
        <f t="shared" si="6"/>
        <v>28.037507759548593</v>
      </c>
      <c r="S45" s="37"/>
      <c r="T45" s="37"/>
      <c r="U45" s="34">
        <f t="shared" si="7"/>
        <v>5.862068965517242</v>
      </c>
      <c r="V45" s="96">
        <f t="shared" si="8"/>
        <v>5.862068965517242</v>
      </c>
      <c r="W45" s="37">
        <f t="shared" si="1"/>
        <v>6846.8965517241386</v>
      </c>
      <c r="X45" s="92">
        <f t="shared" si="9"/>
        <v>199.24705882352939</v>
      </c>
      <c r="Y45" s="100">
        <v>13.3</v>
      </c>
      <c r="Z45" s="44">
        <v>21.6</v>
      </c>
      <c r="AA45" s="100">
        <v>17.600000000000001</v>
      </c>
      <c r="AB45" s="101" t="s">
        <v>140</v>
      </c>
      <c r="AC45" s="80" t="s">
        <v>37</v>
      </c>
      <c r="AD45" s="29" t="s">
        <v>38</v>
      </c>
    </row>
    <row r="46" spans="1:30" s="83" customFormat="1">
      <c r="A46" s="44" t="s">
        <v>43</v>
      </c>
      <c r="B46" s="44" t="s">
        <v>47</v>
      </c>
      <c r="C46" s="44" t="s">
        <v>30</v>
      </c>
      <c r="D46" s="44" t="s">
        <v>31</v>
      </c>
      <c r="E46" s="44">
        <v>2017</v>
      </c>
      <c r="F46" s="44" t="s">
        <v>32</v>
      </c>
      <c r="G46" s="44">
        <v>1599</v>
      </c>
      <c r="H46" s="44" t="s">
        <v>41</v>
      </c>
      <c r="I46" s="44" t="s">
        <v>34</v>
      </c>
      <c r="J46" s="44" t="s">
        <v>74</v>
      </c>
      <c r="K46" s="102">
        <v>1154</v>
      </c>
      <c r="L46" s="44">
        <v>168</v>
      </c>
      <c r="M46" s="95">
        <f t="shared" si="0"/>
        <v>193872</v>
      </c>
      <c r="N46" s="37">
        <f t="shared" si="2"/>
        <v>159.53039999999999</v>
      </c>
      <c r="O46" s="34">
        <f t="shared" si="3"/>
        <v>14.648367959962492</v>
      </c>
      <c r="P46" s="34">
        <f t="shared" si="4"/>
        <v>14.648367959962492</v>
      </c>
      <c r="Q46" s="34">
        <f t="shared" si="5"/>
        <v>34.423664705911861</v>
      </c>
      <c r="R46" s="37">
        <f t="shared" si="6"/>
        <v>33.523449924894663</v>
      </c>
      <c r="S46" s="37"/>
      <c r="T46" s="37"/>
      <c r="U46" s="34">
        <f t="shared" si="7"/>
        <v>7.2413793103448274</v>
      </c>
      <c r="V46" s="96">
        <f t="shared" si="8"/>
        <v>7.2413793103448274</v>
      </c>
      <c r="W46" s="37">
        <f t="shared" si="1"/>
        <v>8356.5517241379312</v>
      </c>
      <c r="X46" s="92">
        <f t="shared" si="9"/>
        <v>159.36190476190475</v>
      </c>
      <c r="Y46" s="100">
        <v>11.9</v>
      </c>
      <c r="Z46" s="44">
        <v>17.399999999999999</v>
      </c>
      <c r="AA46" s="100">
        <v>13.9</v>
      </c>
      <c r="AB46" s="101" t="s">
        <v>48</v>
      </c>
      <c r="AC46" s="80" t="s">
        <v>141</v>
      </c>
      <c r="AD46" s="31" t="s">
        <v>38</v>
      </c>
    </row>
    <row r="47" spans="1:30" s="83" customFormat="1">
      <c r="A47" s="44" t="s">
        <v>142</v>
      </c>
      <c r="B47" s="44" t="s">
        <v>143</v>
      </c>
      <c r="C47" s="44" t="s">
        <v>30</v>
      </c>
      <c r="D47" s="44" t="s">
        <v>31</v>
      </c>
      <c r="E47" s="44">
        <v>2017</v>
      </c>
      <c r="F47" s="44" t="s">
        <v>32</v>
      </c>
      <c r="G47" s="44">
        <v>1598</v>
      </c>
      <c r="H47" s="44" t="s">
        <v>33</v>
      </c>
      <c r="I47" s="44" t="s">
        <v>34</v>
      </c>
      <c r="J47" s="44" t="s">
        <v>35</v>
      </c>
      <c r="K47" s="102">
        <v>1149</v>
      </c>
      <c r="L47" s="44">
        <v>180</v>
      </c>
      <c r="M47" s="95">
        <f t="shared" si="0"/>
        <v>206820</v>
      </c>
      <c r="N47" s="37">
        <f t="shared" si="2"/>
        <v>169.92</v>
      </c>
      <c r="O47" s="34">
        <f t="shared" si="3"/>
        <v>13.752707156308853</v>
      </c>
      <c r="P47" s="34">
        <f t="shared" si="4"/>
        <v>13.752707156308853</v>
      </c>
      <c r="Q47" s="34">
        <f t="shared" si="5"/>
        <v>32.318861817325804</v>
      </c>
      <c r="R47" s="37">
        <f t="shared" si="6"/>
        <v>35.551994575007996</v>
      </c>
      <c r="S47" s="37"/>
      <c r="T47" s="37"/>
      <c r="U47" s="34">
        <f t="shared" si="7"/>
        <v>7.7586206896551726</v>
      </c>
      <c r="V47" s="96">
        <f t="shared" si="8"/>
        <v>7.7586206896551726</v>
      </c>
      <c r="W47" s="37">
        <f t="shared" si="1"/>
        <v>8914.6551724137935</v>
      </c>
      <c r="X47" s="92">
        <f t="shared" si="9"/>
        <v>148.09333333333333</v>
      </c>
      <c r="Y47" s="100">
        <v>10.4</v>
      </c>
      <c r="Z47" s="44">
        <v>15.6</v>
      </c>
      <c r="AA47" s="100">
        <v>13.2</v>
      </c>
      <c r="AB47" s="101" t="s">
        <v>144</v>
      </c>
      <c r="AC47" s="80" t="s">
        <v>37</v>
      </c>
      <c r="AD47" s="29" t="s">
        <v>38</v>
      </c>
    </row>
    <row r="48" spans="1:30" s="83" customFormat="1">
      <c r="A48" s="44" t="s">
        <v>55</v>
      </c>
      <c r="B48" s="44" t="s">
        <v>78</v>
      </c>
      <c r="C48" s="44" t="s">
        <v>30</v>
      </c>
      <c r="D48" s="44" t="s">
        <v>31</v>
      </c>
      <c r="E48" s="44">
        <v>2017</v>
      </c>
      <c r="F48" s="44" t="s">
        <v>32</v>
      </c>
      <c r="G48" s="44">
        <v>1396</v>
      </c>
      <c r="H48" s="44" t="s">
        <v>33</v>
      </c>
      <c r="I48" s="44" t="s">
        <v>34</v>
      </c>
      <c r="J48" s="44" t="s">
        <v>35</v>
      </c>
      <c r="K48" s="102">
        <v>1135</v>
      </c>
      <c r="L48" s="44">
        <v>131</v>
      </c>
      <c r="M48" s="95">
        <f t="shared" si="0"/>
        <v>148685</v>
      </c>
      <c r="N48" s="37">
        <f t="shared" si="2"/>
        <v>127.4958</v>
      </c>
      <c r="O48" s="34">
        <f t="shared" si="3"/>
        <v>18.328917501596131</v>
      </c>
      <c r="P48" s="34">
        <f t="shared" si="4"/>
        <v>18.328917501596131</v>
      </c>
      <c r="Q48" s="34">
        <f t="shared" si="5"/>
        <v>43.07295612875091</v>
      </c>
      <c r="R48" s="37">
        <f t="shared" si="6"/>
        <v>26.350640912765101</v>
      </c>
      <c r="S48" s="37"/>
      <c r="T48" s="37"/>
      <c r="U48" s="34">
        <f t="shared" si="7"/>
        <v>5.6465517241379315</v>
      </c>
      <c r="V48" s="96">
        <f t="shared" si="8"/>
        <v>5.6465517241379315</v>
      </c>
      <c r="W48" s="37">
        <f t="shared" si="1"/>
        <v>6408.8362068965525</v>
      </c>
      <c r="X48" s="92">
        <f t="shared" si="9"/>
        <v>201.00763358778624</v>
      </c>
      <c r="Y48" s="100">
        <v>13.8</v>
      </c>
      <c r="Z48" s="44">
        <v>22.5</v>
      </c>
      <c r="AA48" s="100">
        <v>18.2</v>
      </c>
      <c r="AB48" s="101" t="s">
        <v>79</v>
      </c>
      <c r="AC48" s="80" t="s">
        <v>37</v>
      </c>
      <c r="AD48" s="29" t="s">
        <v>38</v>
      </c>
    </row>
    <row r="49" spans="1:30" s="83" customFormat="1">
      <c r="A49" s="44" t="s">
        <v>145</v>
      </c>
      <c r="B49" s="44" t="s">
        <v>146</v>
      </c>
      <c r="C49" s="44" t="s">
        <v>60</v>
      </c>
      <c r="D49" s="44" t="s">
        <v>147</v>
      </c>
      <c r="E49" s="44">
        <v>2017</v>
      </c>
      <c r="F49" s="44" t="s">
        <v>32</v>
      </c>
      <c r="G49" s="44">
        <v>2360</v>
      </c>
      <c r="H49" s="44" t="s">
        <v>33</v>
      </c>
      <c r="I49" s="44" t="s">
        <v>34</v>
      </c>
      <c r="J49" s="44" t="s">
        <v>74</v>
      </c>
      <c r="K49" s="102">
        <v>1079</v>
      </c>
      <c r="L49" s="44">
        <v>225</v>
      </c>
      <c r="M49" s="95">
        <f t="shared" si="0"/>
        <v>242775</v>
      </c>
      <c r="N49" s="37">
        <f t="shared" si="2"/>
        <v>208.881</v>
      </c>
      <c r="O49" s="34">
        <f t="shared" si="3"/>
        <v>11.187518252019093</v>
      </c>
      <c r="P49" s="34">
        <f t="shared" si="4"/>
        <v>11.187518252019093</v>
      </c>
      <c r="Q49" s="34">
        <f t="shared" si="5"/>
        <v>26.290667892244869</v>
      </c>
      <c r="R49" s="37">
        <f t="shared" si="6"/>
        <v>41.041178733929378</v>
      </c>
      <c r="S49" s="37"/>
      <c r="T49" s="37"/>
      <c r="U49" s="34">
        <f t="shared" si="7"/>
        <v>9.6982758620689662</v>
      </c>
      <c r="V49" s="96">
        <f t="shared" si="8"/>
        <v>9.6982758620689662</v>
      </c>
      <c r="W49" s="37">
        <f t="shared" si="1"/>
        <v>10464.439655172415</v>
      </c>
      <c r="X49" s="92">
        <f t="shared" si="9"/>
        <v>111.25688888888888</v>
      </c>
      <c r="Y49" s="100">
        <v>7.5</v>
      </c>
      <c r="Z49" s="44">
        <v>13.3</v>
      </c>
      <c r="AA49" s="100">
        <v>10.4</v>
      </c>
      <c r="AB49" s="101" t="s">
        <v>148</v>
      </c>
      <c r="AC49" s="80" t="s">
        <v>37</v>
      </c>
      <c r="AD49" s="29" t="s">
        <v>149</v>
      </c>
    </row>
    <row r="50" spans="1:30" s="83" customFormat="1">
      <c r="A50" s="44" t="s">
        <v>43</v>
      </c>
      <c r="B50" s="44" t="s">
        <v>150</v>
      </c>
      <c r="C50" s="44" t="s">
        <v>30</v>
      </c>
      <c r="D50" s="44" t="s">
        <v>31</v>
      </c>
      <c r="E50" s="44">
        <v>2017</v>
      </c>
      <c r="F50" s="44" t="s">
        <v>32</v>
      </c>
      <c r="G50" s="44">
        <v>1599</v>
      </c>
      <c r="H50" s="44" t="s">
        <v>33</v>
      </c>
      <c r="I50" s="44" t="s">
        <v>34</v>
      </c>
      <c r="J50" s="44" t="s">
        <v>35</v>
      </c>
      <c r="K50" s="102">
        <v>1067</v>
      </c>
      <c r="L50" s="37">
        <f>1.1325*N50-13.739</f>
        <v>151.71440050377834</v>
      </c>
      <c r="M50" s="99">
        <f>L50*K50</f>
        <v>161879.26533753148</v>
      </c>
      <c r="N50" s="54">
        <f>(23.2*100*2.35)/Q50</f>
        <v>146.09571788413098</v>
      </c>
      <c r="O50" s="34">
        <f t="shared" si="3"/>
        <v>15.995403793103449</v>
      </c>
      <c r="P50" s="34">
        <f>AA50</f>
        <v>15.88</v>
      </c>
      <c r="Q50" s="55">
        <f>P50*2.35</f>
        <v>37.318000000000005</v>
      </c>
      <c r="R50" s="54">
        <f>K50/Q50</f>
        <v>28.592100326919983</v>
      </c>
      <c r="S50" s="54">
        <f>N50</f>
        <v>146.09571788413098</v>
      </c>
      <c r="T50" s="54">
        <f>L50</f>
        <v>151.71440050377834</v>
      </c>
      <c r="U50" s="34">
        <f t="shared" si="7"/>
        <v>6.5394138148180323</v>
      </c>
      <c r="V50" s="96">
        <f t="shared" si="8"/>
        <v>6.5394138148180323</v>
      </c>
      <c r="W50" s="37">
        <f t="shared" si="1"/>
        <v>6977.5545404108407</v>
      </c>
      <c r="X50" s="92">
        <f t="shared" si="9"/>
        <v>163.16447165068888</v>
      </c>
      <c r="Y50" s="100">
        <v>13.7</v>
      </c>
      <c r="Z50" s="44">
        <v>19.7</v>
      </c>
      <c r="AA50" s="100">
        <v>15.88</v>
      </c>
      <c r="AB50" s="101" t="s">
        <v>54</v>
      </c>
      <c r="AC50" s="80" t="s">
        <v>46</v>
      </c>
      <c r="AD50" s="31"/>
    </row>
    <row r="51" spans="1:30" s="83" customFormat="1">
      <c r="A51" s="44" t="s">
        <v>151</v>
      </c>
      <c r="B51" s="44" t="s">
        <v>152</v>
      </c>
      <c r="C51" s="44" t="s">
        <v>30</v>
      </c>
      <c r="D51" s="44" t="s">
        <v>40</v>
      </c>
      <c r="E51" s="44">
        <v>2017</v>
      </c>
      <c r="F51" s="44" t="s">
        <v>32</v>
      </c>
      <c r="G51" s="44">
        <v>1248</v>
      </c>
      <c r="H51" s="44" t="s">
        <v>33</v>
      </c>
      <c r="I51" s="44" t="s">
        <v>34</v>
      </c>
      <c r="J51" s="44" t="s">
        <v>35</v>
      </c>
      <c r="K51" s="102">
        <v>1052</v>
      </c>
      <c r="L51" s="44">
        <v>141</v>
      </c>
      <c r="M51" s="95">
        <f t="shared" si="0"/>
        <v>148332</v>
      </c>
      <c r="N51" s="37">
        <f t="shared" si="2"/>
        <v>136.15379999999999</v>
      </c>
      <c r="O51" s="34">
        <f t="shared" si="3"/>
        <v>17.163384349169839</v>
      </c>
      <c r="P51" s="34">
        <f t="shared" si="4"/>
        <v>17.163384349169839</v>
      </c>
      <c r="Q51" s="34">
        <f t="shared" si="5"/>
        <v>40.33395322054912</v>
      </c>
      <c r="R51" s="37">
        <f t="shared" si="6"/>
        <v>26.082243767368503</v>
      </c>
      <c r="S51" s="37"/>
      <c r="T51" s="37"/>
      <c r="U51" s="34">
        <f t="shared" si="7"/>
        <v>6.0775862068965516</v>
      </c>
      <c r="V51" s="96">
        <f t="shared" si="8"/>
        <v>6.0775862068965516</v>
      </c>
      <c r="W51" s="37">
        <f t="shared" si="1"/>
        <v>6393.6206896551721</v>
      </c>
      <c r="X51" s="92">
        <f t="shared" si="9"/>
        <v>173.0950354609929</v>
      </c>
      <c r="Y51" s="100">
        <v>13.1</v>
      </c>
      <c r="Z51" s="44">
        <v>20.2</v>
      </c>
      <c r="AA51" s="100">
        <v>16.8</v>
      </c>
      <c r="AB51" s="101" t="s">
        <v>153</v>
      </c>
      <c r="AC51" s="80" t="s">
        <v>37</v>
      </c>
      <c r="AD51" s="31" t="s">
        <v>38</v>
      </c>
    </row>
    <row r="52" spans="1:30" s="83" customFormat="1">
      <c r="A52" s="44" t="s">
        <v>28</v>
      </c>
      <c r="B52" s="44" t="s">
        <v>154</v>
      </c>
      <c r="C52" s="44" t="s">
        <v>60</v>
      </c>
      <c r="D52" s="44" t="s">
        <v>147</v>
      </c>
      <c r="E52" s="44">
        <v>2017</v>
      </c>
      <c r="F52" s="44" t="s">
        <v>32</v>
      </c>
      <c r="G52" s="44">
        <v>2384</v>
      </c>
      <c r="H52" s="44" t="s">
        <v>33</v>
      </c>
      <c r="I52" s="44" t="s">
        <v>34</v>
      </c>
      <c r="J52" s="44" t="s">
        <v>35</v>
      </c>
      <c r="K52" s="102">
        <v>980</v>
      </c>
      <c r="L52" s="44">
        <v>226</v>
      </c>
      <c r="M52" s="95">
        <f t="shared" si="0"/>
        <v>221480</v>
      </c>
      <c r="N52" s="37">
        <f t="shared" si="2"/>
        <v>209.74680000000001</v>
      </c>
      <c r="O52" s="34">
        <f t="shared" si="3"/>
        <v>11.141338032332317</v>
      </c>
      <c r="P52" s="34">
        <f t="shared" si="4"/>
        <v>11.141338032332317</v>
      </c>
      <c r="Q52" s="34">
        <f t="shared" si="5"/>
        <v>26.182144375980947</v>
      </c>
      <c r="R52" s="37">
        <f t="shared" si="6"/>
        <v>37.430089221379255</v>
      </c>
      <c r="S52" s="37"/>
      <c r="T52" s="37"/>
      <c r="U52" s="34">
        <f t="shared" si="7"/>
        <v>9.7413793103448274</v>
      </c>
      <c r="V52" s="96">
        <f t="shared" si="8"/>
        <v>9.7413793103448274</v>
      </c>
      <c r="W52" s="37">
        <f t="shared" si="1"/>
        <v>9546.5517241379312</v>
      </c>
      <c r="X52" s="92">
        <f t="shared" si="9"/>
        <v>100.60176991150443</v>
      </c>
      <c r="Y52" s="100">
        <v>7.8</v>
      </c>
      <c r="Z52" s="44">
        <v>12.7</v>
      </c>
      <c r="AA52" s="100">
        <v>10.3</v>
      </c>
      <c r="AB52" s="101" t="s">
        <v>155</v>
      </c>
      <c r="AC52" s="80" t="s">
        <v>37</v>
      </c>
      <c r="AD52" s="29" t="s">
        <v>38</v>
      </c>
    </row>
    <row r="53" spans="1:30" s="83" customFormat="1">
      <c r="A53" s="44" t="s">
        <v>50</v>
      </c>
      <c r="B53" s="44" t="s">
        <v>156</v>
      </c>
      <c r="C53" s="44" t="s">
        <v>60</v>
      </c>
      <c r="D53" s="44" t="s">
        <v>31</v>
      </c>
      <c r="E53" s="44">
        <v>2017</v>
      </c>
      <c r="F53" s="44" t="s">
        <v>32</v>
      </c>
      <c r="G53" s="44">
        <v>2488</v>
      </c>
      <c r="H53" s="44" t="s">
        <v>33</v>
      </c>
      <c r="I53" s="44" t="s">
        <v>34</v>
      </c>
      <c r="J53" s="44" t="s">
        <v>74</v>
      </c>
      <c r="K53" s="102">
        <v>980</v>
      </c>
      <c r="L53" s="44">
        <v>175</v>
      </c>
      <c r="M53" s="95">
        <f t="shared" si="0"/>
        <v>171500</v>
      </c>
      <c r="N53" s="37">
        <f t="shared" si="2"/>
        <v>165.59100000000001</v>
      </c>
      <c r="O53" s="34">
        <f t="shared" si="3"/>
        <v>14.112240399538623</v>
      </c>
      <c r="P53" s="34">
        <f t="shared" si="4"/>
        <v>14.112240399538623</v>
      </c>
      <c r="Q53" s="34">
        <f t="shared" si="5"/>
        <v>33.163764938915762</v>
      </c>
      <c r="R53" s="37">
        <f t="shared" si="6"/>
        <v>29.550324030008628</v>
      </c>
      <c r="S53" s="37"/>
      <c r="T53" s="37"/>
      <c r="U53" s="34">
        <f t="shared" si="7"/>
        <v>7.5431034482758621</v>
      </c>
      <c r="V53" s="96">
        <f t="shared" si="8"/>
        <v>7.5431034482758621</v>
      </c>
      <c r="W53" s="37">
        <f t="shared" si="1"/>
        <v>7392.2413793103451</v>
      </c>
      <c r="X53" s="92">
        <f t="shared" si="9"/>
        <v>129.91999999999999</v>
      </c>
      <c r="Y53" s="100">
        <v>10.8</v>
      </c>
      <c r="Z53" s="44">
        <v>15.5</v>
      </c>
      <c r="AA53" s="100">
        <v>13.3</v>
      </c>
      <c r="AB53" s="101" t="s">
        <v>157</v>
      </c>
      <c r="AC53" s="80" t="s">
        <v>37</v>
      </c>
      <c r="AD53" s="29" t="s">
        <v>38</v>
      </c>
    </row>
    <row r="54" spans="1:30" s="83" customFormat="1">
      <c r="A54" s="44" t="s">
        <v>135</v>
      </c>
      <c r="B54" s="44" t="s">
        <v>266</v>
      </c>
      <c r="C54" s="44" t="s">
        <v>94</v>
      </c>
      <c r="D54" s="44" t="s">
        <v>31</v>
      </c>
      <c r="E54" s="44">
        <v>2017</v>
      </c>
      <c r="F54" s="44" t="s">
        <v>32</v>
      </c>
      <c r="G54" s="44">
        <v>2393</v>
      </c>
      <c r="H54" s="44" t="s">
        <v>33</v>
      </c>
      <c r="I54" s="44" t="s">
        <v>34</v>
      </c>
      <c r="J54" s="44" t="s">
        <v>74</v>
      </c>
      <c r="K54" s="102">
        <v>963</v>
      </c>
      <c r="L54" s="44">
        <v>217</v>
      </c>
      <c r="M54" s="95">
        <f t="shared" si="0"/>
        <v>208971</v>
      </c>
      <c r="N54" s="37">
        <f t="shared" si="2"/>
        <v>201.9546</v>
      </c>
      <c r="O54" s="34">
        <f t="shared" si="3"/>
        <v>11.571214520491241</v>
      </c>
      <c r="P54" s="34">
        <f t="shared" si="4"/>
        <v>11.571214520491241</v>
      </c>
      <c r="Q54" s="34">
        <f t="shared" si="5"/>
        <v>27.192354123154416</v>
      </c>
      <c r="R54" s="37">
        <f t="shared" si="6"/>
        <v>35.414366686994597</v>
      </c>
      <c r="S54" s="37"/>
      <c r="T54" s="37"/>
      <c r="U54" s="34">
        <f t="shared" si="7"/>
        <v>9.3534482758620694</v>
      </c>
      <c r="V54" s="96">
        <f t="shared" si="8"/>
        <v>9.3534482758620694</v>
      </c>
      <c r="W54" s="37">
        <f t="shared" si="1"/>
        <v>9007.3706896551721</v>
      </c>
      <c r="X54" s="92">
        <f t="shared" si="9"/>
        <v>102.95668202764976</v>
      </c>
      <c r="Y54" s="100">
        <v>8.4</v>
      </c>
      <c r="Z54" s="44">
        <v>13.4</v>
      </c>
      <c r="AA54" s="100">
        <v>11</v>
      </c>
      <c r="AB54" s="101" t="s">
        <v>158</v>
      </c>
      <c r="AC54" s="80" t="s">
        <v>37</v>
      </c>
      <c r="AD54" s="31" t="s">
        <v>38</v>
      </c>
    </row>
    <row r="55" spans="1:30" s="83" customFormat="1">
      <c r="A55" s="44" t="s">
        <v>43</v>
      </c>
      <c r="B55" s="44" t="s">
        <v>159</v>
      </c>
      <c r="C55" s="44" t="s">
        <v>60</v>
      </c>
      <c r="D55" s="44" t="s">
        <v>40</v>
      </c>
      <c r="E55" s="44">
        <v>2017</v>
      </c>
      <c r="F55" s="44" t="s">
        <v>32</v>
      </c>
      <c r="G55" s="44">
        <v>1998</v>
      </c>
      <c r="H55" s="44" t="s">
        <v>33</v>
      </c>
      <c r="I55" s="44" t="s">
        <v>34</v>
      </c>
      <c r="J55" s="44" t="s">
        <v>74</v>
      </c>
      <c r="K55" s="102">
        <f>939+355</f>
        <v>1294</v>
      </c>
      <c r="L55" s="44">
        <v>141</v>
      </c>
      <c r="M55" s="95">
        <f t="shared" si="0"/>
        <v>182454</v>
      </c>
      <c r="N55" s="37">
        <f t="shared" si="2"/>
        <v>136.15379999999999</v>
      </c>
      <c r="O55" s="34">
        <f t="shared" si="3"/>
        <v>17.163384349169839</v>
      </c>
      <c r="P55" s="34">
        <f t="shared" si="4"/>
        <v>17.163384349169839</v>
      </c>
      <c r="Q55" s="34">
        <f t="shared" si="5"/>
        <v>40.33395322054912</v>
      </c>
      <c r="R55" s="37">
        <f t="shared" si="6"/>
        <v>32.082151554158592</v>
      </c>
      <c r="S55" s="37"/>
      <c r="T55" s="37"/>
      <c r="U55" s="34">
        <f t="shared" si="7"/>
        <v>6.0775862068965516</v>
      </c>
      <c r="V55" s="96">
        <f t="shared" si="8"/>
        <v>6.0775862068965516</v>
      </c>
      <c r="W55" s="37">
        <f t="shared" si="1"/>
        <v>7864.3965517241377</v>
      </c>
      <c r="X55" s="92">
        <f t="shared" si="9"/>
        <v>212.91347517730497</v>
      </c>
      <c r="Y55" s="100">
        <v>8.8000000000000007</v>
      </c>
      <c r="Z55" s="44">
        <v>10.8</v>
      </c>
      <c r="AA55" s="100"/>
      <c r="AB55" s="101" t="s">
        <v>160</v>
      </c>
      <c r="AC55" s="80" t="s">
        <v>161</v>
      </c>
      <c r="AD55" s="31" t="s">
        <v>162</v>
      </c>
    </row>
    <row r="56" spans="1:30" s="83" customFormat="1">
      <c r="A56" s="44" t="s">
        <v>68</v>
      </c>
      <c r="B56" s="44" t="s">
        <v>163</v>
      </c>
      <c r="C56" s="44" t="s">
        <v>30</v>
      </c>
      <c r="D56" s="44" t="s">
        <v>31</v>
      </c>
      <c r="E56" s="44">
        <v>2017</v>
      </c>
      <c r="F56" s="44" t="s">
        <v>32</v>
      </c>
      <c r="G56" s="44">
        <v>1798</v>
      </c>
      <c r="H56" s="44" t="s">
        <v>33</v>
      </c>
      <c r="I56" s="44" t="s">
        <v>34</v>
      </c>
      <c r="J56" s="44" t="s">
        <v>35</v>
      </c>
      <c r="K56" s="102">
        <v>885</v>
      </c>
      <c r="L56" s="44">
        <v>182</v>
      </c>
      <c r="M56" s="95">
        <f t="shared" si="0"/>
        <v>161070</v>
      </c>
      <c r="N56" s="37">
        <f t="shared" si="2"/>
        <v>171.6516</v>
      </c>
      <c r="O56" s="34">
        <f t="shared" si="3"/>
        <v>13.613971556338537</v>
      </c>
      <c r="P56" s="34">
        <f t="shared" si="4"/>
        <v>13.613971556338537</v>
      </c>
      <c r="Q56" s="34">
        <f t="shared" si="5"/>
        <v>31.992833157395562</v>
      </c>
      <c r="R56" s="37">
        <f t="shared" si="6"/>
        <v>27.662445387254511</v>
      </c>
      <c r="S56" s="37"/>
      <c r="T56" s="37"/>
      <c r="U56" s="34">
        <f t="shared" si="7"/>
        <v>7.8448275862068968</v>
      </c>
      <c r="V56" s="96">
        <f t="shared" si="8"/>
        <v>7.8448275862068968</v>
      </c>
      <c r="W56" s="37">
        <f t="shared" si="1"/>
        <v>6942.6724137931033</v>
      </c>
      <c r="X56" s="92">
        <f t="shared" si="9"/>
        <v>112.8131868131868</v>
      </c>
      <c r="Y56" s="100">
        <v>10.3</v>
      </c>
      <c r="Z56" s="44">
        <v>15.4</v>
      </c>
      <c r="AA56" s="100">
        <v>13</v>
      </c>
      <c r="AB56" s="101" t="s">
        <v>164</v>
      </c>
      <c r="AC56" s="80" t="s">
        <v>37</v>
      </c>
      <c r="AD56" s="31" t="s">
        <v>65</v>
      </c>
    </row>
    <row r="57" spans="1:30" s="83" customFormat="1">
      <c r="A57" s="44" t="s">
        <v>90</v>
      </c>
      <c r="B57" s="44" t="s">
        <v>165</v>
      </c>
      <c r="C57" s="44" t="s">
        <v>60</v>
      </c>
      <c r="D57" s="44" t="s">
        <v>40</v>
      </c>
      <c r="E57" s="44">
        <v>2017</v>
      </c>
      <c r="F57" s="44" t="s">
        <v>32</v>
      </c>
      <c r="G57" s="44">
        <v>1598</v>
      </c>
      <c r="H57" s="44" t="s">
        <v>33</v>
      </c>
      <c r="I57" s="44" t="s">
        <v>34</v>
      </c>
      <c r="J57" s="44" t="s">
        <v>35</v>
      </c>
      <c r="K57" s="102">
        <v>883</v>
      </c>
      <c r="L57" s="37">
        <f>1.1325*N57-13.739</f>
        <v>142.7470035735557</v>
      </c>
      <c r="M57" s="99">
        <f>L57*K57</f>
        <v>126045.60415544969</v>
      </c>
      <c r="N57" s="54">
        <f>(23.2*100*2.35)/Q57</f>
        <v>138.17748659916617</v>
      </c>
      <c r="O57" s="34">
        <f t="shared" si="3"/>
        <v>16.912016982758622</v>
      </c>
      <c r="P57" s="34">
        <f>AA57</f>
        <v>16.79</v>
      </c>
      <c r="Q57" s="55">
        <f>P57*2.35</f>
        <v>39.456499999999998</v>
      </c>
      <c r="R57" s="54">
        <f>K57/Q57</f>
        <v>22.379075690950796</v>
      </c>
      <c r="S57" s="54">
        <f>N57</f>
        <v>138.17748659916617</v>
      </c>
      <c r="T57" s="54">
        <f>L57</f>
        <v>142.7470035735557</v>
      </c>
      <c r="U57" s="34">
        <f t="shared" si="7"/>
        <v>6.1528880850670564</v>
      </c>
      <c r="V57" s="96">
        <f t="shared" si="8"/>
        <v>6.1528880850670564</v>
      </c>
      <c r="W57" s="37">
        <f t="shared" si="1"/>
        <v>5433.0001791142104</v>
      </c>
      <c r="X57" s="92">
        <f t="shared" si="9"/>
        <v>143.50984249868355</v>
      </c>
      <c r="Y57" s="103">
        <v>14.1</v>
      </c>
      <c r="Z57" s="37">
        <v>21.9</v>
      </c>
      <c r="AA57" s="103">
        <v>16.79</v>
      </c>
      <c r="AB57" s="101" t="s">
        <v>166</v>
      </c>
      <c r="AC57" s="81" t="s">
        <v>167</v>
      </c>
      <c r="AD57" s="31"/>
    </row>
    <row r="58" spans="1:30" s="83" customFormat="1">
      <c r="A58" s="44" t="s">
        <v>168</v>
      </c>
      <c r="B58" s="44" t="s">
        <v>169</v>
      </c>
      <c r="C58" s="44" t="s">
        <v>60</v>
      </c>
      <c r="D58" s="44" t="s">
        <v>40</v>
      </c>
      <c r="E58" s="44">
        <v>2017</v>
      </c>
      <c r="F58" s="44" t="s">
        <v>32</v>
      </c>
      <c r="G58" s="44">
        <v>1499</v>
      </c>
      <c r="H58" s="44" t="s">
        <v>33</v>
      </c>
      <c r="I58" s="44" t="s">
        <v>34</v>
      </c>
      <c r="J58" s="44" t="s">
        <v>35</v>
      </c>
      <c r="K58" s="102">
        <v>879</v>
      </c>
      <c r="L58" s="44">
        <v>170</v>
      </c>
      <c r="M58" s="95">
        <f t="shared" si="0"/>
        <v>149430</v>
      </c>
      <c r="N58" s="37">
        <f t="shared" si="2"/>
        <v>161.262</v>
      </c>
      <c r="O58" s="34">
        <f t="shared" si="3"/>
        <v>14.491076633056766</v>
      </c>
      <c r="P58" s="34">
        <f t="shared" si="4"/>
        <v>14.491076633056766</v>
      </c>
      <c r="Q58" s="34">
        <f t="shared" si="5"/>
        <v>34.054030087683401</v>
      </c>
      <c r="R58" s="37">
        <f t="shared" si="6"/>
        <v>25.811922927674722</v>
      </c>
      <c r="S58" s="37"/>
      <c r="T58" s="37"/>
      <c r="U58" s="34">
        <f t="shared" si="7"/>
        <v>7.3275862068965516</v>
      </c>
      <c r="V58" s="96">
        <f t="shared" si="8"/>
        <v>7.3275862068965516</v>
      </c>
      <c r="W58" s="37">
        <f t="shared" si="1"/>
        <v>6440.9482758620688</v>
      </c>
      <c r="X58" s="92">
        <f t="shared" si="9"/>
        <v>119.95764705882353</v>
      </c>
      <c r="Y58" s="100">
        <v>10.9</v>
      </c>
      <c r="Z58" s="44">
        <v>16.7</v>
      </c>
      <c r="AA58" s="100">
        <v>14</v>
      </c>
      <c r="AB58" s="101" t="s">
        <v>170</v>
      </c>
      <c r="AC58" s="80" t="s">
        <v>37</v>
      </c>
      <c r="AD58" s="31" t="s">
        <v>38</v>
      </c>
    </row>
    <row r="59" spans="1:30" s="83" customFormat="1">
      <c r="A59" s="44" t="s">
        <v>28</v>
      </c>
      <c r="B59" s="44" t="s">
        <v>59</v>
      </c>
      <c r="C59" s="44" t="s">
        <v>60</v>
      </c>
      <c r="D59" s="44" t="s">
        <v>31</v>
      </c>
      <c r="E59" s="44">
        <v>2017</v>
      </c>
      <c r="F59" s="44" t="s">
        <v>32</v>
      </c>
      <c r="G59" s="44">
        <v>1796</v>
      </c>
      <c r="H59" s="44" t="s">
        <v>33</v>
      </c>
      <c r="I59" s="44" t="s">
        <v>34</v>
      </c>
      <c r="J59" s="44" t="s">
        <v>74</v>
      </c>
      <c r="K59" s="102">
        <v>834</v>
      </c>
      <c r="L59" s="44">
        <v>201</v>
      </c>
      <c r="M59" s="95">
        <f t="shared" si="0"/>
        <v>167634</v>
      </c>
      <c r="N59" s="37">
        <f t="shared" si="2"/>
        <v>188.1018</v>
      </c>
      <c r="O59" s="34">
        <f t="shared" si="3"/>
        <v>12.423379255275602</v>
      </c>
      <c r="P59" s="34">
        <f t="shared" si="4"/>
        <v>12.423379255275602</v>
      </c>
      <c r="Q59" s="34">
        <f t="shared" si="5"/>
        <v>29.194941249897667</v>
      </c>
      <c r="R59" s="37">
        <f t="shared" si="6"/>
        <v>28.566592851181824</v>
      </c>
      <c r="S59" s="37"/>
      <c r="T59" s="37"/>
      <c r="U59" s="34">
        <f t="shared" si="7"/>
        <v>8.6637931034482758</v>
      </c>
      <c r="V59" s="96">
        <f t="shared" si="8"/>
        <v>8.6637931034482758</v>
      </c>
      <c r="W59" s="37">
        <f t="shared" si="1"/>
        <v>7225.6034482758623</v>
      </c>
      <c r="X59" s="92">
        <f t="shared" si="9"/>
        <v>96.262686567164181</v>
      </c>
      <c r="Y59" s="95">
        <v>8.8000000000000007</v>
      </c>
      <c r="Z59" s="59">
        <v>14.8</v>
      </c>
      <c r="AA59" s="95">
        <v>11.9</v>
      </c>
      <c r="AB59" s="98" t="s">
        <v>171</v>
      </c>
      <c r="AC59" s="79" t="s">
        <v>37</v>
      </c>
      <c r="AD59" s="29" t="s">
        <v>38</v>
      </c>
    </row>
    <row r="60" spans="1:30" s="83" customFormat="1">
      <c r="A60" s="44" t="s">
        <v>68</v>
      </c>
      <c r="B60" s="44" t="s">
        <v>172</v>
      </c>
      <c r="C60" s="44" t="s">
        <v>60</v>
      </c>
      <c r="D60" s="44" t="s">
        <v>40</v>
      </c>
      <c r="E60" s="44">
        <v>2017</v>
      </c>
      <c r="F60" s="44" t="s">
        <v>32</v>
      </c>
      <c r="G60" s="44">
        <v>1598</v>
      </c>
      <c r="H60" s="44" t="s">
        <v>33</v>
      </c>
      <c r="I60" s="44" t="s">
        <v>34</v>
      </c>
      <c r="J60" s="44" t="s">
        <v>35</v>
      </c>
      <c r="K60" s="102">
        <v>806</v>
      </c>
      <c r="L60" s="44">
        <v>162</v>
      </c>
      <c r="M60" s="95">
        <f t="shared" si="0"/>
        <v>130572</v>
      </c>
      <c r="N60" s="37">
        <f t="shared" si="2"/>
        <v>154.3356</v>
      </c>
      <c r="O60" s="34">
        <f t="shared" si="3"/>
        <v>15.141419089309272</v>
      </c>
      <c r="P60" s="34">
        <f t="shared" si="4"/>
        <v>15.141419089309272</v>
      </c>
      <c r="Q60" s="34">
        <f t="shared" si="5"/>
        <v>35.582334859876788</v>
      </c>
      <c r="R60" s="37">
        <f t="shared" si="6"/>
        <v>22.651689473836594</v>
      </c>
      <c r="S60" s="37"/>
      <c r="T60" s="37"/>
      <c r="U60" s="34">
        <f t="shared" si="7"/>
        <v>6.9827586206896557</v>
      </c>
      <c r="V60" s="96">
        <f t="shared" si="8"/>
        <v>6.9827586206896557</v>
      </c>
      <c r="W60" s="37">
        <f t="shared" si="1"/>
        <v>5628.1034482758623</v>
      </c>
      <c r="X60" s="92">
        <f t="shared" si="9"/>
        <v>115.42716049382715</v>
      </c>
      <c r="Y60" s="95">
        <v>11.1</v>
      </c>
      <c r="Z60" s="59">
        <v>18</v>
      </c>
      <c r="AA60" s="95">
        <v>14.6</v>
      </c>
      <c r="AB60" s="98" t="s">
        <v>173</v>
      </c>
      <c r="AC60" s="79" t="s">
        <v>37</v>
      </c>
      <c r="AD60" s="29" t="s">
        <v>38</v>
      </c>
    </row>
    <row r="61" spans="1:30" s="83" customFormat="1">
      <c r="A61" s="44" t="s">
        <v>102</v>
      </c>
      <c r="B61" s="44" t="s">
        <v>174</v>
      </c>
      <c r="C61" s="44" t="s">
        <v>88</v>
      </c>
      <c r="D61" s="44" t="s">
        <v>175</v>
      </c>
      <c r="E61" s="44">
        <v>2017</v>
      </c>
      <c r="F61" s="44" t="s">
        <v>103</v>
      </c>
      <c r="G61" s="44">
        <v>2755</v>
      </c>
      <c r="H61" s="44" t="s">
        <v>33</v>
      </c>
      <c r="I61" s="44" t="s">
        <v>34</v>
      </c>
      <c r="J61" s="44" t="s">
        <v>35</v>
      </c>
      <c r="K61" s="102">
        <v>769</v>
      </c>
      <c r="L61" s="44">
        <v>207</v>
      </c>
      <c r="M61" s="95">
        <f t="shared" si="0"/>
        <v>159183</v>
      </c>
      <c r="N61" s="37">
        <f t="shared" si="2"/>
        <v>182.96609999999998</v>
      </c>
      <c r="O61" s="34">
        <f t="shared" si="3"/>
        <v>14.671570307286434</v>
      </c>
      <c r="P61" s="34">
        <f t="shared" si="4"/>
        <v>13.584787321561512</v>
      </c>
      <c r="Q61" s="34">
        <f t="shared" si="5"/>
        <v>31.924250205669555</v>
      </c>
      <c r="R61" s="37">
        <f t="shared" si="6"/>
        <v>24.088271299898228</v>
      </c>
      <c r="S61" s="37"/>
      <c r="T61" s="37"/>
      <c r="U61" s="34">
        <f t="shared" si="7"/>
        <v>7.7284946236559131</v>
      </c>
      <c r="V61" s="96">
        <f t="shared" si="8"/>
        <v>8.3467741935483861</v>
      </c>
      <c r="W61" s="37">
        <f t="shared" si="1"/>
        <v>6418.6693548387093</v>
      </c>
      <c r="X61" s="92">
        <f t="shared" si="9"/>
        <v>92.131400966183591</v>
      </c>
      <c r="Y61" s="100">
        <v>10.5</v>
      </c>
      <c r="Z61" s="44">
        <v>14.6</v>
      </c>
      <c r="AA61" s="100">
        <v>12.8</v>
      </c>
      <c r="AB61" s="101" t="s">
        <v>176</v>
      </c>
      <c r="AC61" s="80" t="s">
        <v>37</v>
      </c>
      <c r="AD61" s="31" t="s">
        <v>38</v>
      </c>
    </row>
    <row r="62" spans="1:30" s="83" customFormat="1">
      <c r="A62" s="44" t="s">
        <v>151</v>
      </c>
      <c r="B62" s="44" t="s">
        <v>177</v>
      </c>
      <c r="C62" s="44" t="s">
        <v>30</v>
      </c>
      <c r="D62" s="44" t="s">
        <v>31</v>
      </c>
      <c r="E62" s="44">
        <v>2017</v>
      </c>
      <c r="F62" s="44" t="s">
        <v>32</v>
      </c>
      <c r="G62" s="44">
        <v>1591</v>
      </c>
      <c r="H62" s="44" t="s">
        <v>33</v>
      </c>
      <c r="I62" s="44" t="s">
        <v>34</v>
      </c>
      <c r="J62" s="44" t="s">
        <v>35</v>
      </c>
      <c r="K62" s="102">
        <v>746</v>
      </c>
      <c r="L62" s="44">
        <v>175</v>
      </c>
      <c r="M62" s="95">
        <f t="shared" si="0"/>
        <v>130550</v>
      </c>
      <c r="N62" s="37">
        <f t="shared" si="2"/>
        <v>165.59100000000001</v>
      </c>
      <c r="O62" s="34">
        <f t="shared" si="3"/>
        <v>14.112240399538623</v>
      </c>
      <c r="P62" s="34">
        <f t="shared" si="4"/>
        <v>14.112240399538623</v>
      </c>
      <c r="Q62" s="34">
        <f t="shared" si="5"/>
        <v>33.163764938915762</v>
      </c>
      <c r="R62" s="37">
        <f t="shared" si="6"/>
        <v>22.494430333047383</v>
      </c>
      <c r="S62" s="37"/>
      <c r="T62" s="37"/>
      <c r="U62" s="34">
        <f t="shared" si="7"/>
        <v>7.5431034482758621</v>
      </c>
      <c r="V62" s="96">
        <f t="shared" si="8"/>
        <v>7.5431034482758621</v>
      </c>
      <c r="W62" s="37">
        <f t="shared" si="1"/>
        <v>5627.1551724137935</v>
      </c>
      <c r="X62" s="92">
        <f t="shared" si="9"/>
        <v>98.89828571428572</v>
      </c>
      <c r="Y62" s="100">
        <v>11.48</v>
      </c>
      <c r="Z62" s="44">
        <v>15.73</v>
      </c>
      <c r="AA62" s="100">
        <v>13.18</v>
      </c>
      <c r="AB62" s="101" t="s">
        <v>178</v>
      </c>
      <c r="AC62" s="84" t="s">
        <v>179</v>
      </c>
      <c r="AD62" s="31"/>
    </row>
    <row r="63" spans="1:30" s="83" customFormat="1">
      <c r="A63" s="44" t="s">
        <v>135</v>
      </c>
      <c r="B63" s="44" t="s">
        <v>255</v>
      </c>
      <c r="C63" s="44" t="s">
        <v>30</v>
      </c>
      <c r="D63" s="44" t="s">
        <v>57</v>
      </c>
      <c r="E63" s="44">
        <v>2017</v>
      </c>
      <c r="F63" s="44" t="s">
        <v>32</v>
      </c>
      <c r="G63" s="44">
        <v>796</v>
      </c>
      <c r="H63" s="44" t="s">
        <v>33</v>
      </c>
      <c r="I63" s="44" t="s">
        <v>34</v>
      </c>
      <c r="J63" s="44" t="s">
        <v>35</v>
      </c>
      <c r="K63" s="102">
        <v>729</v>
      </c>
      <c r="L63" s="44">
        <v>116</v>
      </c>
      <c r="M63" s="95">
        <f t="shared" si="0"/>
        <v>84564</v>
      </c>
      <c r="N63" s="37">
        <f t="shared" si="2"/>
        <v>114.50880000000001</v>
      </c>
      <c r="O63" s="34">
        <f t="shared" si="3"/>
        <v>20.407689190699752</v>
      </c>
      <c r="P63" s="34">
        <f t="shared" si="4"/>
        <v>20.407689190699752</v>
      </c>
      <c r="Q63" s="34">
        <f t="shared" si="5"/>
        <v>47.958069598144419</v>
      </c>
      <c r="R63" s="37">
        <f t="shared" si="6"/>
        <v>15.200778640769274</v>
      </c>
      <c r="S63" s="37"/>
      <c r="T63" s="37"/>
      <c r="U63" s="34">
        <f t="shared" si="7"/>
        <v>5</v>
      </c>
      <c r="V63" s="96">
        <f t="shared" si="8"/>
        <v>5</v>
      </c>
      <c r="W63" s="37">
        <f t="shared" si="1"/>
        <v>3645</v>
      </c>
      <c r="X63" s="92">
        <f t="shared" si="9"/>
        <v>145.80000000000001</v>
      </c>
      <c r="Y63" s="100">
        <v>17.399999999999999</v>
      </c>
      <c r="Z63" s="44">
        <v>22.7</v>
      </c>
      <c r="AA63" s="100">
        <v>20.399999999999999</v>
      </c>
      <c r="AB63" s="101" t="s">
        <v>180</v>
      </c>
      <c r="AC63" s="80" t="s">
        <v>37</v>
      </c>
      <c r="AD63" s="31" t="s">
        <v>181</v>
      </c>
    </row>
    <row r="64" spans="1:30" s="83" customFormat="1">
      <c r="A64" s="44" t="s">
        <v>151</v>
      </c>
      <c r="B64" s="44" t="s">
        <v>182</v>
      </c>
      <c r="C64" s="44" t="s">
        <v>30</v>
      </c>
      <c r="D64" s="44" t="s">
        <v>31</v>
      </c>
      <c r="E64" s="44">
        <v>2017</v>
      </c>
      <c r="F64" s="44" t="s">
        <v>32</v>
      </c>
      <c r="G64" s="44">
        <v>1591</v>
      </c>
      <c r="H64" s="44" t="s">
        <v>33</v>
      </c>
      <c r="I64" s="44" t="s">
        <v>34</v>
      </c>
      <c r="J64" s="44" t="s">
        <v>35</v>
      </c>
      <c r="K64" s="102">
        <v>719</v>
      </c>
      <c r="L64" s="44">
        <v>154</v>
      </c>
      <c r="M64" s="95">
        <f t="shared" si="0"/>
        <v>110726</v>
      </c>
      <c r="N64" s="37">
        <f t="shared" si="2"/>
        <v>147.4092</v>
      </c>
      <c r="O64" s="34">
        <f t="shared" si="3"/>
        <v>15.852877568021535</v>
      </c>
      <c r="P64" s="34">
        <f t="shared" si="4"/>
        <v>15.852877568021535</v>
      </c>
      <c r="Q64" s="34">
        <f t="shared" si="5"/>
        <v>37.254262284850611</v>
      </c>
      <c r="R64" s="37">
        <f t="shared" si="6"/>
        <v>19.299805066664284</v>
      </c>
      <c r="S64" s="37"/>
      <c r="T64" s="37"/>
      <c r="U64" s="34">
        <f t="shared" si="7"/>
        <v>6.6379310344827589</v>
      </c>
      <c r="V64" s="96">
        <f t="shared" si="8"/>
        <v>6.6379310344827589</v>
      </c>
      <c r="W64" s="37">
        <f t="shared" si="1"/>
        <v>4772.6724137931033</v>
      </c>
      <c r="X64" s="92">
        <f t="shared" si="9"/>
        <v>108.31688311688312</v>
      </c>
      <c r="Y64" s="100">
        <v>11.5</v>
      </c>
      <c r="Z64" s="44">
        <v>19.5</v>
      </c>
      <c r="AA64" s="100">
        <v>15.5</v>
      </c>
      <c r="AB64" s="101" t="s">
        <v>183</v>
      </c>
      <c r="AC64" s="79" t="s">
        <v>37</v>
      </c>
      <c r="AD64" s="29" t="s">
        <v>38</v>
      </c>
    </row>
    <row r="65" spans="1:30" s="83" customFormat="1">
      <c r="A65" s="44" t="s">
        <v>135</v>
      </c>
      <c r="B65" s="44" t="s">
        <v>184</v>
      </c>
      <c r="C65" s="44" t="s">
        <v>30</v>
      </c>
      <c r="D65" s="44" t="s">
        <v>40</v>
      </c>
      <c r="E65" s="44">
        <v>2017</v>
      </c>
      <c r="F65" s="44" t="s">
        <v>32</v>
      </c>
      <c r="G65" s="44">
        <v>1197</v>
      </c>
      <c r="H65" s="44" t="s">
        <v>33</v>
      </c>
      <c r="I65" s="44" t="s">
        <v>34</v>
      </c>
      <c r="J65" s="44" t="s">
        <v>35</v>
      </c>
      <c r="K65" s="102">
        <v>710</v>
      </c>
      <c r="L65" s="44">
        <v>115</v>
      </c>
      <c r="M65" s="95">
        <f t="shared" si="0"/>
        <v>81650</v>
      </c>
      <c r="N65" s="37">
        <f t="shared" si="2"/>
        <v>113.643</v>
      </c>
      <c r="O65" s="34">
        <f t="shared" si="3"/>
        <v>20.563167111040716</v>
      </c>
      <c r="P65" s="34">
        <f t="shared" si="4"/>
        <v>20.563167111040716</v>
      </c>
      <c r="Q65" s="34">
        <f t="shared" si="5"/>
        <v>48.323442710945685</v>
      </c>
      <c r="R65" s="37">
        <f t="shared" si="6"/>
        <v>14.692661784198144</v>
      </c>
      <c r="S65" s="37"/>
      <c r="T65" s="37"/>
      <c r="U65" s="34">
        <f t="shared" si="7"/>
        <v>4.9568965517241379</v>
      </c>
      <c r="V65" s="96">
        <f t="shared" si="8"/>
        <v>4.9568965517241379</v>
      </c>
      <c r="W65" s="37">
        <f t="shared" si="1"/>
        <v>3519.3965517241381</v>
      </c>
      <c r="X65" s="92">
        <f t="shared" si="9"/>
        <v>143.23478260869567</v>
      </c>
      <c r="Y65" s="100">
        <v>16.3</v>
      </c>
      <c r="Z65" s="44">
        <v>24</v>
      </c>
      <c r="AA65" s="100">
        <v>20.5</v>
      </c>
      <c r="AB65" s="101" t="s">
        <v>185</v>
      </c>
      <c r="AC65" s="80" t="s">
        <v>37</v>
      </c>
      <c r="AD65" s="31" t="s">
        <v>38</v>
      </c>
    </row>
    <row r="66" spans="1:30" s="83" customFormat="1">
      <c r="A66" s="44" t="s">
        <v>28</v>
      </c>
      <c r="B66" s="44" t="s">
        <v>186</v>
      </c>
      <c r="C66" s="44" t="s">
        <v>60</v>
      </c>
      <c r="D66" s="44" t="s">
        <v>31</v>
      </c>
      <c r="E66" s="44">
        <v>2017</v>
      </c>
      <c r="F66" s="44" t="s">
        <v>32</v>
      </c>
      <c r="G66" s="44">
        <v>1795</v>
      </c>
      <c r="H66" s="44" t="s">
        <v>33</v>
      </c>
      <c r="I66" s="44" t="s">
        <v>34</v>
      </c>
      <c r="J66" s="44" t="s">
        <v>74</v>
      </c>
      <c r="K66" s="102">
        <v>693</v>
      </c>
      <c r="L66" s="44">
        <v>184</v>
      </c>
      <c r="M66" s="95">
        <f t="shared" ref="M66:M84" si="10">K66*L66</f>
        <v>127512</v>
      </c>
      <c r="N66" s="37">
        <f t="shared" si="2"/>
        <v>173.38319999999999</v>
      </c>
      <c r="O66" s="34">
        <f t="shared" si="3"/>
        <v>13.478007096419955</v>
      </c>
      <c r="P66" s="34">
        <f t="shared" si="4"/>
        <v>13.478007096419955</v>
      </c>
      <c r="Q66" s="34">
        <f t="shared" si="5"/>
        <v>31.673316676586893</v>
      </c>
      <c r="R66" s="37">
        <f t="shared" si="6"/>
        <v>21.879615800143526</v>
      </c>
      <c r="S66" s="37"/>
      <c r="T66" s="37"/>
      <c r="U66" s="34">
        <f t="shared" si="7"/>
        <v>7.931034482758621</v>
      </c>
      <c r="V66" s="96">
        <f t="shared" si="8"/>
        <v>7.931034482758621</v>
      </c>
      <c r="W66" s="37">
        <f t="shared" ref="W66:W84" si="11">V66*K66</f>
        <v>5496.2068965517246</v>
      </c>
      <c r="X66" s="92">
        <f t="shared" si="9"/>
        <v>87.37826086956521</v>
      </c>
      <c r="Y66" s="100"/>
      <c r="Z66" s="44"/>
      <c r="AA66" s="100"/>
      <c r="AB66" s="101"/>
      <c r="AC66" s="80"/>
      <c r="AD66" s="31"/>
    </row>
    <row r="67" spans="1:30" s="83" customFormat="1">
      <c r="A67" s="44" t="s">
        <v>102</v>
      </c>
      <c r="B67" s="44" t="s">
        <v>174</v>
      </c>
      <c r="C67" s="44" t="s">
        <v>88</v>
      </c>
      <c r="D67" s="44" t="s">
        <v>175</v>
      </c>
      <c r="E67" s="44">
        <v>2017</v>
      </c>
      <c r="F67" s="44" t="s">
        <v>103</v>
      </c>
      <c r="G67" s="44">
        <v>2393</v>
      </c>
      <c r="H67" s="44" t="s">
        <v>33</v>
      </c>
      <c r="I67" s="44" t="s">
        <v>34</v>
      </c>
      <c r="J67" s="44" t="s">
        <v>35</v>
      </c>
      <c r="K67" s="102">
        <v>682</v>
      </c>
      <c r="L67" s="44">
        <v>202</v>
      </c>
      <c r="M67" s="95">
        <f t="shared" si="10"/>
        <v>137764</v>
      </c>
      <c r="N67" s="37">
        <f t="shared" ref="N67:N84" si="12">IF(F67="GASOLINA",L67*0.8658+14.076,L67*0.7683+23.928)</f>
        <v>179.12459999999999</v>
      </c>
      <c r="O67" s="34">
        <f t="shared" ref="O67:O84" si="13">IF(F67="GASOLINA",2336.86/N67,2684.4/N67)</f>
        <v>14.986216298598855</v>
      </c>
      <c r="P67" s="34">
        <f t="shared" ref="P67:P84" si="14">IF(F67="GASOLINA",O67,O67/1.08)</f>
        <v>13.876126202406345</v>
      </c>
      <c r="Q67" s="34">
        <f t="shared" ref="Q67:Q84" si="15">P67*2.35</f>
        <v>32.60889657565491</v>
      </c>
      <c r="R67" s="37">
        <f t="shared" ref="R67:R84" si="16">K67/Q67</f>
        <v>20.91453779853337</v>
      </c>
      <c r="S67" s="37"/>
      <c r="T67" s="37"/>
      <c r="U67" s="34">
        <f t="shared" ref="U67:U84" si="17">IF(F67="GASOLINA",(L67/23.2),(L67/(1.08*24.8)))</f>
        <v>7.5418160095579445</v>
      </c>
      <c r="V67" s="96">
        <f t="shared" ref="V67:V84" si="18">IF(F67="GASOLINA",U67,U67*1.08)</f>
        <v>8.1451612903225801</v>
      </c>
      <c r="W67" s="37">
        <f t="shared" si="11"/>
        <v>5555</v>
      </c>
      <c r="X67" s="92">
        <f t="shared" ref="X67:X84" si="19">K67/V67</f>
        <v>83.730693069306938</v>
      </c>
      <c r="Y67" s="95">
        <v>10.9</v>
      </c>
      <c r="Z67" s="59">
        <v>14.8</v>
      </c>
      <c r="AA67" s="95">
        <v>13.1</v>
      </c>
      <c r="AB67" s="98" t="s">
        <v>187</v>
      </c>
      <c r="AC67" s="79" t="s">
        <v>37</v>
      </c>
      <c r="AD67" s="29" t="s">
        <v>38</v>
      </c>
    </row>
    <row r="68" spans="1:30" s="83" customFormat="1">
      <c r="A68" s="44" t="s">
        <v>151</v>
      </c>
      <c r="B68" s="44" t="s">
        <v>188</v>
      </c>
      <c r="C68" s="44" t="s">
        <v>60</v>
      </c>
      <c r="D68" s="44" t="s">
        <v>40</v>
      </c>
      <c r="E68" s="44">
        <v>2017</v>
      </c>
      <c r="F68" s="44" t="s">
        <v>32</v>
      </c>
      <c r="G68" s="44">
        <v>1591</v>
      </c>
      <c r="H68" s="44" t="s">
        <v>33</v>
      </c>
      <c r="I68" s="44" t="s">
        <v>34</v>
      </c>
      <c r="J68" s="44" t="s">
        <v>35</v>
      </c>
      <c r="K68" s="102">
        <v>672</v>
      </c>
      <c r="L68" s="44">
        <v>163</v>
      </c>
      <c r="M68" s="95">
        <f t="shared" si="10"/>
        <v>109536</v>
      </c>
      <c r="N68" s="37">
        <f t="shared" si="12"/>
        <v>155.20140000000001</v>
      </c>
      <c r="O68" s="34">
        <f t="shared" si="13"/>
        <v>15.056951805847113</v>
      </c>
      <c r="P68" s="34">
        <f t="shared" si="14"/>
        <v>15.056951805847113</v>
      </c>
      <c r="Q68" s="34">
        <f t="shared" si="15"/>
        <v>35.383836743740716</v>
      </c>
      <c r="R68" s="37">
        <f t="shared" si="16"/>
        <v>18.991722261969642</v>
      </c>
      <c r="S68" s="37"/>
      <c r="T68" s="37"/>
      <c r="U68" s="34">
        <f t="shared" si="17"/>
        <v>7.0258620689655178</v>
      </c>
      <c r="V68" s="96">
        <f t="shared" si="18"/>
        <v>7.0258620689655178</v>
      </c>
      <c r="W68" s="37">
        <f t="shared" si="11"/>
        <v>4721.3793103448279</v>
      </c>
      <c r="X68" s="92">
        <f t="shared" si="19"/>
        <v>95.646625766871153</v>
      </c>
      <c r="Y68" s="100">
        <v>11.4</v>
      </c>
      <c r="Z68" s="44">
        <v>17.5</v>
      </c>
      <c r="AA68" s="100">
        <v>14.6</v>
      </c>
      <c r="AB68" s="101" t="s">
        <v>189</v>
      </c>
      <c r="AC68" s="80" t="s">
        <v>37</v>
      </c>
      <c r="AD68" s="31" t="s">
        <v>38</v>
      </c>
    </row>
    <row r="69" spans="1:30" s="83" customFormat="1">
      <c r="A69" s="44" t="s">
        <v>190</v>
      </c>
      <c r="B69" s="44" t="s">
        <v>332</v>
      </c>
      <c r="C69" s="44" t="s">
        <v>60</v>
      </c>
      <c r="D69" s="44" t="s">
        <v>31</v>
      </c>
      <c r="E69" s="44">
        <v>2017</v>
      </c>
      <c r="F69" s="44" t="s">
        <v>32</v>
      </c>
      <c r="G69" s="44">
        <v>2356</v>
      </c>
      <c r="H69" s="44" t="s">
        <v>33</v>
      </c>
      <c r="I69" s="44" t="s">
        <v>34</v>
      </c>
      <c r="J69" s="44" t="s">
        <v>35</v>
      </c>
      <c r="K69" s="102">
        <v>607</v>
      </c>
      <c r="L69" s="44">
        <v>180</v>
      </c>
      <c r="M69" s="95">
        <f t="shared" si="10"/>
        <v>109260</v>
      </c>
      <c r="N69" s="37">
        <f t="shared" si="12"/>
        <v>169.92</v>
      </c>
      <c r="O69" s="34">
        <f t="shared" si="13"/>
        <v>13.752707156308853</v>
      </c>
      <c r="P69" s="34">
        <f t="shared" si="14"/>
        <v>13.752707156308853</v>
      </c>
      <c r="Q69" s="34">
        <f t="shared" si="15"/>
        <v>32.318861817325804</v>
      </c>
      <c r="R69" s="37">
        <f t="shared" si="16"/>
        <v>18.781602007858879</v>
      </c>
      <c r="S69" s="37"/>
      <c r="T69" s="37"/>
      <c r="U69" s="34">
        <f t="shared" si="17"/>
        <v>7.7586206896551726</v>
      </c>
      <c r="V69" s="96">
        <f t="shared" si="18"/>
        <v>7.7586206896551726</v>
      </c>
      <c r="W69" s="37">
        <f t="shared" si="11"/>
        <v>4709.4827586206902</v>
      </c>
      <c r="X69" s="92">
        <f t="shared" si="19"/>
        <v>78.23555555555555</v>
      </c>
      <c r="Y69" s="100">
        <v>9.9</v>
      </c>
      <c r="Z69" s="44">
        <v>16.3</v>
      </c>
      <c r="AA69" s="100">
        <v>13.2</v>
      </c>
      <c r="AB69" s="101" t="s">
        <v>191</v>
      </c>
      <c r="AC69" s="80" t="s">
        <v>37</v>
      </c>
      <c r="AD69" s="31" t="s">
        <v>181</v>
      </c>
    </row>
    <row r="70" spans="1:30" s="83" customFormat="1">
      <c r="A70" s="44" t="s">
        <v>192</v>
      </c>
      <c r="B70" s="44" t="s">
        <v>193</v>
      </c>
      <c r="C70" s="44" t="s">
        <v>60</v>
      </c>
      <c r="D70" s="44" t="s">
        <v>31</v>
      </c>
      <c r="E70" s="44">
        <v>2017</v>
      </c>
      <c r="F70" s="44" t="s">
        <v>32</v>
      </c>
      <c r="G70" s="44">
        <v>1395</v>
      </c>
      <c r="H70" s="44" t="s">
        <v>33</v>
      </c>
      <c r="I70" s="44" t="s">
        <v>34</v>
      </c>
      <c r="J70" s="44" t="s">
        <v>74</v>
      </c>
      <c r="K70" s="102">
        <v>596</v>
      </c>
      <c r="L70" s="44">
        <v>147</v>
      </c>
      <c r="M70" s="95">
        <f t="shared" si="10"/>
        <v>87612</v>
      </c>
      <c r="N70" s="37">
        <f t="shared" si="12"/>
        <v>141.3486</v>
      </c>
      <c r="O70" s="34">
        <f t="shared" si="13"/>
        <v>16.532600959613326</v>
      </c>
      <c r="P70" s="34">
        <f t="shared" si="14"/>
        <v>16.532600959613326</v>
      </c>
      <c r="Q70" s="34">
        <f t="shared" si="15"/>
        <v>38.851612255091318</v>
      </c>
      <c r="R70" s="37">
        <f t="shared" si="16"/>
        <v>15.340418721539594</v>
      </c>
      <c r="S70" s="37"/>
      <c r="T70" s="37"/>
      <c r="U70" s="34">
        <f t="shared" si="17"/>
        <v>6.3362068965517242</v>
      </c>
      <c r="V70" s="96">
        <f t="shared" si="18"/>
        <v>6.3362068965517242</v>
      </c>
      <c r="W70" s="37">
        <f t="shared" si="11"/>
        <v>3776.3793103448274</v>
      </c>
      <c r="X70" s="92">
        <f t="shared" si="19"/>
        <v>94.062585034013608</v>
      </c>
      <c r="Y70" s="100">
        <v>12.8</v>
      </c>
      <c r="Z70" s="44">
        <v>18.2</v>
      </c>
      <c r="AA70" s="100">
        <v>15.9</v>
      </c>
      <c r="AB70" s="101" t="s">
        <v>194</v>
      </c>
      <c r="AC70" s="80" t="s">
        <v>37</v>
      </c>
      <c r="AD70" s="31" t="s">
        <v>38</v>
      </c>
    </row>
    <row r="71" spans="1:30" s="83" customFormat="1">
      <c r="A71" s="44" t="s">
        <v>62</v>
      </c>
      <c r="B71" s="44" t="s">
        <v>282</v>
      </c>
      <c r="C71" s="44" t="s">
        <v>94</v>
      </c>
      <c r="D71" s="44" t="s">
        <v>147</v>
      </c>
      <c r="E71" s="44">
        <v>2017</v>
      </c>
      <c r="F71" s="44" t="s">
        <v>32</v>
      </c>
      <c r="G71" s="44">
        <v>3497</v>
      </c>
      <c r="H71" s="44" t="s">
        <v>33</v>
      </c>
      <c r="I71" s="44" t="s">
        <v>34</v>
      </c>
      <c r="J71" s="44" t="s">
        <v>74</v>
      </c>
      <c r="K71" s="102">
        <v>592</v>
      </c>
      <c r="L71" s="44">
        <v>269</v>
      </c>
      <c r="M71" s="95">
        <f t="shared" si="10"/>
        <v>159248</v>
      </c>
      <c r="N71" s="37">
        <f t="shared" si="12"/>
        <v>246.97620000000001</v>
      </c>
      <c r="O71" s="34">
        <f t="shared" si="13"/>
        <v>9.4618833717580895</v>
      </c>
      <c r="P71" s="34">
        <f t="shared" si="14"/>
        <v>9.4618833717580895</v>
      </c>
      <c r="Q71" s="34">
        <f t="shared" si="15"/>
        <v>22.23542592363151</v>
      </c>
      <c r="R71" s="37">
        <f t="shared" si="16"/>
        <v>26.624180801989063</v>
      </c>
      <c r="S71" s="37"/>
      <c r="T71" s="37"/>
      <c r="U71" s="34">
        <f t="shared" si="17"/>
        <v>11.594827586206897</v>
      </c>
      <c r="V71" s="96">
        <f t="shared" si="18"/>
        <v>11.594827586206897</v>
      </c>
      <c r="W71" s="37">
        <f t="shared" si="11"/>
        <v>6864.1379310344828</v>
      </c>
      <c r="X71" s="92">
        <f t="shared" si="19"/>
        <v>51.057249070631968</v>
      </c>
      <c r="Y71" s="100">
        <v>6.3</v>
      </c>
      <c r="Z71" s="44">
        <v>10.9</v>
      </c>
      <c r="AA71" s="100">
        <v>8.6</v>
      </c>
      <c r="AB71" s="101" t="s">
        <v>195</v>
      </c>
      <c r="AC71" s="80" t="s">
        <v>37</v>
      </c>
      <c r="AD71" s="31" t="s">
        <v>38</v>
      </c>
    </row>
    <row r="72" spans="1:30" s="83" customFormat="1">
      <c r="A72" s="44" t="s">
        <v>102</v>
      </c>
      <c r="B72" s="44" t="s">
        <v>137</v>
      </c>
      <c r="C72" s="44" t="s">
        <v>94</v>
      </c>
      <c r="D72" s="44" t="s">
        <v>175</v>
      </c>
      <c r="E72" s="44">
        <v>2017</v>
      </c>
      <c r="F72" s="44" t="s">
        <v>103</v>
      </c>
      <c r="G72" s="44">
        <v>2755</v>
      </c>
      <c r="H72" s="44" t="s">
        <v>33</v>
      </c>
      <c r="I72" s="44" t="s">
        <v>34</v>
      </c>
      <c r="J72" s="44" t="s">
        <v>74</v>
      </c>
      <c r="K72" s="102">
        <v>549</v>
      </c>
      <c r="L72" s="44">
        <v>230</v>
      </c>
      <c r="M72" s="95">
        <f t="shared" si="10"/>
        <v>126270</v>
      </c>
      <c r="N72" s="37">
        <f t="shared" si="12"/>
        <v>200.637</v>
      </c>
      <c r="O72" s="34">
        <f t="shared" si="13"/>
        <v>13.379386653508575</v>
      </c>
      <c r="P72" s="34">
        <f t="shared" si="14"/>
        <v>12.388320975470902</v>
      </c>
      <c r="Q72" s="34">
        <f t="shared" si="15"/>
        <v>29.112554292356624</v>
      </c>
      <c r="R72" s="37">
        <f t="shared" si="16"/>
        <v>18.857843749702774</v>
      </c>
      <c r="S72" s="37"/>
      <c r="T72" s="37"/>
      <c r="U72" s="34">
        <f t="shared" si="17"/>
        <v>8.5872162485065697</v>
      </c>
      <c r="V72" s="96">
        <f t="shared" si="18"/>
        <v>9.2741935483870961</v>
      </c>
      <c r="W72" s="37">
        <f t="shared" si="11"/>
        <v>5091.5322580645161</v>
      </c>
      <c r="X72" s="92">
        <f t="shared" si="19"/>
        <v>59.196521739130439</v>
      </c>
      <c r="Y72" s="100">
        <v>9.1</v>
      </c>
      <c r="Z72" s="44">
        <v>13.5</v>
      </c>
      <c r="AA72" s="100">
        <v>11.5</v>
      </c>
      <c r="AB72" s="101" t="s">
        <v>196</v>
      </c>
      <c r="AC72" s="80" t="s">
        <v>37</v>
      </c>
      <c r="AD72" s="31" t="s">
        <v>38</v>
      </c>
    </row>
    <row r="73" spans="1:30" s="83" customFormat="1">
      <c r="A73" s="44" t="s">
        <v>62</v>
      </c>
      <c r="B73" s="44" t="s">
        <v>197</v>
      </c>
      <c r="C73" s="44" t="s">
        <v>30</v>
      </c>
      <c r="D73" s="44" t="s">
        <v>147</v>
      </c>
      <c r="E73" s="44">
        <v>2017</v>
      </c>
      <c r="F73" s="44" t="s">
        <v>32</v>
      </c>
      <c r="G73" s="44">
        <v>1999</v>
      </c>
      <c r="H73" s="44" t="s">
        <v>33</v>
      </c>
      <c r="I73" s="44" t="s">
        <v>34</v>
      </c>
      <c r="J73" s="44" t="s">
        <v>74</v>
      </c>
      <c r="K73" s="102">
        <v>523</v>
      </c>
      <c r="L73" s="44">
        <v>228</v>
      </c>
      <c r="M73" s="95">
        <f t="shared" si="10"/>
        <v>119244</v>
      </c>
      <c r="N73" s="37">
        <f t="shared" si="12"/>
        <v>211.47839999999999</v>
      </c>
      <c r="O73" s="34">
        <f t="shared" si="13"/>
        <v>11.050111973610544</v>
      </c>
      <c r="P73" s="34">
        <f t="shared" si="14"/>
        <v>11.050111973610544</v>
      </c>
      <c r="Q73" s="34">
        <f t="shared" si="15"/>
        <v>25.967763137984779</v>
      </c>
      <c r="R73" s="37">
        <f t="shared" si="16"/>
        <v>20.140356226330987</v>
      </c>
      <c r="S73" s="37"/>
      <c r="T73" s="37"/>
      <c r="U73" s="34">
        <f t="shared" si="17"/>
        <v>9.8275862068965516</v>
      </c>
      <c r="V73" s="96">
        <f t="shared" si="18"/>
        <v>9.8275862068965516</v>
      </c>
      <c r="W73" s="37">
        <f t="shared" si="11"/>
        <v>5139.8275862068967</v>
      </c>
      <c r="X73" s="92">
        <f t="shared" si="19"/>
        <v>53.217543859649126</v>
      </c>
      <c r="Y73" s="100">
        <v>7.4</v>
      </c>
      <c r="Z73" s="44">
        <v>12.9</v>
      </c>
      <c r="AA73" s="100">
        <v>10.199999999999999</v>
      </c>
      <c r="AB73" s="101" t="s">
        <v>198</v>
      </c>
      <c r="AC73" s="80" t="s">
        <v>37</v>
      </c>
      <c r="AD73" s="31" t="s">
        <v>181</v>
      </c>
    </row>
    <row r="74" spans="1:30" s="83" customFormat="1">
      <c r="A74" s="44" t="s">
        <v>43</v>
      </c>
      <c r="B74" s="44" t="s">
        <v>199</v>
      </c>
      <c r="C74" s="44" t="s">
        <v>30</v>
      </c>
      <c r="D74" s="44" t="s">
        <v>31</v>
      </c>
      <c r="E74" s="44">
        <v>2017</v>
      </c>
      <c r="F74" s="44" t="s">
        <v>32</v>
      </c>
      <c r="G74" s="44">
        <v>1998</v>
      </c>
      <c r="H74" s="44" t="s">
        <v>33</v>
      </c>
      <c r="I74" s="44" t="s">
        <v>34</v>
      </c>
      <c r="J74" s="44" t="s">
        <v>35</v>
      </c>
      <c r="K74" s="102">
        <v>494</v>
      </c>
      <c r="L74" s="44">
        <v>129</v>
      </c>
      <c r="M74" s="95">
        <f t="shared" si="10"/>
        <v>63726</v>
      </c>
      <c r="N74" s="37">
        <f t="shared" si="12"/>
        <v>125.76419999999999</v>
      </c>
      <c r="O74" s="34">
        <f t="shared" si="13"/>
        <v>18.5812814775588</v>
      </c>
      <c r="P74" s="34">
        <f t="shared" si="14"/>
        <v>18.5812814775588</v>
      </c>
      <c r="Q74" s="34">
        <f t="shared" si="15"/>
        <v>43.666011472263179</v>
      </c>
      <c r="R74" s="37">
        <f t="shared" si="16"/>
        <v>11.31314684680534</v>
      </c>
      <c r="S74" s="37"/>
      <c r="T74" s="37"/>
      <c r="U74" s="34">
        <f t="shared" si="17"/>
        <v>5.5603448275862073</v>
      </c>
      <c r="V74" s="96">
        <f t="shared" si="18"/>
        <v>5.5603448275862073</v>
      </c>
      <c r="W74" s="37">
        <f t="shared" si="11"/>
        <v>2746.8103448275865</v>
      </c>
      <c r="X74" s="92">
        <f t="shared" si="19"/>
        <v>88.843410852713177</v>
      </c>
      <c r="Y74" s="100">
        <v>9.9</v>
      </c>
      <c r="Z74" s="44">
        <v>11.1</v>
      </c>
      <c r="AA74" s="100"/>
      <c r="AB74" s="101" t="s">
        <v>200</v>
      </c>
      <c r="AC74" s="80" t="s">
        <v>161</v>
      </c>
      <c r="AD74" s="31"/>
    </row>
    <row r="75" spans="1:30" s="83" customFormat="1">
      <c r="A75" s="44" t="s">
        <v>50</v>
      </c>
      <c r="B75" s="44" t="s">
        <v>201</v>
      </c>
      <c r="C75" s="44" t="s">
        <v>60</v>
      </c>
      <c r="D75" s="44" t="s">
        <v>175</v>
      </c>
      <c r="E75" s="44">
        <v>2017</v>
      </c>
      <c r="F75" s="44" t="s">
        <v>32</v>
      </c>
      <c r="G75" s="44">
        <v>2488</v>
      </c>
      <c r="H75" s="44" t="s">
        <v>33</v>
      </c>
      <c r="I75" s="44" t="s">
        <v>34</v>
      </c>
      <c r="J75" s="44" t="s">
        <v>74</v>
      </c>
      <c r="K75" s="102">
        <v>449</v>
      </c>
      <c r="L75" s="44">
        <v>220</v>
      </c>
      <c r="M75" s="95">
        <f t="shared" si="10"/>
        <v>98780</v>
      </c>
      <c r="N75" s="37">
        <f t="shared" si="12"/>
        <v>204.55199999999999</v>
      </c>
      <c r="O75" s="34">
        <f t="shared" si="13"/>
        <v>11.424283311822911</v>
      </c>
      <c r="P75" s="34">
        <f t="shared" si="14"/>
        <v>11.424283311822911</v>
      </c>
      <c r="Q75" s="34">
        <f t="shared" si="15"/>
        <v>26.847065782783844</v>
      </c>
      <c r="R75" s="37">
        <f t="shared" si="16"/>
        <v>16.724360257199102</v>
      </c>
      <c r="S75" s="37"/>
      <c r="T75" s="37"/>
      <c r="U75" s="34">
        <f t="shared" si="17"/>
        <v>9.4827586206896548</v>
      </c>
      <c r="V75" s="96">
        <f t="shared" si="18"/>
        <v>9.4827586206896548</v>
      </c>
      <c r="W75" s="37">
        <f t="shared" si="11"/>
        <v>4257.7586206896549</v>
      </c>
      <c r="X75" s="92">
        <f t="shared" si="19"/>
        <v>47.349090909090911</v>
      </c>
      <c r="Y75" s="100">
        <v>7.8</v>
      </c>
      <c r="Z75" s="44">
        <v>13.9</v>
      </c>
      <c r="AA75" s="100">
        <v>10.8</v>
      </c>
      <c r="AB75" s="101" t="s">
        <v>202</v>
      </c>
      <c r="AC75" s="80" t="s">
        <v>37</v>
      </c>
      <c r="AD75" s="31" t="s">
        <v>38</v>
      </c>
    </row>
    <row r="76" spans="1:30" s="83" customFormat="1">
      <c r="A76" s="44" t="s">
        <v>203</v>
      </c>
      <c r="B76" s="44" t="s">
        <v>204</v>
      </c>
      <c r="C76" s="44" t="s">
        <v>30</v>
      </c>
      <c r="D76" s="44" t="s">
        <v>31</v>
      </c>
      <c r="E76" s="44">
        <v>2017</v>
      </c>
      <c r="F76" s="44" t="s">
        <v>32</v>
      </c>
      <c r="G76" s="44">
        <v>1595</v>
      </c>
      <c r="H76" s="44" t="s">
        <v>33</v>
      </c>
      <c r="I76" s="44" t="s">
        <v>34</v>
      </c>
      <c r="J76" s="44" t="s">
        <v>74</v>
      </c>
      <c r="K76" s="102">
        <v>448</v>
      </c>
      <c r="L76" s="44">
        <v>128</v>
      </c>
      <c r="M76" s="95">
        <f t="shared" si="10"/>
        <v>57344</v>
      </c>
      <c r="N76" s="37">
        <f t="shared" si="12"/>
        <v>124.89840000000001</v>
      </c>
      <c r="O76" s="34">
        <f t="shared" si="13"/>
        <v>18.710087559168091</v>
      </c>
      <c r="P76" s="34">
        <f t="shared" si="14"/>
        <v>18.710087559168091</v>
      </c>
      <c r="Q76" s="34">
        <f t="shared" si="15"/>
        <v>43.968705764045019</v>
      </c>
      <c r="R76" s="37">
        <f t="shared" si="16"/>
        <v>10.189064977353681</v>
      </c>
      <c r="S76" s="37"/>
      <c r="T76" s="37"/>
      <c r="U76" s="34">
        <f t="shared" si="17"/>
        <v>5.5172413793103452</v>
      </c>
      <c r="V76" s="96">
        <f t="shared" si="18"/>
        <v>5.5172413793103452</v>
      </c>
      <c r="W76" s="37">
        <f t="shared" si="11"/>
        <v>2471.7241379310344</v>
      </c>
      <c r="X76" s="92">
        <f t="shared" si="19"/>
        <v>81.199999999999989</v>
      </c>
      <c r="Y76" s="100">
        <v>14.1</v>
      </c>
      <c r="Z76" s="44">
        <v>21.7</v>
      </c>
      <c r="AA76" s="100">
        <v>18.2</v>
      </c>
      <c r="AB76" s="101" t="s">
        <v>205</v>
      </c>
      <c r="AC76" s="80" t="s">
        <v>37</v>
      </c>
      <c r="AD76" s="31" t="s">
        <v>206</v>
      </c>
    </row>
    <row r="77" spans="1:30" s="83" customFormat="1">
      <c r="A77" s="44" t="s">
        <v>135</v>
      </c>
      <c r="B77" s="44" t="s">
        <v>207</v>
      </c>
      <c r="C77" s="44" t="s">
        <v>94</v>
      </c>
      <c r="D77" s="44" t="s">
        <v>40</v>
      </c>
      <c r="E77" s="44">
        <v>2017</v>
      </c>
      <c r="F77" s="44" t="s">
        <v>32</v>
      </c>
      <c r="G77" s="44">
        <v>1328</v>
      </c>
      <c r="H77" s="44" t="s">
        <v>33</v>
      </c>
      <c r="I77" s="44" t="s">
        <v>34</v>
      </c>
      <c r="J77" s="44" t="s">
        <v>35</v>
      </c>
      <c r="K77" s="102">
        <v>413</v>
      </c>
      <c r="L77" s="44">
        <v>168</v>
      </c>
      <c r="M77" s="95">
        <f t="shared" si="10"/>
        <v>69384</v>
      </c>
      <c r="N77" s="37">
        <f t="shared" si="12"/>
        <v>159.53039999999999</v>
      </c>
      <c r="O77" s="34">
        <f t="shared" si="13"/>
        <v>14.648367959962492</v>
      </c>
      <c r="P77" s="34">
        <f t="shared" si="14"/>
        <v>14.648367959962492</v>
      </c>
      <c r="Q77" s="34">
        <f t="shared" si="15"/>
        <v>34.423664705911861</v>
      </c>
      <c r="R77" s="37">
        <f t="shared" si="16"/>
        <v>11.997560501717068</v>
      </c>
      <c r="S77" s="37"/>
      <c r="T77" s="37"/>
      <c r="U77" s="34">
        <f t="shared" si="17"/>
        <v>7.2413793103448274</v>
      </c>
      <c r="V77" s="96">
        <f t="shared" si="18"/>
        <v>7.2413793103448274</v>
      </c>
      <c r="W77" s="37">
        <f t="shared" si="11"/>
        <v>2990.6896551724135</v>
      </c>
      <c r="X77" s="92">
        <f t="shared" si="19"/>
        <v>57.033333333333331</v>
      </c>
      <c r="Y77" s="100">
        <v>11.7</v>
      </c>
      <c r="Z77" s="44">
        <v>16.100000000000001</v>
      </c>
      <c r="AA77" s="100">
        <v>14.1</v>
      </c>
      <c r="AB77" s="101" t="s">
        <v>208</v>
      </c>
      <c r="AC77" s="80" t="s">
        <v>37</v>
      </c>
      <c r="AD77" s="31" t="s">
        <v>38</v>
      </c>
    </row>
    <row r="78" spans="1:30" s="83" customFormat="1">
      <c r="A78" s="44" t="s">
        <v>135</v>
      </c>
      <c r="B78" s="44" t="s">
        <v>184</v>
      </c>
      <c r="C78" s="44" t="s">
        <v>30</v>
      </c>
      <c r="D78" s="44" t="s">
        <v>40</v>
      </c>
      <c r="E78" s="44">
        <v>2017</v>
      </c>
      <c r="F78" s="44" t="s">
        <v>32</v>
      </c>
      <c r="G78" s="44">
        <v>1197</v>
      </c>
      <c r="H78" s="44" t="s">
        <v>33</v>
      </c>
      <c r="I78" s="44" t="s">
        <v>34</v>
      </c>
      <c r="J78" s="44" t="s">
        <v>35</v>
      </c>
      <c r="K78" s="102">
        <v>405</v>
      </c>
      <c r="L78" s="44">
        <v>124</v>
      </c>
      <c r="M78" s="95">
        <f t="shared" si="10"/>
        <v>50220</v>
      </c>
      <c r="N78" s="37">
        <f t="shared" si="12"/>
        <v>121.43520000000001</v>
      </c>
      <c r="O78" s="34">
        <f t="shared" si="13"/>
        <v>19.243678933291172</v>
      </c>
      <c r="P78" s="34">
        <f t="shared" si="14"/>
        <v>19.243678933291172</v>
      </c>
      <c r="Q78" s="34">
        <f t="shared" si="15"/>
        <v>45.222645493234253</v>
      </c>
      <c r="R78" s="37">
        <f t="shared" si="16"/>
        <v>8.9556901322942704</v>
      </c>
      <c r="S78" s="37"/>
      <c r="T78" s="37"/>
      <c r="U78" s="34">
        <f t="shared" si="17"/>
        <v>5.3448275862068968</v>
      </c>
      <c r="V78" s="96">
        <f t="shared" si="18"/>
        <v>5.3448275862068968</v>
      </c>
      <c r="W78" s="37">
        <f t="shared" si="11"/>
        <v>2164.655172413793</v>
      </c>
      <c r="X78" s="92">
        <f t="shared" si="19"/>
        <v>75.774193548387089</v>
      </c>
      <c r="Y78" s="100">
        <v>15.1</v>
      </c>
      <c r="Z78" s="44">
        <v>22.5</v>
      </c>
      <c r="AA78" s="100">
        <v>19.100000000000001</v>
      </c>
      <c r="AB78" s="101" t="s">
        <v>209</v>
      </c>
      <c r="AC78" s="80" t="s">
        <v>37</v>
      </c>
      <c r="AD78" s="31" t="s">
        <v>38</v>
      </c>
    </row>
    <row r="79" spans="1:30" s="83" customFormat="1">
      <c r="A79" s="44" t="s">
        <v>102</v>
      </c>
      <c r="B79" s="44" t="s">
        <v>210</v>
      </c>
      <c r="C79" s="44" t="s">
        <v>60</v>
      </c>
      <c r="D79" s="44" t="s">
        <v>31</v>
      </c>
      <c r="E79" s="44">
        <v>2017</v>
      </c>
      <c r="F79" s="44" t="s">
        <v>32</v>
      </c>
      <c r="G79" s="44">
        <v>2494</v>
      </c>
      <c r="H79" s="44" t="s">
        <v>33</v>
      </c>
      <c r="I79" s="44" t="s">
        <v>34</v>
      </c>
      <c r="J79" s="44" t="s">
        <v>35</v>
      </c>
      <c r="K79" s="102">
        <v>396</v>
      </c>
      <c r="L79" s="44">
        <v>195</v>
      </c>
      <c r="M79" s="95">
        <f t="shared" si="10"/>
        <v>77220</v>
      </c>
      <c r="N79" s="37">
        <f t="shared" si="12"/>
        <v>182.90699999999998</v>
      </c>
      <c r="O79" s="34">
        <f t="shared" si="13"/>
        <v>12.776219608872271</v>
      </c>
      <c r="P79" s="34">
        <f t="shared" si="14"/>
        <v>12.776219608872271</v>
      </c>
      <c r="Q79" s="34">
        <f t="shared" si="15"/>
        <v>30.024116080849836</v>
      </c>
      <c r="R79" s="37">
        <f t="shared" si="16"/>
        <v>13.189397447493187</v>
      </c>
      <c r="S79" s="37"/>
      <c r="T79" s="37"/>
      <c r="U79" s="34">
        <f t="shared" si="17"/>
        <v>8.4051724137931032</v>
      </c>
      <c r="V79" s="96">
        <f t="shared" si="18"/>
        <v>8.4051724137931032</v>
      </c>
      <c r="W79" s="37">
        <f t="shared" si="11"/>
        <v>3328.4482758620688</v>
      </c>
      <c r="X79" s="92">
        <f t="shared" si="19"/>
        <v>47.113846153846154</v>
      </c>
      <c r="Y79" s="100">
        <v>9.1</v>
      </c>
      <c r="Z79" s="44">
        <v>15.3</v>
      </c>
      <c r="AA79" s="100">
        <v>12.2</v>
      </c>
      <c r="AB79" s="101" t="s">
        <v>211</v>
      </c>
      <c r="AC79" s="80" t="s">
        <v>37</v>
      </c>
      <c r="AD79" s="31" t="s">
        <v>38</v>
      </c>
    </row>
    <row r="80" spans="1:30" s="83" customFormat="1">
      <c r="A80" s="44" t="s">
        <v>203</v>
      </c>
      <c r="B80" s="44" t="s">
        <v>212</v>
      </c>
      <c r="C80" s="44" t="s">
        <v>30</v>
      </c>
      <c r="D80" s="44" t="s">
        <v>31</v>
      </c>
      <c r="E80" s="44">
        <v>2017</v>
      </c>
      <c r="F80" s="44" t="s">
        <v>32</v>
      </c>
      <c r="G80" s="44">
        <v>1595</v>
      </c>
      <c r="H80" s="44" t="s">
        <v>33</v>
      </c>
      <c r="I80" s="44" t="s">
        <v>34</v>
      </c>
      <c r="J80" s="44" t="s">
        <v>74</v>
      </c>
      <c r="K80" s="102">
        <v>395</v>
      </c>
      <c r="L80" s="44">
        <v>127</v>
      </c>
      <c r="M80" s="95">
        <f t="shared" si="10"/>
        <v>50165</v>
      </c>
      <c r="N80" s="37">
        <f t="shared" si="12"/>
        <v>124.0326</v>
      </c>
      <c r="O80" s="34">
        <f t="shared" si="13"/>
        <v>18.840691882617957</v>
      </c>
      <c r="P80" s="34">
        <f t="shared" si="14"/>
        <v>18.840691882617957</v>
      </c>
      <c r="Q80" s="34">
        <f t="shared" si="15"/>
        <v>44.275625924152202</v>
      </c>
      <c r="R80" s="37">
        <f t="shared" si="16"/>
        <v>8.9213871459811216</v>
      </c>
      <c r="S80" s="37"/>
      <c r="T80" s="37"/>
      <c r="U80" s="34">
        <f t="shared" si="17"/>
        <v>5.4741379310344831</v>
      </c>
      <c r="V80" s="96">
        <f t="shared" si="18"/>
        <v>5.4741379310344831</v>
      </c>
      <c r="W80" s="37">
        <f t="shared" si="11"/>
        <v>2162.2844827586209</v>
      </c>
      <c r="X80" s="92">
        <f t="shared" si="19"/>
        <v>72.157480314960623</v>
      </c>
      <c r="Y80" s="100">
        <v>14.5</v>
      </c>
      <c r="Z80" s="44">
        <v>21.3</v>
      </c>
      <c r="AA80" s="100">
        <v>18.2</v>
      </c>
      <c r="AB80" s="101" t="s">
        <v>213</v>
      </c>
      <c r="AC80" s="80" t="s">
        <v>37</v>
      </c>
      <c r="AD80" s="31" t="s">
        <v>38</v>
      </c>
    </row>
    <row r="81" spans="1:30" s="83" customFormat="1">
      <c r="A81" s="44" t="s">
        <v>203</v>
      </c>
      <c r="B81" s="44" t="s">
        <v>214</v>
      </c>
      <c r="C81" s="44" t="s">
        <v>30</v>
      </c>
      <c r="D81" s="44" t="s">
        <v>31</v>
      </c>
      <c r="E81" s="44">
        <v>2017</v>
      </c>
      <c r="F81" s="44" t="s">
        <v>32</v>
      </c>
      <c r="G81" s="44">
        <v>1595</v>
      </c>
      <c r="H81" s="44" t="s">
        <v>33</v>
      </c>
      <c r="I81" s="44" t="s">
        <v>34</v>
      </c>
      <c r="J81" s="44" t="s">
        <v>74</v>
      </c>
      <c r="K81" s="102">
        <v>394</v>
      </c>
      <c r="L81" s="44">
        <v>137</v>
      </c>
      <c r="M81" s="95">
        <f t="shared" si="10"/>
        <v>53978</v>
      </c>
      <c r="N81" s="37">
        <f t="shared" si="12"/>
        <v>132.69059999999999</v>
      </c>
      <c r="O81" s="34">
        <f t="shared" si="13"/>
        <v>17.611345490939073</v>
      </c>
      <c r="P81" s="34">
        <f t="shared" si="14"/>
        <v>17.611345490939073</v>
      </c>
      <c r="Q81" s="34">
        <f t="shared" si="15"/>
        <v>41.386661903706823</v>
      </c>
      <c r="R81" s="37">
        <f t="shared" si="16"/>
        <v>9.5199753224048038</v>
      </c>
      <c r="S81" s="37"/>
      <c r="T81" s="37"/>
      <c r="U81" s="34">
        <f t="shared" si="17"/>
        <v>5.9051724137931032</v>
      </c>
      <c r="V81" s="96">
        <f t="shared" si="18"/>
        <v>5.9051724137931032</v>
      </c>
      <c r="W81" s="37">
        <f t="shared" si="11"/>
        <v>2326.6379310344828</v>
      </c>
      <c r="X81" s="92">
        <f t="shared" si="19"/>
        <v>66.721167883211677</v>
      </c>
      <c r="Y81" s="100">
        <v>13.3</v>
      </c>
      <c r="Z81" s="44">
        <v>20</v>
      </c>
      <c r="AA81" s="100">
        <v>16.899999999999999</v>
      </c>
      <c r="AB81" s="101" t="s">
        <v>215</v>
      </c>
      <c r="AC81" s="80" t="s">
        <v>37</v>
      </c>
      <c r="AD81" s="31" t="s">
        <v>38</v>
      </c>
    </row>
    <row r="82" spans="1:30" s="83" customFormat="1">
      <c r="A82" s="44" t="s">
        <v>203</v>
      </c>
      <c r="B82" s="44" t="s">
        <v>216</v>
      </c>
      <c r="C82" s="44" t="s">
        <v>60</v>
      </c>
      <c r="D82" s="44" t="s">
        <v>31</v>
      </c>
      <c r="E82" s="44">
        <v>2017</v>
      </c>
      <c r="F82" s="44" t="s">
        <v>32</v>
      </c>
      <c r="G82" s="44">
        <v>1595</v>
      </c>
      <c r="H82" s="44" t="s">
        <v>33</v>
      </c>
      <c r="I82" s="44" t="s">
        <v>34</v>
      </c>
      <c r="J82" s="44" t="s">
        <v>74</v>
      </c>
      <c r="K82" s="102">
        <v>364</v>
      </c>
      <c r="L82" s="44">
        <v>139</v>
      </c>
      <c r="M82" s="95">
        <f t="shared" si="10"/>
        <v>50596</v>
      </c>
      <c r="N82" s="37">
        <f t="shared" si="12"/>
        <v>134.4222</v>
      </c>
      <c r="O82" s="34">
        <f t="shared" si="13"/>
        <v>17.384479646963076</v>
      </c>
      <c r="P82" s="34">
        <f t="shared" si="14"/>
        <v>17.384479646963076</v>
      </c>
      <c r="Q82" s="34">
        <f t="shared" si="15"/>
        <v>40.853527170363229</v>
      </c>
      <c r="R82" s="37">
        <f t="shared" si="16"/>
        <v>8.9098793962656924</v>
      </c>
      <c r="S82" s="37"/>
      <c r="T82" s="37"/>
      <c r="U82" s="34">
        <f t="shared" si="17"/>
        <v>5.9913793103448274</v>
      </c>
      <c r="V82" s="96">
        <f t="shared" si="18"/>
        <v>5.9913793103448274</v>
      </c>
      <c r="W82" s="37">
        <f t="shared" si="11"/>
        <v>2180.8620689655172</v>
      </c>
      <c r="X82" s="92">
        <f t="shared" si="19"/>
        <v>60.753956834532374</v>
      </c>
      <c r="Y82" s="100">
        <v>13.5</v>
      </c>
      <c r="Z82" s="44">
        <v>19.600000000000001</v>
      </c>
      <c r="AA82" s="100">
        <v>16.7</v>
      </c>
      <c r="AB82" s="101" t="s">
        <v>217</v>
      </c>
      <c r="AC82" s="80" t="s">
        <v>37</v>
      </c>
      <c r="AD82" s="31" t="s">
        <v>38</v>
      </c>
    </row>
    <row r="83" spans="1:30" s="83" customFormat="1">
      <c r="A83" s="44" t="s">
        <v>218</v>
      </c>
      <c r="B83" s="44" t="s">
        <v>219</v>
      </c>
      <c r="C83" s="44" t="s">
        <v>60</v>
      </c>
      <c r="D83" s="44" t="s">
        <v>147</v>
      </c>
      <c r="E83" s="44">
        <v>2017</v>
      </c>
      <c r="F83" s="44" t="s">
        <v>32</v>
      </c>
      <c r="G83" s="44">
        <v>1969</v>
      </c>
      <c r="H83" s="44" t="s">
        <v>33</v>
      </c>
      <c r="I83" s="44" t="s">
        <v>34</v>
      </c>
      <c r="J83" s="44" t="s">
        <v>74</v>
      </c>
      <c r="K83" s="102">
        <v>359</v>
      </c>
      <c r="L83" s="44">
        <v>179</v>
      </c>
      <c r="M83" s="95">
        <f t="shared" si="10"/>
        <v>64261</v>
      </c>
      <c r="N83" s="37">
        <f t="shared" si="12"/>
        <v>169.05420000000001</v>
      </c>
      <c r="O83" s="34">
        <f t="shared" si="13"/>
        <v>13.823140744211027</v>
      </c>
      <c r="P83" s="34">
        <f t="shared" si="14"/>
        <v>13.823140744211027</v>
      </c>
      <c r="Q83" s="34">
        <f t="shared" si="15"/>
        <v>32.484380748895916</v>
      </c>
      <c r="R83" s="37">
        <f t="shared" si="16"/>
        <v>11.05146509564298</v>
      </c>
      <c r="S83" s="37"/>
      <c r="T83" s="37"/>
      <c r="U83" s="34">
        <f t="shared" si="17"/>
        <v>7.7155172413793105</v>
      </c>
      <c r="V83" s="96">
        <f t="shared" si="18"/>
        <v>7.7155172413793105</v>
      </c>
      <c r="W83" s="37">
        <f t="shared" si="11"/>
        <v>2769.8706896551726</v>
      </c>
      <c r="X83" s="92">
        <f t="shared" si="19"/>
        <v>46.529608938547483</v>
      </c>
      <c r="Y83" s="100">
        <v>10.1</v>
      </c>
      <c r="Z83" s="44">
        <v>15.15</v>
      </c>
      <c r="AA83" s="100">
        <v>12.82</v>
      </c>
      <c r="AB83" s="101" t="s">
        <v>220</v>
      </c>
      <c r="AC83" s="84" t="s">
        <v>105</v>
      </c>
      <c r="AD83" s="31" t="s">
        <v>206</v>
      </c>
    </row>
    <row r="84" spans="1:30" s="87" customFormat="1" ht="14.45" customHeight="1">
      <c r="A84" s="52" t="s">
        <v>151</v>
      </c>
      <c r="B84" s="52" t="s">
        <v>188</v>
      </c>
      <c r="C84" s="52" t="s">
        <v>60</v>
      </c>
      <c r="D84" s="52" t="s">
        <v>40</v>
      </c>
      <c r="E84" s="52">
        <v>2017</v>
      </c>
      <c r="F84" s="52" t="s">
        <v>32</v>
      </c>
      <c r="G84" s="52">
        <v>1591</v>
      </c>
      <c r="H84" s="52" t="s">
        <v>33</v>
      </c>
      <c r="I84" s="52" t="s">
        <v>34</v>
      </c>
      <c r="J84" s="52" t="s">
        <v>74</v>
      </c>
      <c r="K84" s="104">
        <v>337</v>
      </c>
      <c r="L84" s="52">
        <v>175</v>
      </c>
      <c r="M84" s="105">
        <f t="shared" si="10"/>
        <v>58975</v>
      </c>
      <c r="N84" s="48">
        <f t="shared" si="12"/>
        <v>165.59100000000001</v>
      </c>
      <c r="O84" s="49">
        <f t="shared" si="13"/>
        <v>14.112240399538623</v>
      </c>
      <c r="P84" s="49">
        <f t="shared" si="14"/>
        <v>14.112240399538623</v>
      </c>
      <c r="Q84" s="49">
        <f t="shared" si="15"/>
        <v>33.163764938915762</v>
      </c>
      <c r="R84" s="48">
        <f t="shared" si="16"/>
        <v>10.161693059298885</v>
      </c>
      <c r="S84" s="48"/>
      <c r="T84" s="48"/>
      <c r="U84" s="49">
        <f t="shared" si="17"/>
        <v>7.5431034482758621</v>
      </c>
      <c r="V84" s="106">
        <f t="shared" si="18"/>
        <v>7.5431034482758621</v>
      </c>
      <c r="W84" s="48">
        <f t="shared" si="11"/>
        <v>2542.0258620689656</v>
      </c>
      <c r="X84" s="107">
        <f t="shared" si="19"/>
        <v>44.676571428571428</v>
      </c>
      <c r="Y84" s="108">
        <v>10.8</v>
      </c>
      <c r="Z84" s="52">
        <v>15.9</v>
      </c>
      <c r="AA84" s="108">
        <v>13.5</v>
      </c>
      <c r="AB84" s="109" t="s">
        <v>221</v>
      </c>
      <c r="AC84" s="86" t="s">
        <v>37</v>
      </c>
      <c r="AD84" s="85" t="s">
        <v>38</v>
      </c>
    </row>
    <row r="85" spans="1:30" s="12" customFormat="1" ht="90">
      <c r="A85" s="13"/>
      <c r="B85" s="13"/>
      <c r="C85" s="13"/>
      <c r="D85" s="13"/>
      <c r="E85" s="13"/>
      <c r="F85" s="13"/>
      <c r="G85" s="13"/>
      <c r="H85" s="13"/>
      <c r="I85" s="13"/>
      <c r="J85" s="15" t="s">
        <v>222</v>
      </c>
      <c r="K85" s="16">
        <f>SUM(K2:K84)</f>
        <v>196217</v>
      </c>
      <c r="L85" s="17" t="s">
        <v>223</v>
      </c>
      <c r="M85" s="67">
        <f>SUM(M2:M84)/K85</f>
        <v>167.05891932886911</v>
      </c>
      <c r="N85" s="69"/>
      <c r="O85" s="70"/>
      <c r="P85" s="71"/>
      <c r="Q85" s="68" t="s">
        <v>224</v>
      </c>
      <c r="R85" s="72">
        <f>K85/SUM(R2:R84)</f>
        <v>34.711518502463264</v>
      </c>
      <c r="S85" s="73"/>
      <c r="T85" s="74"/>
      <c r="U85" s="75"/>
      <c r="V85" s="68" t="s">
        <v>225</v>
      </c>
      <c r="W85" s="17">
        <f>SUM(W2:W84)/K85</f>
        <v>7.1831558585294184</v>
      </c>
      <c r="X85" s="19"/>
      <c r="Y85" s="13"/>
      <c r="Z85" s="13"/>
      <c r="AA85" s="13"/>
      <c r="AB85" s="20"/>
      <c r="AC85" s="13"/>
      <c r="AD85" s="13"/>
    </row>
    <row r="86" spans="1:30" s="12" customFormat="1" ht="105">
      <c r="K86" s="19"/>
      <c r="M86" s="14"/>
      <c r="V86" s="13"/>
      <c r="W86" s="21" t="s">
        <v>226</v>
      </c>
      <c r="X86" s="21">
        <f>K85/SUM(X2:X84)</f>
        <v>6.9338959504694566</v>
      </c>
      <c r="AB86" s="22"/>
    </row>
    <row r="107" spans="8:8">
      <c r="H107" s="23"/>
    </row>
  </sheetData>
  <autoFilter ref="A1:AD86" xr:uid="{1577864A-1AA1-4318-8DB7-DE5542D205FE}">
    <filterColumn colId="24" showButton="0"/>
    <filterColumn colId="25" showButton="0"/>
  </autoFilter>
  <mergeCells count="1">
    <mergeCell ref="Y1:AA1"/>
  </mergeCells>
  <hyperlinks>
    <hyperlink ref="AC62" r:id="rId1" xr:uid="{E7BB7A6E-DDC0-4307-98A9-765172783EB9}"/>
  </hyperlinks>
  <pageMargins left="0.7" right="0.7" top="0.75" bottom="0.75" header="0.3" footer="0.3"/>
  <pageSetup orientation="portrait" horizontalDpi="360" verticalDpi="36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A3F8-0AA8-4349-ABA6-C3A20B5A428A}">
  <dimension ref="A2:D21"/>
  <sheetViews>
    <sheetView workbookViewId="0">
      <selection activeCell="C22" sqref="C22"/>
    </sheetView>
  </sheetViews>
  <sheetFormatPr baseColWidth="10" defaultRowHeight="15"/>
  <sheetData>
    <row r="2" spans="1:4">
      <c r="A2" t="s">
        <v>378</v>
      </c>
      <c r="B2" t="s">
        <v>380</v>
      </c>
    </row>
    <row r="3" spans="1:4">
      <c r="A3" t="s">
        <v>379</v>
      </c>
      <c r="B3" t="s">
        <v>147</v>
      </c>
    </row>
    <row r="6" spans="1:4">
      <c r="A6" t="s">
        <v>383</v>
      </c>
      <c r="B6" t="s">
        <v>385</v>
      </c>
    </row>
    <row r="7" spans="1:4">
      <c r="A7" t="s">
        <v>384</v>
      </c>
      <c r="B7" t="s">
        <v>57</v>
      </c>
    </row>
    <row r="9" spans="1:4">
      <c r="C9" t="s">
        <v>390</v>
      </c>
      <c r="D9" t="s">
        <v>391</v>
      </c>
    </row>
    <row r="10" spans="1:4">
      <c r="A10" t="s">
        <v>57</v>
      </c>
      <c r="B10" t="s">
        <v>394</v>
      </c>
      <c r="C10">
        <v>60</v>
      </c>
      <c r="D10">
        <v>2250</v>
      </c>
    </row>
    <row r="11" spans="1:4">
      <c r="A11" t="s">
        <v>40</v>
      </c>
      <c r="B11" t="s">
        <v>395</v>
      </c>
      <c r="C11">
        <v>80</v>
      </c>
      <c r="D11">
        <v>3500</v>
      </c>
    </row>
    <row r="12" spans="1:4">
      <c r="A12" t="s">
        <v>31</v>
      </c>
      <c r="B12" t="s">
        <v>396</v>
      </c>
      <c r="C12">
        <v>90</v>
      </c>
      <c r="D12">
        <v>4250</v>
      </c>
    </row>
    <row r="13" spans="1:4">
      <c r="A13" t="s">
        <v>147</v>
      </c>
      <c r="B13" t="s">
        <v>387</v>
      </c>
      <c r="C13">
        <v>100</v>
      </c>
      <c r="D13">
        <v>5250</v>
      </c>
    </row>
    <row r="14" spans="1:4">
      <c r="A14" t="s">
        <v>175</v>
      </c>
      <c r="B14" t="s">
        <v>388</v>
      </c>
      <c r="C14">
        <v>110</v>
      </c>
      <c r="D14">
        <v>5751</v>
      </c>
    </row>
    <row r="15" spans="1:4">
      <c r="A15" t="s">
        <v>374</v>
      </c>
      <c r="B15" t="s">
        <v>389</v>
      </c>
      <c r="C15">
        <v>110</v>
      </c>
      <c r="D15">
        <v>5751</v>
      </c>
    </row>
    <row r="17" spans="2:3">
      <c r="B17" t="s">
        <v>30</v>
      </c>
      <c r="C17" t="s">
        <v>31</v>
      </c>
    </row>
    <row r="18" spans="2:3">
      <c r="B18" t="s">
        <v>60</v>
      </c>
      <c r="C18" t="s">
        <v>381</v>
      </c>
    </row>
    <row r="19" spans="2:3">
      <c r="B19" t="s">
        <v>94</v>
      </c>
      <c r="C19" t="s">
        <v>381</v>
      </c>
    </row>
    <row r="20" spans="2:3">
      <c r="B20" t="s">
        <v>88</v>
      </c>
      <c r="C20" t="s">
        <v>381</v>
      </c>
    </row>
    <row r="21" spans="2:3">
      <c r="B21" t="s">
        <v>114</v>
      </c>
      <c r="C21" t="s">
        <v>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2019</vt:lpstr>
      <vt:lpstr>Hoja2</vt:lpstr>
      <vt:lpstr>2018</vt:lpstr>
      <vt:lpstr>2017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rios osorio</dc:creator>
  <cp:lastModifiedBy>Jorge A. Macias</cp:lastModifiedBy>
  <dcterms:created xsi:type="dcterms:W3CDTF">2021-01-16T01:00:40Z</dcterms:created>
  <dcterms:modified xsi:type="dcterms:W3CDTF">2021-09-20T19:48:52Z</dcterms:modified>
</cp:coreProperties>
</file>