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saveExternalLinkValues="0" updateLinks="never" codeName="ThisWorkbook" hidePivotFieldList="1" defaultThemeVersion="166925"/>
  <mc:AlternateContent xmlns:mc="http://schemas.openxmlformats.org/markup-compatibility/2006">
    <mc:Choice Requires="x15">
      <x15ac:absPath xmlns:x15ac="http://schemas.microsoft.com/office/spreadsheetml/2010/11/ac" url="C:\Users\Aderoju\Desktop\Distel\Report\Weekly Report\"/>
    </mc:Choice>
  </mc:AlternateContent>
  <xr:revisionPtr revIDLastSave="0" documentId="13_ncr:1_{52822C58-3BC2-4597-945A-1C7A4F760CCA}" xr6:coauthVersionLast="43" xr6:coauthVersionMax="47" xr10:uidLastSave="{00000000-0000-0000-0000-000000000000}"/>
  <bookViews>
    <workbookView xWindow="-120" yWindow="-120" windowWidth="20730" windowHeight="11160" tabRatio="790" activeTab="1" xr2:uid="{00000000-000D-0000-FFFF-FFFF00000000}"/>
  </bookViews>
  <sheets>
    <sheet name="OMSR &amp; VSR Performance - Value" sheetId="44" r:id="rId1"/>
    <sheet name="OMSR &amp; VSR Performance - Cases" sheetId="45" r:id="rId2"/>
    <sheet name="Pivot table" sheetId="49" state="hidden" r:id="rId3"/>
    <sheet name="Target" sheetId="47" state="hidden" r:id="rId4"/>
  </sheets>
  <definedNames>
    <definedName name="Slicer_Month">#N/A</definedName>
    <definedName name="Slicer_Year">#N/A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 i="47" l="1"/>
  <c r="I3" i="47"/>
  <c r="I4" i="47"/>
  <c r="I5" i="47"/>
  <c r="I6" i="47"/>
  <c r="I7" i="47"/>
  <c r="I8" i="47"/>
  <c r="I9" i="47"/>
  <c r="I10" i="47"/>
  <c r="I11" i="47"/>
  <c r="I12" i="47"/>
  <c r="I13" i="47"/>
  <c r="I14" i="47"/>
  <c r="I15" i="47"/>
  <c r="I16" i="47"/>
  <c r="I17" i="47"/>
  <c r="I18" i="47"/>
  <c r="I19" i="47"/>
  <c r="I20" i="47"/>
  <c r="I21" i="47"/>
  <c r="I22" i="47"/>
  <c r="I23" i="47"/>
  <c r="I24" i="47"/>
  <c r="I25" i="47"/>
  <c r="I26" i="47"/>
  <c r="I27" i="47"/>
  <c r="I28" i="47"/>
  <c r="I29" i="47"/>
  <c r="I30" i="47"/>
  <c r="I31" i="47"/>
  <c r="I32" i="47"/>
  <c r="I33" i="47"/>
  <c r="I34" i="47"/>
  <c r="I35" i="47"/>
  <c r="I36" i="47"/>
  <c r="I37" i="47"/>
  <c r="M26" i="44" s="1"/>
  <c r="G40" i="45"/>
  <c r="H40" i="45"/>
  <c r="I40" i="45"/>
  <c r="J40" i="45"/>
  <c r="K40" i="45"/>
  <c r="G40" i="44"/>
  <c r="H40" i="44"/>
  <c r="I40" i="44"/>
  <c r="J40" i="44"/>
  <c r="K40" i="44"/>
  <c r="L40" i="45" l="1"/>
  <c r="M13" i="45"/>
  <c r="M14" i="45"/>
  <c r="M10" i="45"/>
  <c r="M9" i="45"/>
  <c r="M7" i="45"/>
  <c r="M5" i="45"/>
  <c r="M41" i="45"/>
  <c r="M40" i="45"/>
  <c r="M36" i="45"/>
  <c r="M20" i="45"/>
  <c r="M35" i="45"/>
  <c r="M30" i="45"/>
  <c r="M33" i="45"/>
  <c r="M25" i="45"/>
  <c r="M32" i="45"/>
  <c r="M22" i="45"/>
  <c r="M26" i="45"/>
  <c r="M13" i="44"/>
  <c r="M10" i="44"/>
  <c r="M11" i="44"/>
  <c r="M9" i="44"/>
  <c r="M8" i="44"/>
  <c r="M5" i="44"/>
  <c r="M41" i="44"/>
  <c r="M40" i="44"/>
  <c r="M36" i="44"/>
  <c r="M20" i="44"/>
  <c r="M35" i="44"/>
  <c r="M30" i="44"/>
  <c r="M33" i="44"/>
  <c r="M25" i="44"/>
  <c r="M29" i="44"/>
  <c r="M27" i="44"/>
  <c r="M22" i="44"/>
  <c r="M11" i="45"/>
  <c r="M12" i="45"/>
  <c r="M6" i="45"/>
  <c r="M4" i="45"/>
  <c r="M8" i="45"/>
  <c r="M3" i="45"/>
  <c r="M37" i="45"/>
  <c r="M39" i="45"/>
  <c r="M38" i="45"/>
  <c r="M27" i="45"/>
  <c r="M31" i="45"/>
  <c r="M34" i="45"/>
  <c r="M21" i="45"/>
  <c r="M29" i="45"/>
  <c r="M28" i="45"/>
  <c r="M23" i="45"/>
  <c r="M24" i="45"/>
  <c r="M12" i="44"/>
  <c r="M14" i="44"/>
  <c r="M6" i="44"/>
  <c r="M4" i="44"/>
  <c r="M7" i="44"/>
  <c r="M3" i="44"/>
  <c r="M37" i="44"/>
  <c r="M39" i="44"/>
  <c r="M38" i="44"/>
  <c r="M28" i="44"/>
  <c r="M31" i="44"/>
  <c r="M34" i="44"/>
  <c r="M21" i="44"/>
  <c r="M23" i="44"/>
  <c r="M32" i="44"/>
  <c r="M24" i="44"/>
  <c r="N40" i="45"/>
  <c r="L40" i="44"/>
  <c r="N40" i="44" s="1"/>
  <c r="J26" i="44" l="1"/>
  <c r="J27" i="44"/>
  <c r="J33" i="44"/>
  <c r="J23" i="44"/>
  <c r="J30" i="44"/>
  <c r="J25" i="44"/>
  <c r="J24" i="44"/>
  <c r="J21" i="44"/>
  <c r="J22" i="44"/>
  <c r="J34" i="44"/>
  <c r="J29" i="44"/>
  <c r="J32" i="44"/>
  <c r="J28" i="44"/>
  <c r="J36" i="44"/>
  <c r="J38" i="44"/>
  <c r="J31" i="44"/>
  <c r="J20" i="44"/>
  <c r="J35" i="44"/>
  <c r="J39" i="44"/>
  <c r="J37" i="44"/>
  <c r="J41" i="44"/>
  <c r="I26" i="44"/>
  <c r="I27" i="44"/>
  <c r="I33" i="44"/>
  <c r="I23" i="44"/>
  <c r="I30" i="44"/>
  <c r="I25" i="44"/>
  <c r="I24" i="44"/>
  <c r="I21" i="44"/>
  <c r="I22" i="44"/>
  <c r="I34" i="44"/>
  <c r="I29" i="44"/>
  <c r="I32" i="44"/>
  <c r="I28" i="44"/>
  <c r="I36" i="44"/>
  <c r="I38" i="44"/>
  <c r="I31" i="44"/>
  <c r="I20" i="44"/>
  <c r="I35" i="44"/>
  <c r="I39" i="44"/>
  <c r="I37" i="44"/>
  <c r="I41" i="44"/>
  <c r="H26" i="44"/>
  <c r="H27" i="44"/>
  <c r="H33" i="44"/>
  <c r="H23" i="44"/>
  <c r="H30" i="44"/>
  <c r="H25" i="44"/>
  <c r="H24" i="44"/>
  <c r="H21" i="44"/>
  <c r="H22" i="44"/>
  <c r="H34" i="44"/>
  <c r="H29" i="44"/>
  <c r="H32" i="44"/>
  <c r="H28" i="44"/>
  <c r="H36" i="44"/>
  <c r="H38" i="44"/>
  <c r="H31" i="44"/>
  <c r="H20" i="44"/>
  <c r="H35" i="44"/>
  <c r="H39" i="44"/>
  <c r="H37" i="44"/>
  <c r="H41" i="44"/>
  <c r="G26" i="44"/>
  <c r="G27" i="44"/>
  <c r="G33" i="44"/>
  <c r="G23" i="44"/>
  <c r="G30" i="44"/>
  <c r="G25" i="44"/>
  <c r="G24" i="44"/>
  <c r="G21" i="44"/>
  <c r="G22" i="44"/>
  <c r="G34" i="44"/>
  <c r="G29" i="44"/>
  <c r="G32" i="44"/>
  <c r="G28" i="44"/>
  <c r="G36" i="44"/>
  <c r="G38" i="44"/>
  <c r="G31" i="44"/>
  <c r="G20" i="44"/>
  <c r="G35" i="44"/>
  <c r="G39" i="44"/>
  <c r="G37" i="44"/>
  <c r="G41" i="44"/>
  <c r="J26" i="45"/>
  <c r="J28" i="45"/>
  <c r="J33" i="45"/>
  <c r="J24" i="45"/>
  <c r="J25" i="45"/>
  <c r="J30" i="45"/>
  <c r="J23" i="45"/>
  <c r="J21" i="45"/>
  <c r="J22" i="45"/>
  <c r="J34" i="45"/>
  <c r="J32" i="45"/>
  <c r="J29" i="45"/>
  <c r="J27" i="45"/>
  <c r="J36" i="45"/>
  <c r="J38" i="45"/>
  <c r="J31" i="45"/>
  <c r="J20" i="45"/>
  <c r="J35" i="45"/>
  <c r="J39" i="45"/>
  <c r="J37" i="45"/>
  <c r="J41" i="45"/>
  <c r="I26" i="45"/>
  <c r="I28" i="45"/>
  <c r="I33" i="45"/>
  <c r="I24" i="45"/>
  <c r="I25" i="45"/>
  <c r="I30" i="45"/>
  <c r="I23" i="45"/>
  <c r="I21" i="45"/>
  <c r="I22" i="45"/>
  <c r="I34" i="45"/>
  <c r="I32" i="45"/>
  <c r="I29" i="45"/>
  <c r="I27" i="45"/>
  <c r="I36" i="45"/>
  <c r="I38" i="45"/>
  <c r="I31" i="45"/>
  <c r="I20" i="45"/>
  <c r="I35" i="45"/>
  <c r="I39" i="45"/>
  <c r="I37" i="45"/>
  <c r="I41" i="45"/>
  <c r="H26" i="45"/>
  <c r="H28" i="45"/>
  <c r="H33" i="45"/>
  <c r="H24" i="45"/>
  <c r="H25" i="45"/>
  <c r="H30" i="45"/>
  <c r="H23" i="45"/>
  <c r="H21" i="45"/>
  <c r="H22" i="45"/>
  <c r="H34" i="45"/>
  <c r="H32" i="45"/>
  <c r="H29" i="45"/>
  <c r="H27" i="45"/>
  <c r="H36" i="45"/>
  <c r="H38" i="45"/>
  <c r="H31" i="45"/>
  <c r="H20" i="45"/>
  <c r="H35" i="45"/>
  <c r="H39" i="45"/>
  <c r="H37" i="45"/>
  <c r="H41" i="45"/>
  <c r="G26" i="45"/>
  <c r="G28" i="45"/>
  <c r="G33" i="45"/>
  <c r="G24" i="45"/>
  <c r="G25" i="45"/>
  <c r="G30" i="45"/>
  <c r="G23" i="45"/>
  <c r="G21" i="45"/>
  <c r="G22" i="45"/>
  <c r="G34" i="45"/>
  <c r="G32" i="45"/>
  <c r="G29" i="45"/>
  <c r="G27" i="45"/>
  <c r="G36" i="45"/>
  <c r="G38" i="45"/>
  <c r="G31" i="45"/>
  <c r="G20" i="45"/>
  <c r="G35" i="45"/>
  <c r="G39" i="45"/>
  <c r="G37" i="45"/>
  <c r="G41" i="45"/>
  <c r="K41" i="45"/>
  <c r="K37" i="45"/>
  <c r="K39" i="45"/>
  <c r="K35" i="45"/>
  <c r="K20" i="45"/>
  <c r="K31" i="45"/>
  <c r="K38" i="45"/>
  <c r="K36" i="45"/>
  <c r="K27" i="45"/>
  <c r="K29" i="45"/>
  <c r="K32" i="45"/>
  <c r="K34" i="45"/>
  <c r="K22" i="45"/>
  <c r="K21" i="45"/>
  <c r="K23" i="45"/>
  <c r="K30" i="45"/>
  <c r="K25" i="45"/>
  <c r="K24" i="45"/>
  <c r="K41" i="44"/>
  <c r="K37" i="44"/>
  <c r="K39" i="44"/>
  <c r="K35" i="44"/>
  <c r="K20" i="44"/>
  <c r="K31" i="44"/>
  <c r="K38" i="44"/>
  <c r="K36" i="44"/>
  <c r="K28" i="44"/>
  <c r="K32" i="44"/>
  <c r="K29" i="44"/>
  <c r="K34" i="44"/>
  <c r="K22" i="44"/>
  <c r="K21" i="44"/>
  <c r="K24" i="44"/>
  <c r="K25" i="44"/>
  <c r="K30" i="44"/>
  <c r="K23" i="44"/>
  <c r="K33" i="44"/>
  <c r="K27" i="44"/>
  <c r="K26" i="44"/>
  <c r="K26" i="45"/>
  <c r="K28" i="45"/>
  <c r="K33" i="45"/>
  <c r="N5" i="47" l="1"/>
  <c r="O5" i="47"/>
  <c r="P5" i="47"/>
  <c r="Q5" i="47"/>
  <c r="R5" i="47"/>
  <c r="L36" i="45" l="1"/>
  <c r="L36" i="44"/>
  <c r="N36" i="44" s="1"/>
  <c r="N36" i="45"/>
  <c r="L38" i="45"/>
  <c r="N38" i="45" s="1"/>
  <c r="L38" i="44"/>
  <c r="N38" i="44" s="1"/>
  <c r="L39" i="44" l="1"/>
  <c r="L39" i="45"/>
  <c r="N39" i="45" s="1"/>
  <c r="N39" i="44"/>
  <c r="K7" i="44"/>
  <c r="K8" i="44"/>
  <c r="K3" i="44"/>
  <c r="K11" i="44"/>
  <c r="K13" i="44"/>
  <c r="K12" i="44"/>
  <c r="K10" i="44"/>
  <c r="K9" i="44"/>
  <c r="K14" i="44"/>
  <c r="K4" i="44"/>
  <c r="K5" i="44"/>
  <c r="K6" i="44"/>
  <c r="J7" i="44"/>
  <c r="J8" i="44"/>
  <c r="J3" i="44"/>
  <c r="J11" i="44"/>
  <c r="J13" i="44"/>
  <c r="J12" i="44"/>
  <c r="J10" i="44"/>
  <c r="J9" i="44"/>
  <c r="J14" i="44"/>
  <c r="J4" i="44"/>
  <c r="J5" i="44"/>
  <c r="J6" i="44"/>
  <c r="I7" i="44"/>
  <c r="I8" i="44"/>
  <c r="I3" i="44"/>
  <c r="I11" i="44"/>
  <c r="I13" i="44"/>
  <c r="I12" i="44"/>
  <c r="I10" i="44"/>
  <c r="I9" i="44"/>
  <c r="I14" i="44"/>
  <c r="I4" i="44"/>
  <c r="I5" i="44"/>
  <c r="I6" i="44"/>
  <c r="H7" i="44"/>
  <c r="H8" i="44"/>
  <c r="H3" i="44"/>
  <c r="H11" i="44"/>
  <c r="H13" i="44"/>
  <c r="H12" i="44"/>
  <c r="H10" i="44"/>
  <c r="H9" i="44"/>
  <c r="H14" i="44"/>
  <c r="H4" i="44"/>
  <c r="H5" i="44"/>
  <c r="H6" i="44"/>
  <c r="G6" i="44"/>
  <c r="G5" i="44"/>
  <c r="G4" i="44"/>
  <c r="G14" i="44"/>
  <c r="G9" i="44"/>
  <c r="G10" i="44"/>
  <c r="G12" i="44"/>
  <c r="G13" i="44"/>
  <c r="G11" i="44"/>
  <c r="G3" i="44"/>
  <c r="G8" i="44"/>
  <c r="G7" i="44"/>
  <c r="K7" i="45"/>
  <c r="K8" i="45"/>
  <c r="K11" i="45"/>
  <c r="K3" i="45"/>
  <c r="K13" i="45"/>
  <c r="K12" i="45"/>
  <c r="K14" i="45"/>
  <c r="K9" i="45"/>
  <c r="K10" i="45"/>
  <c r="K4" i="45"/>
  <c r="K5" i="45"/>
  <c r="K6" i="45"/>
  <c r="J7" i="45"/>
  <c r="J8" i="45"/>
  <c r="J11" i="45"/>
  <c r="J3" i="45"/>
  <c r="J13" i="45"/>
  <c r="J12" i="45"/>
  <c r="J14" i="45"/>
  <c r="J9" i="45"/>
  <c r="J10" i="45"/>
  <c r="J4" i="45"/>
  <c r="J5" i="45"/>
  <c r="J6" i="45"/>
  <c r="I7" i="45"/>
  <c r="I8" i="45"/>
  <c r="I11" i="45"/>
  <c r="I3" i="45"/>
  <c r="I13" i="45"/>
  <c r="I12" i="45"/>
  <c r="I14" i="45"/>
  <c r="I9" i="45"/>
  <c r="I10" i="45"/>
  <c r="I4" i="45"/>
  <c r="I5" i="45"/>
  <c r="I6" i="45"/>
  <c r="H8" i="45"/>
  <c r="H11" i="45"/>
  <c r="H3" i="45"/>
  <c r="H13" i="45"/>
  <c r="H12" i="45"/>
  <c r="H14" i="45"/>
  <c r="H9" i="45"/>
  <c r="H10" i="45"/>
  <c r="H4" i="45"/>
  <c r="H5" i="45"/>
  <c r="H6" i="45"/>
  <c r="H7" i="45"/>
  <c r="G7" i="45"/>
  <c r="G8" i="45"/>
  <c r="G11" i="45"/>
  <c r="G3" i="45"/>
  <c r="G13" i="45"/>
  <c r="G12" i="45"/>
  <c r="G14" i="45"/>
  <c r="G9" i="45"/>
  <c r="G10" i="45"/>
  <c r="G4" i="45"/>
  <c r="G5" i="45"/>
  <c r="G6" i="45"/>
  <c r="N2" i="47" l="1"/>
  <c r="N3" i="47"/>
  <c r="O4" i="47"/>
  <c r="P2" i="47"/>
  <c r="P3" i="47"/>
  <c r="Q2" i="47"/>
  <c r="Q3" i="47"/>
  <c r="R2" i="47"/>
  <c r="R3" i="47"/>
  <c r="N4" i="47"/>
  <c r="O3" i="47"/>
  <c r="O2" i="47"/>
  <c r="P4" i="47"/>
  <c r="Q4" i="47"/>
  <c r="R4" i="47"/>
  <c r="N6" i="47" l="1"/>
  <c r="O6" i="47"/>
  <c r="R6" i="47"/>
  <c r="Q6" i="47"/>
  <c r="P6" i="47"/>
  <c r="M15" i="45"/>
  <c r="M42" i="45" l="1"/>
  <c r="K42" i="45" l="1"/>
  <c r="K15" i="45"/>
  <c r="L29" i="44"/>
  <c r="N29" i="44" s="1"/>
  <c r="L29" i="45" l="1"/>
  <c r="N29" i="45" s="1"/>
  <c r="L26" i="44"/>
  <c r="N26" i="44" s="1"/>
  <c r="L27" i="45"/>
  <c r="N27" i="45" s="1"/>
  <c r="L14" i="44"/>
  <c r="N14" i="44" s="1"/>
  <c r="L24" i="44"/>
  <c r="N24" i="44" s="1"/>
  <c r="L9" i="45"/>
  <c r="N9" i="45" s="1"/>
  <c r="L25" i="45"/>
  <c r="N25" i="45" s="1"/>
  <c r="L34" i="44"/>
  <c r="N34" i="44" s="1"/>
  <c r="G15" i="45"/>
  <c r="L7" i="45"/>
  <c r="N7" i="45" s="1"/>
  <c r="H15" i="45"/>
  <c r="L28" i="44"/>
  <c r="N28" i="44" s="1"/>
  <c r="L5" i="45"/>
  <c r="N5" i="45" s="1"/>
  <c r="L3" i="45"/>
  <c r="N3" i="45" s="1"/>
  <c r="L21" i="45"/>
  <c r="N21" i="45" s="1"/>
  <c r="H42" i="45"/>
  <c r="G42" i="45"/>
  <c r="L14" i="45"/>
  <c r="N14" i="45" s="1"/>
  <c r="L6" i="45" l="1"/>
  <c r="N6" i="45" s="1"/>
  <c r="L10" i="45"/>
  <c r="N10" i="45" s="1"/>
  <c r="L41" i="45"/>
  <c r="N41" i="45" s="1"/>
  <c r="L26" i="45"/>
  <c r="N26" i="45" s="1"/>
  <c r="L4" i="45"/>
  <c r="N4" i="45" s="1"/>
  <c r="L23" i="45"/>
  <c r="N23" i="45" s="1"/>
  <c r="L35" i="45"/>
  <c r="N35" i="45" s="1"/>
  <c r="L11" i="45"/>
  <c r="N11" i="45" s="1"/>
  <c r="L22" i="45"/>
  <c r="N22" i="45" s="1"/>
  <c r="L33" i="45"/>
  <c r="N33" i="45" s="1"/>
  <c r="L37" i="45"/>
  <c r="N37" i="45" s="1"/>
  <c r="L8" i="45"/>
  <c r="N8" i="45" s="1"/>
  <c r="L28" i="45"/>
  <c r="N28" i="45" s="1"/>
  <c r="L20" i="45"/>
  <c r="N20" i="45" s="1"/>
  <c r="L32" i="45"/>
  <c r="N32" i="45" s="1"/>
  <c r="L20" i="44"/>
  <c r="N20" i="44" s="1"/>
  <c r="L34" i="45"/>
  <c r="N34" i="45" s="1"/>
  <c r="L31" i="45"/>
  <c r="N31" i="45" s="1"/>
  <c r="J15" i="45"/>
  <c r="L13" i="45"/>
  <c r="N13" i="45" s="1"/>
  <c r="I42" i="45"/>
  <c r="L24" i="45"/>
  <c r="N24" i="45" s="1"/>
  <c r="I15" i="45"/>
  <c r="L12" i="45"/>
  <c r="N12" i="45" l="1"/>
  <c r="O11" i="45" s="1"/>
  <c r="L15" i="45"/>
  <c r="N15" i="45" s="1"/>
  <c r="O12" i="45" l="1"/>
  <c r="O10" i="45"/>
  <c r="O14" i="45"/>
  <c r="O13" i="45"/>
  <c r="O4" i="45"/>
  <c r="O6" i="45"/>
  <c r="O3" i="45"/>
  <c r="O9" i="45"/>
  <c r="O8" i="45"/>
  <c r="O7" i="45"/>
  <c r="O5" i="45"/>
  <c r="M42" i="44" l="1"/>
  <c r="M15" i="44"/>
  <c r="L37" i="44" l="1"/>
  <c r="N37" i="44" l="1"/>
  <c r="L13" i="44" l="1"/>
  <c r="N13" i="44" s="1"/>
  <c r="L8" i="44"/>
  <c r="N8" i="44" s="1"/>
  <c r="L6" i="44"/>
  <c r="N6" i="44" s="1"/>
  <c r="L7" i="44"/>
  <c r="N7" i="44" s="1"/>
  <c r="L9" i="44"/>
  <c r="L3" i="44"/>
  <c r="N3" i="44" s="1"/>
  <c r="L11" i="44"/>
  <c r="N11" i="44" s="1"/>
  <c r="L5" i="44"/>
  <c r="N5" i="44" s="1"/>
  <c r="L4" i="44"/>
  <c r="N4" i="44" s="1"/>
  <c r="L12" i="44"/>
  <c r="N12" i="44" s="1"/>
  <c r="L10" i="44"/>
  <c r="N10" i="44" s="1"/>
  <c r="L27" i="44"/>
  <c r="N27" i="44" s="1"/>
  <c r="H15" i="44"/>
  <c r="L41" i="44"/>
  <c r="N41" i="44" s="1"/>
  <c r="G15" i="44"/>
  <c r="I15" i="44"/>
  <c r="K15" i="44"/>
  <c r="L31" i="44"/>
  <c r="N31" i="44" s="1"/>
  <c r="L35" i="44"/>
  <c r="N35" i="44" s="1"/>
  <c r="L30" i="44"/>
  <c r="N30" i="44" s="1"/>
  <c r="J15" i="44"/>
  <c r="L33" i="44"/>
  <c r="N33" i="44" s="1"/>
  <c r="L21" i="44" l="1"/>
  <c r="N21" i="44" s="1"/>
  <c r="L22" i="44"/>
  <c r="N22" i="44" s="1"/>
  <c r="L25" i="44"/>
  <c r="N25" i="44" s="1"/>
  <c r="L32" i="44"/>
  <c r="N32" i="44" s="1"/>
  <c r="H42" i="44"/>
  <c r="K42" i="44"/>
  <c r="I42" i="44"/>
  <c r="G42" i="44"/>
  <c r="L15" i="44"/>
  <c r="N15" i="44" s="1"/>
  <c r="N9" i="44"/>
  <c r="O14" i="44" s="1"/>
  <c r="O4" i="44" l="1"/>
  <c r="O9" i="44"/>
  <c r="O5" i="44"/>
  <c r="O8" i="44"/>
  <c r="O11" i="44"/>
  <c r="O7" i="44"/>
  <c r="O10" i="44"/>
  <c r="O12" i="44"/>
  <c r="O6" i="44"/>
  <c r="O13" i="44"/>
  <c r="O3" i="44"/>
  <c r="L30" i="45" l="1"/>
  <c r="J42" i="45"/>
  <c r="L23" i="44"/>
  <c r="N23" i="44" s="1"/>
  <c r="O40" i="44" s="1"/>
  <c r="J42" i="44"/>
  <c r="O38" i="44" l="1"/>
  <c r="O36" i="44"/>
  <c r="O29" i="44"/>
  <c r="O39" i="44"/>
  <c r="O20" i="44"/>
  <c r="O34" i="44"/>
  <c r="O26" i="44"/>
  <c r="O24" i="44"/>
  <c r="N30" i="45"/>
  <c r="O40" i="45" s="1"/>
  <c r="L42" i="45"/>
  <c r="N42" i="45" s="1"/>
  <c r="L42" i="44"/>
  <c r="N42" i="44" s="1"/>
  <c r="O28" i="44"/>
  <c r="O21" i="44"/>
  <c r="O33" i="44"/>
  <c r="O22" i="44"/>
  <c r="O25" i="44"/>
  <c r="O23" i="44"/>
  <c r="O30" i="44"/>
  <c r="O41" i="44"/>
  <c r="O27" i="44"/>
  <c r="O35" i="44"/>
  <c r="O37" i="44"/>
  <c r="O32" i="44"/>
  <c r="O31" i="44"/>
  <c r="O36" i="45" l="1"/>
  <c r="O39" i="45"/>
  <c r="O38" i="45"/>
  <c r="O34" i="45"/>
  <c r="O29" i="45"/>
  <c r="O31" i="45"/>
  <c r="O20" i="45"/>
  <c r="O33" i="45"/>
  <c r="O41" i="45"/>
  <c r="O30" i="45"/>
  <c r="O21" i="45"/>
  <c r="O25" i="45"/>
  <c r="O22" i="45"/>
  <c r="O27" i="45"/>
  <c r="O28" i="45"/>
  <c r="O35" i="45"/>
  <c r="O23" i="45"/>
  <c r="O37" i="45"/>
  <c r="O32" i="45"/>
  <c r="O24" i="45"/>
  <c r="O26" i="4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341F90-5CCF-4252-ADB4-6E702110C81E}" keepAlive="1" name="Query - Brand List" description="Connection to the 'Brand List' query in the workbook." type="5" refreshedVersion="0" background="1">
    <dbPr connection="Provider=Microsoft.Mashup.OleDb.1;Data Source=$Workbook$;Location=&quot;Brand List&quot;;Extended Properties=&quot;&quot;" command="SELECT * FROM [Brand List]"/>
  </connection>
  <connection id="2" xr16:uid="{E72E66E5-08DF-49F4-899A-609DA3BCEA82}" keepAlive="1" name="Query - Secondary Sales Data" description="Connection to the 'Secondary Sales Data' query in the workbook." type="5" refreshedVersion="6" background="1" saveData="1">
    <dbPr connection="Provider=Microsoft.Mashup.OleDb.1;Data Source=$Workbook$;Location=Secondary Sales Data;Extended Properties=&quot;&quot;" command="SELECT * FROM [Secondary Sales Data]"/>
  </connection>
</connections>
</file>

<file path=xl/sharedStrings.xml><?xml version="1.0" encoding="utf-8"?>
<sst xmlns="http://schemas.openxmlformats.org/spreadsheetml/2006/main" count="787" uniqueCount="125">
  <si>
    <t>Region</t>
  </si>
  <si>
    <t>Territory</t>
  </si>
  <si>
    <t>ONITSHA</t>
  </si>
  <si>
    <t>PORT-HARCOURT</t>
  </si>
  <si>
    <t>LAGOS</t>
  </si>
  <si>
    <t>TRADE FAIR</t>
  </si>
  <si>
    <t>NORTH</t>
  </si>
  <si>
    <t>ABUJA</t>
  </si>
  <si>
    <t>IBADAN</t>
  </si>
  <si>
    <t>ABA</t>
  </si>
  <si>
    <t>Name</t>
  </si>
  <si>
    <t>Total</t>
  </si>
  <si>
    <t>OWERRI</t>
  </si>
  <si>
    <t>Week 1</t>
  </si>
  <si>
    <t>Week 2</t>
  </si>
  <si>
    <t>Week 3</t>
  </si>
  <si>
    <t>Week 4</t>
  </si>
  <si>
    <t>Week 5</t>
  </si>
  <si>
    <t>BENIN</t>
  </si>
  <si>
    <t>ENUGU</t>
  </si>
  <si>
    <t>UYO</t>
  </si>
  <si>
    <t>VSR</t>
  </si>
  <si>
    <t>Channel</t>
  </si>
  <si>
    <t>SOUTH</t>
  </si>
  <si>
    <t>CHINEDU NZEMEKE</t>
  </si>
  <si>
    <t xml:space="preserve">Mbuk Udeme  Enobong        </t>
  </si>
  <si>
    <t>JOEFUS GLOBAL</t>
  </si>
  <si>
    <t>COLLINS ANUMENECHI</t>
  </si>
  <si>
    <t xml:space="preserve">Glory Ugboaja    </t>
  </si>
  <si>
    <t xml:space="preserve">Chidinma Sunday Happiness </t>
  </si>
  <si>
    <t>EZEOHA ERONDU</t>
  </si>
  <si>
    <t>OPEN MARKET</t>
  </si>
  <si>
    <t>HENRY OBARISIAGBON</t>
  </si>
  <si>
    <t>IKENNA UMEH</t>
  </si>
  <si>
    <t xml:space="preserve">NEKKYSMIDI </t>
  </si>
  <si>
    <t>Manager</t>
  </si>
  <si>
    <t>Account Name</t>
  </si>
  <si>
    <t>OKE ARIN</t>
  </si>
  <si>
    <t xml:space="preserve">Anikwata Juliet Chidinma   </t>
  </si>
  <si>
    <t>GARKI MARKET</t>
  </si>
  <si>
    <t xml:space="preserve">Victoria Ejeh   </t>
  </si>
  <si>
    <t xml:space="preserve">Ibrahim Bolanle       </t>
  </si>
  <si>
    <t>MICHEAL OKERERE</t>
  </si>
  <si>
    <t xml:space="preserve">OPEN MARKET </t>
  </si>
  <si>
    <t xml:space="preserve">Ilum Onyiyechi Nancy     </t>
  </si>
  <si>
    <t>TAIYE IKUOPONIYI</t>
  </si>
  <si>
    <t>ANBSOLITE</t>
  </si>
  <si>
    <t>Oyelami Amos Sunday</t>
  </si>
  <si>
    <t>Ibiam Emmanuel Nkama</t>
  </si>
  <si>
    <t>Obiakor Calister Ifunaya</t>
  </si>
  <si>
    <t>BENZOLIN VENTURES</t>
  </si>
  <si>
    <t>Azebeokhai Samad</t>
  </si>
  <si>
    <t>Nonso Obalum</t>
  </si>
  <si>
    <t>NORTEX</t>
  </si>
  <si>
    <t>IYKLEE VENTURES</t>
  </si>
  <si>
    <t>Akpan Raphael</t>
  </si>
  <si>
    <t>MAINLAND 3</t>
  </si>
  <si>
    <t>MTH TGT</t>
  </si>
  <si>
    <t>% Achieved</t>
  </si>
  <si>
    <t>Rank</t>
  </si>
  <si>
    <t>OPEN MARKET SALES REPS</t>
  </si>
  <si>
    <t>VAN SALES REPS</t>
  </si>
  <si>
    <t>Nwinee Kaborloobari Constance</t>
  </si>
  <si>
    <t>Marbus Okpebho</t>
  </si>
  <si>
    <t>UZEMS</t>
  </si>
  <si>
    <t>Agbjeogu  Chibueze</t>
  </si>
  <si>
    <t>NZEMEKE SAMSON</t>
  </si>
  <si>
    <t>VICTOR DIKE</t>
  </si>
  <si>
    <t>KADUNA</t>
  </si>
  <si>
    <t>TIMOTHY DOMINIC</t>
  </si>
  <si>
    <t>Cases TGT</t>
  </si>
  <si>
    <t>Value TGT</t>
  </si>
  <si>
    <t>% Achivd</t>
  </si>
  <si>
    <t>Total cases</t>
  </si>
  <si>
    <t>Oluchi</t>
  </si>
  <si>
    <t>Ralph Anango</t>
  </si>
  <si>
    <t>IK FEDERAL</t>
  </si>
  <si>
    <t>REAL  CHYNOB</t>
  </si>
  <si>
    <t>Ernest John</t>
  </si>
  <si>
    <t>Atulobi Eberechi</t>
  </si>
  <si>
    <t>Awka</t>
  </si>
  <si>
    <t>AWKA</t>
  </si>
  <si>
    <t>JOHNBOSCO NWOKORO</t>
  </si>
  <si>
    <t>Nelson Kelvin Chibueze</t>
  </si>
  <si>
    <t>Oni Muyiwa</t>
  </si>
  <si>
    <t>Animasaun Jamiu Babatunde</t>
  </si>
  <si>
    <t>VALENTINE EDOSOMAH</t>
  </si>
  <si>
    <t>NNANNA &amp; SONS</t>
  </si>
  <si>
    <t>Precious</t>
  </si>
  <si>
    <t>ANDY-YUWA/BENGOLD</t>
  </si>
  <si>
    <t>IKECHUKWU OFFIA</t>
  </si>
  <si>
    <t>EKITI</t>
  </si>
  <si>
    <t>LOKOJA</t>
  </si>
  <si>
    <t>OPEN MARKET/UZEMS</t>
  </si>
  <si>
    <t>OPEN MARKET/EBONY HARDEN</t>
  </si>
  <si>
    <t>OPEN MARKET/CASONI</t>
  </si>
  <si>
    <t>AUCHI/EKPOMAH</t>
  </si>
  <si>
    <t xml:space="preserve">Ayogu Sopuluchukwu Chriatiana    </t>
  </si>
  <si>
    <t>Row Labels</t>
  </si>
  <si>
    <t>Sum of QTY</t>
  </si>
  <si>
    <t>Column Labels</t>
  </si>
  <si>
    <t>Sum of Value</t>
  </si>
  <si>
    <t>Iyamah Inusa Jubril</t>
  </si>
  <si>
    <t>Atabor Elijah</t>
  </si>
  <si>
    <t>Jeremiah Joseph</t>
  </si>
  <si>
    <t>HORECA</t>
  </si>
  <si>
    <t>MAINLAND</t>
  </si>
  <si>
    <t>Ifeoma Cynthia Okorowu</t>
  </si>
  <si>
    <t>DAVIDSON CHIMEZIE</t>
  </si>
  <si>
    <t>ISLAND</t>
  </si>
  <si>
    <t>Grace Jessica Umetiti</t>
  </si>
  <si>
    <t>SALES EXECUTIVE</t>
  </si>
  <si>
    <t>KEY ACCOUNT</t>
  </si>
  <si>
    <t>Omeji Muhammed</t>
  </si>
  <si>
    <t>Column1</t>
  </si>
  <si>
    <t xml:space="preserve">Vacancy </t>
  </si>
  <si>
    <t>Vacancy.</t>
  </si>
  <si>
    <t>ADEWALE SAMUEL</t>
  </si>
  <si>
    <t>RAHIMAT ABDULKAREEM</t>
  </si>
  <si>
    <t>ESTHER BASIL</t>
  </si>
  <si>
    <t>Victor Ogedengbe</t>
  </si>
  <si>
    <t>Cases</t>
  </si>
  <si>
    <t>Amount</t>
  </si>
  <si>
    <t>Idowu Gbenga</t>
  </si>
  <si>
    <t>Ukoha Kalu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</si>
</sst>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_(* #,##0_);_(* \(#,##0\);_(* &quot;-&quot;??_);_(@_)"/>
    <numFmt numFmtId="166" formatCode="0.0%"/>
    <numFmt numFmtId="167" formatCode="_(* #,##0.00_);_(* \(#,##0.00\);_(* \-??_);_(@_)"/>
  </numFmts>
  <fonts count="38" x14ac:knownFonts="1">
    <font>
      <sz val="11"/>
      <color theme="1"/>
      <name val="Calibri"/>
      <family val="2"/>
      <scheme val="minor"/>
    </font>
    <font>
      <sz val="11"/>
      <color theme="1"/>
      <name val="Calibri"/>
      <family val="2"/>
      <scheme val="minor"/>
    </font>
    <font>
      <b/>
      <sz val="9"/>
      <color theme="0"/>
      <name val="Calibri"/>
      <family val="2"/>
      <scheme val="minor"/>
    </font>
    <font>
      <sz val="8"/>
      <color theme="3" tint="-0.499984740745262"/>
      <name val="Calibri"/>
      <family val="2"/>
      <scheme val="minor"/>
    </font>
    <font>
      <b/>
      <sz val="8"/>
      <color theme="3" tint="-0.499984740745262"/>
      <name val="Calibri"/>
      <family val="2"/>
      <scheme val="minor"/>
    </font>
    <font>
      <b/>
      <sz val="11"/>
      <color theme="1"/>
      <name val="Calibri"/>
      <family val="2"/>
      <scheme val="minor"/>
    </font>
    <font>
      <sz val="8"/>
      <color theme="1"/>
      <name val="Calibri"/>
      <family val="2"/>
      <scheme val="minor"/>
    </font>
    <font>
      <sz val="8"/>
      <name val="Arial"/>
      <family val="2"/>
    </font>
    <font>
      <sz val="11"/>
      <name val="Calibri"/>
      <family val="2"/>
    </font>
    <font>
      <sz val="11"/>
      <color rgb="FF000000"/>
      <name val="Calibri"/>
      <family val="2"/>
    </font>
    <font>
      <sz val="11"/>
      <name val="Calibri"/>
      <family val="2"/>
    </font>
    <font>
      <sz val="11"/>
      <color rgb="FF000000"/>
      <name val="Calibri"/>
      <family val="2"/>
    </font>
    <font>
      <sz val="8"/>
      <name val="Calibri"/>
      <family val="2"/>
    </font>
    <font>
      <sz val="11"/>
      <color rgb="FF000000"/>
      <name val="Arial"/>
      <family val="2"/>
    </font>
    <font>
      <sz val="10"/>
      <color theme="1" tint="0.24994659260841701"/>
      <name val="Calibri"/>
      <family val="2"/>
      <scheme val="minor"/>
    </font>
    <font>
      <sz val="11"/>
      <color rgb="FF000000"/>
      <name val="Arial"/>
      <family val="2"/>
    </font>
    <font>
      <sz val="11"/>
      <color rgb="FF000000"/>
      <name val="Arial"/>
      <family val="2"/>
    </font>
    <font>
      <sz val="10"/>
      <color theme="1"/>
      <name val="Calibri"/>
      <family val="2"/>
      <scheme val="minor"/>
    </font>
    <font>
      <b/>
      <sz val="11"/>
      <color theme="0"/>
      <name val="Calibri"/>
      <family val="2"/>
      <scheme val="minor"/>
    </font>
    <font>
      <sz val="10"/>
      <color theme="1"/>
      <name val="Trebuchet MS"/>
      <family val="2"/>
    </font>
    <font>
      <b/>
      <sz val="16"/>
      <color theme="1"/>
      <name val="Calibri"/>
      <family val="2"/>
      <scheme val="minor"/>
    </font>
    <font>
      <b/>
      <sz val="11"/>
      <name val="Calibri"/>
      <family val="2"/>
      <scheme val="minor"/>
    </font>
    <font>
      <b/>
      <sz val="8"/>
      <name val="Calibri"/>
      <family val="2"/>
      <scheme val="minor"/>
    </font>
    <font>
      <sz val="11"/>
      <name val="Calibri"/>
      <family val="2"/>
      <scheme val="minor"/>
    </font>
    <font>
      <sz val="11"/>
      <color rgb="FF000000"/>
      <name val="Arial"/>
      <family val="2"/>
    </font>
    <font>
      <sz val="11"/>
      <color rgb="FF000000"/>
      <name val="Calibri"/>
      <family val="2"/>
      <charset val="1"/>
    </font>
    <font>
      <sz val="10"/>
      <color theme="1" tint="0.24994659260841701"/>
      <name val="Calibri"/>
      <family val="2"/>
      <scheme val="minor"/>
    </font>
    <font>
      <sz val="10"/>
      <color theme="1" tint="0.24994659260841701"/>
      <name val="Calibri"/>
      <family val="2"/>
      <scheme val="minor"/>
    </font>
    <font>
      <sz val="11"/>
      <color theme="1"/>
      <name val="Calibri"/>
      <family val="2"/>
      <scheme val="minor"/>
    </font>
    <font>
      <sz val="11"/>
      <color rgb="FF000000"/>
      <name val="Calibri"/>
      <family val="2"/>
    </font>
    <font>
      <sz val="11"/>
      <color theme="1"/>
      <name val="Calibri"/>
      <family val="2"/>
      <scheme val="minor"/>
    </font>
    <font>
      <sz val="11"/>
      <color rgb="FF000000"/>
      <name val="Calibri"/>
      <family val="2"/>
    </font>
    <font>
      <sz val="8"/>
      <name val="Calibri"/>
      <family val="2"/>
    </font>
    <font>
      <sz val="8"/>
      <color theme="3" tint="-0.499984740745262"/>
      <name val="Calibri"/>
      <family val="2"/>
      <scheme val="minor"/>
    </font>
    <font>
      <sz val="11"/>
      <color theme="1"/>
      <name val="Calibri"/>
      <family val="2"/>
      <scheme val="minor"/>
    </font>
    <font>
      <sz val="11"/>
      <color theme="1"/>
      <name val="Calibri"/>
      <family val="2"/>
      <scheme val="minor"/>
    </font>
    <font>
      <sz val="10"/>
      <color theme="1" tint="0.24994659260841701"/>
      <name val="Calibri"/>
      <family val="2"/>
      <scheme val="minor"/>
    </font>
    <font>
      <sz val="11"/>
      <color rgb="FF000000"/>
      <name val="Calibri"/>
      <family val="2"/>
    </font>
  </fonts>
  <fills count="6">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indexed="49"/>
      </patternFill>
    </fill>
  </fills>
  <borders count="24">
    <border>
      <left/>
      <right/>
      <top/>
      <bottom/>
      <diagonal/>
    </border>
    <border>
      <left style="medium">
        <color theme="4" tint="-0.24994659260841701"/>
      </left>
      <right style="medium">
        <color theme="4" tint="-0.24994659260841701"/>
      </right>
      <top/>
      <bottom style="thin">
        <color theme="4" tint="0.39994506668294322"/>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
      <left style="medium">
        <color theme="4" tint="-0.499984740745262"/>
      </left>
      <right style="medium">
        <color theme="4" tint="-0.499984740745262"/>
      </right>
      <top style="medium">
        <color theme="4" tint="-0.499984740745262"/>
      </top>
      <bottom/>
      <diagonal/>
    </border>
    <border>
      <left style="thin">
        <color indexed="18"/>
      </left>
      <right style="thin">
        <color indexed="18"/>
      </right>
      <top style="thin">
        <color indexed="18"/>
      </top>
      <bottom style="thin">
        <color indexed="18"/>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theme="4" tint="-0.499984740745262"/>
      </left>
      <right style="medium">
        <color theme="4" tint="-0.499984740745262"/>
      </right>
      <top style="medium">
        <color theme="4" tint="-0.499984740745262"/>
      </top>
      <bottom style="thin">
        <color theme="4" tint="0.39997558519241921"/>
      </bottom>
      <diagonal/>
    </border>
    <border>
      <left style="medium">
        <color theme="4" tint="-0.24994659260841701"/>
      </left>
      <right style="medium">
        <color theme="4" tint="-0.24994659260841701"/>
      </right>
      <top style="thin">
        <color theme="4" tint="0.39997558519241921"/>
      </top>
      <bottom style="thin">
        <color theme="4" tint="0.39994506668294322"/>
      </bottom>
      <diagonal/>
    </border>
    <border>
      <left style="medium">
        <color theme="4" tint="-0.24994659260841701"/>
      </left>
      <right style="medium">
        <color theme="4" tint="-0.24994659260841701"/>
      </right>
      <top/>
      <bottom/>
      <diagonal/>
    </border>
    <border>
      <left style="medium">
        <color theme="4" tint="-0.24994659260841701"/>
      </left>
      <right style="medium">
        <color theme="4" tint="-0.24994659260841701"/>
      </right>
      <top style="thin">
        <color theme="4" tint="0.39997558519241921"/>
      </top>
      <bottom style="thin">
        <color theme="4" tint="0.39997558519241921"/>
      </bottom>
      <diagonal/>
    </border>
    <border>
      <left/>
      <right/>
      <top/>
      <bottom style="medium">
        <color theme="4" tint="-0.499984740745262"/>
      </bottom>
      <diagonal/>
    </border>
    <border>
      <left style="thin">
        <color theme="0" tint="-0.24994659260841701"/>
      </left>
      <right style="thin">
        <color theme="0" tint="-0.24994659260841701"/>
      </right>
      <top style="thin">
        <color theme="0" tint="-0.24994659260841701"/>
      </top>
      <bottom/>
      <diagonal/>
    </border>
    <border>
      <left/>
      <right style="thin">
        <color theme="0" tint="-0.14996795556505021"/>
      </right>
      <top/>
      <bottom/>
      <diagonal/>
    </border>
    <border>
      <left/>
      <right style="medium">
        <color theme="4" tint="-0.24994659260841701"/>
      </right>
      <top/>
      <bottom/>
      <diagonal/>
    </border>
    <border>
      <left style="medium">
        <color theme="4" tint="-0.24994659260841701"/>
      </left>
      <right style="medium">
        <color theme="4" tint="-0.24994659260841701"/>
      </right>
      <top/>
      <bottom style="thin">
        <color theme="4" tint="0.39991454817346722"/>
      </bottom>
      <diagonal/>
    </border>
    <border>
      <left style="thin">
        <color theme="0" tint="-0.14993743705557422"/>
      </left>
      <right style="thin">
        <color theme="0" tint="-0.14993743705557422"/>
      </right>
      <top/>
      <bottom style="thin">
        <color theme="0" tint="-0.14993743705557422"/>
      </bottom>
      <diagonal/>
    </border>
    <border>
      <left style="thin">
        <color theme="0" tint="-0.24994659260841701"/>
      </left>
      <right/>
      <top style="thin">
        <color theme="0" tint="-0.24994659260841701"/>
      </top>
      <bottom style="thin">
        <color theme="0" tint="-0.24994659260841701"/>
      </bottom>
      <diagonal/>
    </border>
    <border>
      <left style="medium">
        <color theme="4" tint="-0.24994659260841701"/>
      </left>
      <right/>
      <top style="thin">
        <color theme="4" tint="0.39997558519241921"/>
      </top>
      <bottom style="thin">
        <color theme="4" tint="0.39994506668294322"/>
      </bottom>
      <diagonal/>
    </border>
    <border>
      <left/>
      <right style="medium">
        <color theme="4" tint="-0.24994659260841701"/>
      </right>
      <top style="thin">
        <color theme="4" tint="0.39997558519241921"/>
      </top>
      <bottom style="thin">
        <color theme="4" tint="0.39994506668294322"/>
      </bottom>
      <diagonal/>
    </border>
    <border>
      <left style="medium">
        <color theme="4" tint="-0.499984740745262"/>
      </left>
      <right style="medium">
        <color theme="4" tint="-0.499984740745262"/>
      </right>
      <top/>
      <bottom/>
      <diagonal/>
    </border>
    <border>
      <left style="medium">
        <color theme="4" tint="-0.499984740745262"/>
      </left>
      <right/>
      <top/>
      <bottom/>
      <diagonal/>
    </border>
    <border>
      <left style="thin">
        <color theme="0" tint="-0.14996795556505021"/>
      </left>
      <right style="thin">
        <color theme="0" tint="-0.14996795556505021"/>
      </right>
      <top/>
      <bottom/>
      <diagonal/>
    </border>
  </borders>
  <cellStyleXfs count="270">
    <xf numFmtId="0" fontId="0" fillId="0" borderId="0"/>
    <xf numFmtId="164" fontId="1" fillId="0" borderId="0" applyFont="0" applyFill="0" applyBorder="0" applyAlignment="0" applyProtection="0"/>
    <xf numFmtId="4" fontId="7" fillId="5" borderId="4" applyNumberFormat="0" applyProtection="0">
      <alignment horizontal="left" vertical="center" indent="1"/>
    </xf>
    <xf numFmtId="43" fontId="1" fillId="0" borderId="0" applyFont="0" applyFill="0" applyBorder="0" applyAlignment="0" applyProtection="0"/>
    <xf numFmtId="0" fontId="8" fillId="0" borderId="0">
      <alignment vertical="center"/>
    </xf>
    <xf numFmtId="43" fontId="9" fillId="0" borderId="0">
      <alignment vertical="top"/>
      <protection locked="0"/>
    </xf>
    <xf numFmtId="9" fontId="9" fillId="0" borderId="0">
      <alignment vertical="top"/>
      <protection locked="0"/>
    </xf>
    <xf numFmtId="43" fontId="1" fillId="0" borderId="0" applyFont="0" applyFill="0" applyBorder="0" applyAlignment="0" applyProtection="0"/>
    <xf numFmtId="43" fontId="9" fillId="0" borderId="0">
      <alignment vertical="top"/>
      <protection locked="0"/>
    </xf>
    <xf numFmtId="9" fontId="11" fillId="0" borderId="0">
      <alignment vertical="top"/>
      <protection locked="0"/>
    </xf>
    <xf numFmtId="43" fontId="1" fillId="0" borderId="0" applyFont="0" applyFill="0" applyBorder="0" applyAlignment="0" applyProtection="0"/>
    <xf numFmtId="43" fontId="9" fillId="0" borderId="0">
      <alignment vertical="top"/>
      <protection locked="0"/>
    </xf>
    <xf numFmtId="43" fontId="1" fillId="0" borderId="0" applyFont="0" applyFill="0" applyBorder="0" applyAlignment="0" applyProtection="0"/>
    <xf numFmtId="43" fontId="9" fillId="0" borderId="0">
      <alignment vertical="top"/>
      <protection locked="0"/>
    </xf>
    <xf numFmtId="0" fontId="10" fillId="0" borderId="0">
      <alignment vertical="center"/>
    </xf>
    <xf numFmtId="43" fontId="11" fillId="0" borderId="0">
      <alignment vertical="top"/>
      <protection locked="0"/>
    </xf>
    <xf numFmtId="43" fontId="11" fillId="0" borderId="0">
      <alignment vertical="top"/>
      <protection locked="0"/>
    </xf>
    <xf numFmtId="0" fontId="13" fillId="0" borderId="0"/>
    <xf numFmtId="0" fontId="14" fillId="3" borderId="0">
      <alignment vertical="center"/>
    </xf>
    <xf numFmtId="0" fontId="1" fillId="0" borderId="0"/>
    <xf numFmtId="43" fontId="1" fillId="0" borderId="0" applyFont="0" applyFill="0" applyBorder="0" applyAlignment="0" applyProtection="0"/>
    <xf numFmtId="164" fontId="14" fillId="0" borderId="0" applyFont="0" applyFill="0" applyBorder="0" applyAlignment="0" applyProtection="0"/>
    <xf numFmtId="9" fontId="14"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5" fillId="0" borderId="0"/>
    <xf numFmtId="0" fontId="16" fillId="0" borderId="0"/>
    <xf numFmtId="0" fontId="13"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4"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24"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7" fontId="25" fillId="0" borderId="0" applyBorder="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6" fillId="0" borderId="0" applyFont="0" applyFill="0" applyBorder="0" applyAlignment="0" applyProtection="0"/>
    <xf numFmtId="43" fontId="27" fillId="0" borderId="0" applyFont="0" applyFill="0" applyBorder="0" applyAlignment="0" applyProtection="0"/>
    <xf numFmtId="0" fontId="28" fillId="0" borderId="0"/>
    <xf numFmtId="0" fontId="26" fillId="3" borderId="0">
      <alignment vertical="center"/>
    </xf>
    <xf numFmtId="164" fontId="26" fillId="0" borderId="0" applyFont="0" applyFill="0" applyBorder="0" applyAlignment="0" applyProtection="0"/>
    <xf numFmtId="164" fontId="28" fillId="0" borderId="0" applyFont="0" applyFill="0" applyBorder="0" applyAlignment="0" applyProtection="0"/>
    <xf numFmtId="43" fontId="27"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7"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8"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67" fontId="29" fillId="0" borderId="0" applyBorder="0" applyProtection="0"/>
    <xf numFmtId="0" fontId="28" fillId="0" borderId="0"/>
    <xf numFmtId="164" fontId="30"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4"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0" fontId="30" fillId="0" borderId="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30"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7" fontId="31" fillId="0" borderId="0" applyBorder="0" applyProtection="0"/>
    <xf numFmtId="0" fontId="30" fillId="0" borderId="0"/>
    <xf numFmtId="0" fontId="27" fillId="3" borderId="0">
      <alignment vertical="center"/>
    </xf>
    <xf numFmtId="0" fontId="34" fillId="0" borderId="0"/>
    <xf numFmtId="43" fontId="36" fillId="0" borderId="0" applyFont="0" applyFill="0" applyBorder="0" applyAlignment="0" applyProtection="0"/>
    <xf numFmtId="43" fontId="14" fillId="0" borderId="0" applyFont="0" applyFill="0" applyBorder="0" applyAlignment="0" applyProtection="0"/>
    <xf numFmtId="164" fontId="35"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0" fontId="35" fillId="0" borderId="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7" fontId="9" fillId="0" borderId="0" applyBorder="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 fillId="0" borderId="0"/>
    <xf numFmtId="43" fontId="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 fillId="0" borderId="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164"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67" fontId="37" fillId="0" borderId="0" applyBorder="0" applyProtection="0"/>
    <xf numFmtId="0" fontId="35" fillId="0" borderId="0"/>
    <xf numFmtId="0" fontId="36" fillId="3" borderId="0">
      <alignment vertical="center"/>
    </xf>
  </cellStyleXfs>
  <cellXfs count="87">
    <xf numFmtId="0" fontId="0" fillId="0" borderId="0" xfId="0"/>
    <xf numFmtId="0" fontId="3" fillId="0" borderId="1" xfId="0" applyFont="1" applyBorder="1"/>
    <xf numFmtId="0" fontId="12" fillId="0" borderId="6" xfId="0" applyFont="1" applyBorder="1" applyAlignment="1" applyProtection="1">
      <alignment horizontal="left"/>
      <protection locked="0"/>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5" fontId="0" fillId="0" borderId="0" xfId="0" applyNumberFormat="1"/>
    <xf numFmtId="0" fontId="2" fillId="2" borderId="8" xfId="0" applyFont="1" applyFill="1" applyBorder="1" applyAlignment="1">
      <alignment horizontal="center" vertical="center"/>
    </xf>
    <xf numFmtId="0" fontId="2" fillId="2" borderId="8" xfId="0" applyFont="1" applyFill="1" applyBorder="1" applyAlignment="1">
      <alignment horizontal="center" vertical="center" wrapText="1"/>
    </xf>
    <xf numFmtId="165" fontId="4" fillId="4" borderId="10" xfId="21" applyNumberFormat="1" applyFont="1" applyFill="1" applyBorder="1" applyAlignment="1">
      <alignment horizontal="center"/>
    </xf>
    <xf numFmtId="165" fontId="4" fillId="4" borderId="11" xfId="21" applyNumberFormat="1" applyFont="1" applyFill="1" applyBorder="1" applyAlignment="1">
      <alignment horizontal="center"/>
    </xf>
    <xf numFmtId="165" fontId="0" fillId="0" borderId="7" xfId="0" applyNumberFormat="1" applyBorder="1"/>
    <xf numFmtId="0" fontId="2" fillId="2" borderId="3" xfId="0" applyFont="1" applyFill="1" applyBorder="1" applyAlignment="1">
      <alignment horizontal="left" vertical="center"/>
    </xf>
    <xf numFmtId="0" fontId="0" fillId="0" borderId="0" xfId="0" applyAlignment="1">
      <alignment horizontal="left"/>
    </xf>
    <xf numFmtId="0" fontId="2" fillId="2" borderId="8" xfId="0" applyFont="1" applyFill="1" applyBorder="1" applyAlignment="1">
      <alignment horizontal="left" vertical="center"/>
    </xf>
    <xf numFmtId="0" fontId="3" fillId="0" borderId="10" xfId="0" applyFont="1" applyBorder="1" applyAlignment="1">
      <alignment horizontal="left"/>
    </xf>
    <xf numFmtId="165" fontId="4" fillId="4" borderId="10" xfId="1" applyNumberFormat="1" applyFont="1" applyFill="1" applyBorder="1" applyAlignment="1">
      <alignment horizontal="center"/>
    </xf>
    <xf numFmtId="0" fontId="5" fillId="0" borderId="0" xfId="0" applyFont="1" applyAlignment="1">
      <alignment horizontal="left"/>
    </xf>
    <xf numFmtId="165" fontId="0" fillId="0" borderId="0" xfId="1" applyNumberFormat="1" applyFont="1" applyAlignment="1">
      <alignment horizontal="center"/>
    </xf>
    <xf numFmtId="166" fontId="4" fillId="4" borderId="10" xfId="24" applyNumberFormat="1" applyFont="1" applyFill="1" applyBorder="1" applyAlignment="1">
      <alignment horizontal="center"/>
    </xf>
    <xf numFmtId="0" fontId="3" fillId="0" borderId="0" xfId="0" applyFont="1" applyAlignment="1">
      <alignment horizontal="center"/>
    </xf>
    <xf numFmtId="0" fontId="12" fillId="0" borderId="14" xfId="0" applyFont="1" applyBorder="1" applyAlignment="1" applyProtection="1">
      <alignment horizontal="center"/>
      <protection locked="0"/>
    </xf>
    <xf numFmtId="0" fontId="3" fillId="0" borderId="15" xfId="0" applyFont="1" applyBorder="1" applyAlignment="1">
      <alignment horizontal="center"/>
    </xf>
    <xf numFmtId="0" fontId="4" fillId="0" borderId="15" xfId="0" applyFont="1" applyBorder="1" applyAlignment="1">
      <alignment horizontal="left"/>
    </xf>
    <xf numFmtId="0" fontId="3" fillId="0" borderId="15" xfId="0" applyFont="1" applyBorder="1" applyAlignment="1">
      <alignment horizontal="left"/>
    </xf>
    <xf numFmtId="166" fontId="0" fillId="0" borderId="0" xfId="24" applyNumberFormat="1" applyFont="1"/>
    <xf numFmtId="166" fontId="0" fillId="0" borderId="7" xfId="24" applyNumberFormat="1" applyFont="1" applyBorder="1"/>
    <xf numFmtId="166" fontId="4" fillId="4" borderId="11" xfId="24" applyNumberFormat="1" applyFont="1" applyFill="1" applyBorder="1" applyAlignment="1">
      <alignment horizontal="center"/>
    </xf>
    <xf numFmtId="165" fontId="22" fillId="4" borderId="11" xfId="1" applyNumberFormat="1" applyFont="1" applyFill="1" applyBorder="1" applyAlignment="1">
      <alignment horizontal="center"/>
    </xf>
    <xf numFmtId="1" fontId="21" fillId="0" borderId="0" xfId="1" applyNumberFormat="1" applyFont="1" applyAlignment="1">
      <alignment horizontal="center"/>
    </xf>
    <xf numFmtId="1" fontId="21" fillId="0" borderId="0" xfId="1" applyNumberFormat="1" applyFont="1" applyBorder="1" applyAlignment="1">
      <alignment horizontal="center"/>
    </xf>
    <xf numFmtId="1" fontId="23" fillId="0" borderId="7" xfId="1" applyNumberFormat="1" applyFont="1" applyBorder="1" applyAlignment="1">
      <alignment horizontal="center"/>
    </xf>
    <xf numFmtId="165" fontId="17" fillId="0" borderId="0" xfId="0" applyNumberFormat="1" applyFont="1"/>
    <xf numFmtId="165" fontId="19" fillId="0" borderId="0" xfId="0" applyNumberFormat="1" applyFont="1"/>
    <xf numFmtId="165" fontId="19" fillId="0" borderId="7" xfId="0" applyNumberFormat="1" applyFont="1" applyBorder="1"/>
    <xf numFmtId="165" fontId="18" fillId="0" borderId="0" xfId="0" applyNumberFormat="1" applyFont="1" applyAlignment="1">
      <alignment horizontal="center"/>
    </xf>
    <xf numFmtId="166" fontId="0" fillId="0" borderId="13" xfId="0" applyNumberFormat="1" applyBorder="1"/>
    <xf numFmtId="166" fontId="0" fillId="0" borderId="0" xfId="0" applyNumberFormat="1"/>
    <xf numFmtId="165" fontId="4" fillId="4" borderId="2" xfId="21" applyNumberFormat="1" applyFont="1" applyFill="1" applyBorder="1" applyAlignment="1">
      <alignment horizontal="center"/>
    </xf>
    <xf numFmtId="0" fontId="0" fillId="0" borderId="0" xfId="0" applyAlignment="1">
      <alignment horizontal="center"/>
    </xf>
    <xf numFmtId="165" fontId="17" fillId="0" borderId="7" xfId="0" applyNumberFormat="1" applyFont="1" applyBorder="1"/>
    <xf numFmtId="0" fontId="17" fillId="0" borderId="0" xfId="0" applyFont="1"/>
    <xf numFmtId="0" fontId="33" fillId="0" borderId="16" xfId="0" applyFont="1" applyBorder="1"/>
    <xf numFmtId="0" fontId="32" fillId="0" borderId="17" xfId="0" applyFont="1" applyBorder="1" applyAlignment="1">
      <alignment horizontal="left"/>
    </xf>
    <xf numFmtId="166" fontId="0" fillId="0" borderId="18" xfId="24" applyNumberFormat="1" applyFont="1" applyBorder="1"/>
    <xf numFmtId="0" fontId="33" fillId="0" borderId="1" xfId="0" applyFont="1" applyBorder="1"/>
    <xf numFmtId="0" fontId="3" fillId="0" borderId="16" xfId="0" applyFont="1" applyBorder="1"/>
    <xf numFmtId="0" fontId="32" fillId="0" borderId="6" xfId="0" applyFont="1" applyBorder="1" applyAlignment="1">
      <alignment horizontal="left"/>
    </xf>
    <xf numFmtId="0" fontId="12" fillId="0" borderId="17" xfId="0" applyFont="1" applyBorder="1" applyAlignment="1" applyProtection="1">
      <alignment horizontal="left"/>
      <protection locked="0"/>
    </xf>
    <xf numFmtId="165" fontId="19" fillId="0" borderId="0" xfId="0" applyNumberFormat="1" applyFont="1" applyBorder="1"/>
    <xf numFmtId="165" fontId="17" fillId="0" borderId="0" xfId="0" applyNumberFormat="1" applyFont="1" applyBorder="1"/>
    <xf numFmtId="165" fontId="19" fillId="0" borderId="0" xfId="1" applyNumberFormat="1" applyFont="1" applyBorder="1"/>
    <xf numFmtId="165" fontId="17" fillId="0" borderId="0" xfId="1" applyNumberFormat="1" applyFont="1" applyBorder="1"/>
    <xf numFmtId="0" fontId="3" fillId="0" borderId="9" xfId="0" applyFont="1" applyBorder="1"/>
    <xf numFmtId="0" fontId="0" fillId="0" borderId="0" xfId="0" applyNumberFormat="1"/>
    <xf numFmtId="0" fontId="2" fillId="2" borderId="21" xfId="0" applyFont="1" applyFill="1" applyBorder="1" applyAlignment="1" applyProtection="1">
      <alignment horizontal="center" vertical="center"/>
    </xf>
    <xf numFmtId="0" fontId="2" fillId="2" borderId="21" xfId="0" applyFont="1" applyFill="1" applyBorder="1" applyAlignment="1" applyProtection="1">
      <alignment horizontal="center" vertical="center" wrapText="1"/>
    </xf>
    <xf numFmtId="0" fontId="2" fillId="2" borderId="22" xfId="0" applyFont="1" applyFill="1" applyBorder="1" applyAlignment="1" applyProtection="1">
      <alignment horizontal="center" vertical="center"/>
    </xf>
    <xf numFmtId="0" fontId="2" fillId="2" borderId="22" xfId="0" applyFont="1" applyFill="1" applyBorder="1" applyAlignment="1" applyProtection="1">
      <alignment vertical="center"/>
    </xf>
    <xf numFmtId="0" fontId="0" fillId="0" borderId="0" xfId="0" applyProtection="1"/>
    <xf numFmtId="0" fontId="3" fillId="0" borderId="1" xfId="0" applyFont="1" applyBorder="1" applyProtection="1"/>
    <xf numFmtId="0" fontId="12" fillId="0" borderId="6" xfId="0" applyFont="1" applyBorder="1" applyAlignment="1" applyProtection="1">
      <alignment horizontal="left"/>
    </xf>
    <xf numFmtId="165" fontId="3" fillId="0" borderId="1" xfId="1" applyNumberFormat="1" applyFont="1" applyBorder="1" applyProtection="1"/>
    <xf numFmtId="0" fontId="33" fillId="0" borderId="16" xfId="0" applyFont="1" applyBorder="1" applyProtection="1"/>
    <xf numFmtId="0" fontId="32" fillId="0" borderId="17" xfId="0" applyFont="1" applyBorder="1" applyAlignment="1" applyProtection="1">
      <alignment horizontal="left"/>
    </xf>
    <xf numFmtId="0" fontId="6" fillId="0" borderId="5" xfId="0" applyFont="1" applyBorder="1" applyProtection="1"/>
    <xf numFmtId="0" fontId="0" fillId="0" borderId="0" xfId="0" pivotButton="1"/>
    <xf numFmtId="0" fontId="3" fillId="0" borderId="6" xfId="0" applyFont="1" applyBorder="1"/>
    <xf numFmtId="0" fontId="12" fillId="0" borderId="1" xfId="0" applyFont="1" applyBorder="1" applyAlignment="1" applyProtection="1">
      <alignment horizontal="left"/>
      <protection locked="0"/>
    </xf>
    <xf numFmtId="0" fontId="3" fillId="0" borderId="10" xfId="0" applyFont="1" applyBorder="1" applyProtection="1"/>
    <xf numFmtId="0" fontId="12" fillId="0" borderId="23" xfId="0" applyFont="1" applyBorder="1" applyAlignment="1" applyProtection="1">
      <alignment horizontal="left"/>
    </xf>
    <xf numFmtId="0" fontId="3" fillId="0" borderId="17" xfId="0" applyFont="1" applyBorder="1"/>
    <xf numFmtId="0" fontId="3" fillId="0" borderId="19" xfId="0" applyFont="1" applyBorder="1"/>
    <xf numFmtId="0" fontId="3" fillId="0" borderId="20" xfId="0" applyFont="1" applyBorder="1"/>
    <xf numFmtId="164" fontId="0" fillId="0" borderId="0" xfId="1" applyFont="1" applyProtection="1"/>
    <xf numFmtId="164" fontId="0" fillId="0" borderId="0" xfId="0" applyNumberFormat="1" applyProtection="1"/>
    <xf numFmtId="165" fontId="0" fillId="0" borderId="0" xfId="0" applyNumberFormat="1" applyProtection="1"/>
    <xf numFmtId="165" fontId="0" fillId="0" borderId="0" xfId="1" applyNumberFormat="1" applyFont="1" applyProtection="1"/>
    <xf numFmtId="165" fontId="17" fillId="0" borderId="7" xfId="1" applyNumberFormat="1" applyFont="1" applyBorder="1"/>
    <xf numFmtId="0" fontId="3" fillId="0" borderId="16" xfId="0" applyFont="1" applyBorder="1" applyProtection="1"/>
    <xf numFmtId="0" fontId="3" fillId="0" borderId="10" xfId="0" applyNumberFormat="1" applyFont="1" applyBorder="1" applyProtection="1"/>
    <xf numFmtId="165" fontId="3" fillId="0" borderId="10" xfId="1" applyNumberFormat="1" applyFont="1" applyBorder="1" applyProtection="1"/>
    <xf numFmtId="0" fontId="2" fillId="2" borderId="1" xfId="0" applyFont="1" applyFill="1" applyBorder="1" applyAlignment="1" applyProtection="1">
      <alignment horizontal="center" vertical="center"/>
    </xf>
    <xf numFmtId="0" fontId="12" fillId="0" borderId="16" xfId="0" applyFont="1" applyBorder="1" applyAlignment="1" applyProtection="1">
      <alignment horizontal="left"/>
      <protection locked="0"/>
    </xf>
    <xf numFmtId="0" fontId="0" fillId="0" borderId="0" xfId="0" applyAlignment="1">
      <alignment horizontal="center"/>
    </xf>
    <xf numFmtId="0" fontId="20" fillId="4" borderId="12" xfId="0" applyFont="1" applyFill="1" applyBorder="1" applyAlignment="1">
      <alignment horizontal="center"/>
    </xf>
    <xf numFmtId="0" fontId="17" fillId="0" borderId="0" xfId="0" applyFont="1" applyAlignment="1">
      <alignment horizontal="center"/>
    </xf>
    <xf numFmtId="0" fontId="6" fillId="0" borderId="1" xfId="0" applyFont="1" applyBorder="1"/>
  </cellXfs>
  <cellStyles count="270">
    <cellStyle name="Comma" xfId="1" builtinId="3"/>
    <cellStyle name="Comma 11" xfId="23" xr:uid="{518FA857-9DD1-48C1-B8D7-9B206C236393}"/>
    <cellStyle name="Comma 2" xfId="3" xr:uid="{FDDBA923-20B8-465F-88A2-A1002AAEAC7B}"/>
    <cellStyle name="Comma 2 2" xfId="7" xr:uid="{DF55D486-32AD-49A7-895A-6230B7406E4F}"/>
    <cellStyle name="Comma 2 2 2" xfId="12" xr:uid="{F780CC66-F525-47C9-8144-1579230FBE89}"/>
    <cellStyle name="Comma 2 3" xfId="10" xr:uid="{73240BD3-8A5C-4401-A102-038176E5FA35}"/>
    <cellStyle name="Comma 2 4" xfId="33" xr:uid="{36F2309E-7879-4857-90E2-7AFBCF9EE018}"/>
    <cellStyle name="Comma 3" xfId="5" xr:uid="{19B5AFD8-8298-481E-B60C-E3038EE339F3}"/>
    <cellStyle name="Comma 3 2" xfId="8" xr:uid="{F09BEBB3-A1AA-4868-987C-DEA213E25A4B}"/>
    <cellStyle name="Comma 3 2 2" xfId="13" xr:uid="{D8055B8B-53FD-4611-A029-03AFDE61E975}"/>
    <cellStyle name="Comma 3 2 3" xfId="16" xr:uid="{000C08FB-268D-499A-BFB2-973B37E1820F}"/>
    <cellStyle name="Comma 3 2 4" xfId="188" xr:uid="{165D95E2-9F23-47D9-8C27-93670CD99973}"/>
    <cellStyle name="Comma 3 3" xfId="11" xr:uid="{CC523DCB-126D-4C98-9365-E5227BFC9643}"/>
    <cellStyle name="Comma 3 3 2" xfId="226" xr:uid="{995DDC0B-61D3-44C8-A4B0-6A084B6C3DEA}"/>
    <cellStyle name="Comma 3 4" xfId="15" xr:uid="{C97DA46A-3C80-4E36-A11C-9A1E3BA0CE84}"/>
    <cellStyle name="Comma 3 5" xfId="20" xr:uid="{C18CCC66-2FF6-47CC-899E-E1FB83FF68DF}"/>
    <cellStyle name="Comma 3 6" xfId="81" xr:uid="{BCD44715-D7EA-418E-B92E-A89EDC3510DF}"/>
    <cellStyle name="Comma 3 7" xfId="117" xr:uid="{43F5E6A8-3555-47D5-AAB7-29AE286F20BE}"/>
    <cellStyle name="Comma 3 8" xfId="251" xr:uid="{86CC08B5-5555-4F18-85B2-0455D8D1C1D5}"/>
    <cellStyle name="Comma 4" xfId="21" xr:uid="{22AE6484-A454-437E-8EF3-8855A36B90D3}"/>
    <cellStyle name="Comma 4 2" xfId="28" xr:uid="{1C05CACC-EF2D-430D-9195-1BEEF2D16E1B}"/>
    <cellStyle name="Comma 4 2 10" xfId="70" xr:uid="{3A942DFC-49F0-4E6A-A67A-FC805006F841}"/>
    <cellStyle name="Comma 4 2 10 12" xfId="52" xr:uid="{358C68F2-F9FF-483F-BC65-FBA73BE9E5D2}"/>
    <cellStyle name="Comma 4 2 10 2" xfId="80" xr:uid="{D69368E1-2595-4819-B683-A61AA695A56C}"/>
    <cellStyle name="Comma 4 2 10 2 2" xfId="48" xr:uid="{A3D3B664-B672-43D2-85DD-ED0DB824FA5C}"/>
    <cellStyle name="Comma 4 2 10 2 3" xfId="99" xr:uid="{EA4FC1E6-79C8-4FF6-8C49-F37A91609F45}"/>
    <cellStyle name="Comma 4 2 10 2 3 2" xfId="225" xr:uid="{B001456A-BD97-4990-B19E-426DEF1D6BF2}"/>
    <cellStyle name="Comma 4 2 10 2 4" xfId="53" xr:uid="{D917EB0B-41F7-4D59-BC34-3CB8ACB15107}"/>
    <cellStyle name="Comma 4 2 10 2 5" xfId="250" xr:uid="{4D908F10-4410-4244-9259-CE5DF3DDD45F}"/>
    <cellStyle name="Comma 4 2 10 2 6" xfId="49" xr:uid="{55BE55CF-2999-42D1-8D52-33216D845527}"/>
    <cellStyle name="Comma 4 2 10 2 8" xfId="50" xr:uid="{6AC250C7-AEFF-4AD2-BBB8-377D7E8EBDE3}"/>
    <cellStyle name="Comma 4 2 10 3" xfId="119" xr:uid="{A15187A6-9E23-4D39-8D18-4306659C2FCF}"/>
    <cellStyle name="Comma 4 2 10 3 2" xfId="177" xr:uid="{D0DFD3D7-88CF-430A-A801-DE734D0E7422}"/>
    <cellStyle name="Comma 4 2 10 4" xfId="215" xr:uid="{C9796C61-94B7-4A6F-85AF-BBFD7CF18C86}"/>
    <cellStyle name="Comma 4 2 10 5" xfId="166" xr:uid="{4E13028D-4B81-49D2-98AD-86A95B0AB3A7}"/>
    <cellStyle name="Comma 4 2 14" xfId="51" xr:uid="{BF79266E-8A94-41E3-BD44-9D4952C1AC41}"/>
    <cellStyle name="Comma 4 2 2" xfId="30" xr:uid="{38D3B480-BC11-4B0B-A1D9-8702D1101DD7}"/>
    <cellStyle name="Comma 4 2 2 2" xfId="31" xr:uid="{08CBB1C2-0741-46EE-92D9-8C4618A4FCDA}"/>
    <cellStyle name="Comma 4 2 2 2 2" xfId="32" xr:uid="{2808D8E1-1956-445C-836F-E8EF1B313FE0}"/>
    <cellStyle name="Comma 4 2 2 2 2 2" xfId="34" xr:uid="{357904C1-9542-4849-B213-C2A809EECF36}"/>
    <cellStyle name="Comma 4 2 2 2 2 2 2" xfId="35" xr:uid="{27F620A1-9E37-4C92-9DF8-BFD124F777F8}"/>
    <cellStyle name="Comma 4 2 2 2 2 2 2 2" xfId="37" xr:uid="{438967B9-1A34-4480-8B97-125FB16201EB}"/>
    <cellStyle name="Comma 4 2 2 2 2 2 2 2 2" xfId="41" xr:uid="{BAB868B7-77B7-4D85-A3DF-2BB080568867}"/>
    <cellStyle name="Comma 4 2 2 2 2 2 2 2 2 2" xfId="72" xr:uid="{5483198A-5712-4388-8957-C1B55E2A2541}"/>
    <cellStyle name="Comma 4 2 2 2 2 2 2 2 2 2 2" xfId="79" xr:uid="{ACA262C5-F9BC-4B5F-906E-1A9FAF6AFD12}"/>
    <cellStyle name="Comma 4 2 2 2 2 2 2 2 2 2 2 2" xfId="42" xr:uid="{659F6D29-D999-48C0-91B5-EF9218496331}"/>
    <cellStyle name="Comma 4 2 2 2 2 2 2 2 2 2 2 2 2" xfId="43" xr:uid="{ADCC1252-9876-4A18-94F1-898FBFA913B2}"/>
    <cellStyle name="Comma 4 2 2 2 2 2 2 2 2 2 2 2 2 2" xfId="44" xr:uid="{A0F844E1-B43F-40EC-B96E-04D724016423}"/>
    <cellStyle name="Comma 4 2 2 2 2 2 2 2 2 2 2 2 2 2 2" xfId="87" xr:uid="{FB764794-08C9-48FF-86CD-9287FBC917B5}"/>
    <cellStyle name="Comma 4 2 2 2 2 2 2 2 2 2 2 2 2 2 2 2" xfId="126" xr:uid="{C1FAC61E-6123-49B8-B997-6F7B6FC0C0BA}"/>
    <cellStyle name="Comma 4 2 2 2 2 2 2 2 2 2 2 2 2 2 2 2 2" xfId="194" xr:uid="{4C628175-C3D7-4912-8824-4D0EDD46A0A6}"/>
    <cellStyle name="Comma 4 2 2 2 2 2 2 2 2 2 2 2 2 2 2 3" xfId="232" xr:uid="{40E3F709-3682-4038-95AB-A4FC93362521}"/>
    <cellStyle name="Comma 4 2 2 2 2 2 2 2 2 2 2 2 2 2 2 4" xfId="161" xr:uid="{836A7E5C-C2DE-45FE-9539-AC3D2C8D3A93}"/>
    <cellStyle name="Comma 4 2 2 2 2 2 2 2 2 2 2 2 2 2 2 5" xfId="258" xr:uid="{7DE7A6AA-01AE-4123-9CB4-41B8E8AD15C8}"/>
    <cellStyle name="Comma 4 2 2 2 2 2 2 2 2 2 2 2 2 2 3" xfId="86" xr:uid="{2E0FF51B-6DBD-469F-99E8-8E8C9B49CF31}"/>
    <cellStyle name="Comma 4 2 2 2 2 2 2 2 2 2 2 2 2 2 3 2" xfId="193" xr:uid="{3C77D04D-A791-47A9-944C-B34A34AEC8D1}"/>
    <cellStyle name="Comma 4 2 2 2 2 2 2 2 2 2 2 2 2 2 4" xfId="74" xr:uid="{F4B84537-4F5D-4342-8AB6-0FF928BF8EB4}"/>
    <cellStyle name="Comma 4 2 2 2 2 2 2 2 2 2 2 2 2 2 4 2" xfId="231" xr:uid="{3654827F-6353-4D2D-A06A-1FF64DE1882E}"/>
    <cellStyle name="Comma 4 2 2 2 2 2 2 2 2 2 2 2 2 2 5" xfId="257" xr:uid="{0BB057CE-872E-453F-9EF0-964E3C0E1506}"/>
    <cellStyle name="Comma 4 2 2 2 2 2 2 2 2 2 2 2 2 3" xfId="71" xr:uid="{89E55A13-55ED-420C-8070-79DD024C9E5E}"/>
    <cellStyle name="Comma 4 2 2 2 2 2 2 2 2 2 2 2 2 3 2" xfId="178" xr:uid="{3A56587D-44D8-4DF3-88BE-A37850D807A0}"/>
    <cellStyle name="Comma 4 2 2 2 2 2 2 2 2 2 2 2 2 4" xfId="46" xr:uid="{E08F8973-D0A3-4878-83A3-C28EFBE52D13}"/>
    <cellStyle name="Comma 4 2 2 2 2 2 2 2 2 2 2 2 2 4 2" xfId="64" xr:uid="{60D94C7E-B396-4829-B20D-D8DB3A94BFAD}"/>
    <cellStyle name="Comma 4 2 2 2 2 2 2 2 2 2 2 2 2 4 2 2" xfId="124" xr:uid="{FFA24394-4021-41D9-A671-62E94F49A23B}"/>
    <cellStyle name="Comma 4 2 2 2 2 2 2 2 2 2 2 2 2 4 2 2 2" xfId="171" xr:uid="{DEFD79B0-479B-4AF0-9EF1-88F34C3B24B7}"/>
    <cellStyle name="Comma 4 2 2 2 2 2 2 2 2 2 2 2 2 4 2 3" xfId="209" xr:uid="{944A2301-3557-4912-B2CE-52EECBF5E30D}"/>
    <cellStyle name="Comma 4 2 2 2 2 2 2 2 2 2 2 2 2 4 2 4" xfId="144" xr:uid="{F4BC4059-2FE8-4A4E-BB63-5A2D4E9F87AE}"/>
    <cellStyle name="Comma 4 2 2 2 2 2 2 2 2 2 2 2 2 4 2 5" xfId="143" xr:uid="{17271824-928D-4123-AFF8-C2A0DD78DA72}"/>
    <cellStyle name="Comma 4 2 2 2 2 2 2 2 2 2 2 2 2 4 3" xfId="88" xr:uid="{72FA261E-9932-451C-A915-2757BA24B7EB}"/>
    <cellStyle name="Comma 4 2 2 2 2 2 2 2 2 2 2 2 2 4 3 2" xfId="195" xr:uid="{D7E4C2D7-E88D-4DFC-BA97-BF86D773A423}"/>
    <cellStyle name="Comma 4 2 2 2 2 2 2 2 2 2 2 2 2 4 4" xfId="127" xr:uid="{12999D42-B7E4-4915-9C32-86B309DA0B79}"/>
    <cellStyle name="Comma 4 2 2 2 2 2 2 2 2 2 2 2 2 4 4 2" xfId="233" xr:uid="{25EBDC49-035E-4D9C-AB35-12FA3F0FEC75}"/>
    <cellStyle name="Comma 4 2 2 2 2 2 2 2 2 2 2 2 2 4 5" xfId="259" xr:uid="{EE0BC6B6-3198-4ED0-A49A-0A79373BE7EB}"/>
    <cellStyle name="Comma 4 2 2 2 2 2 2 2 2 2 2 2 2 5" xfId="45" xr:uid="{B6E9C3B2-49F6-4428-9D63-C0871860E4C7}"/>
    <cellStyle name="Comma 4 2 2 2 2 2 2 2 2 2 2 2 2 5 2" xfId="90" xr:uid="{0C2BA379-07F1-419A-9357-9C5462CD70EE}"/>
    <cellStyle name="Comma 4 2 2 2 2 2 2 2 2 2 2 2 2 5 2 2" xfId="129" xr:uid="{3DBEC1D3-8896-4461-AE03-C7A3A0787C56}"/>
    <cellStyle name="Comma 4 2 2 2 2 2 2 2 2 2 2 2 2 5 2 2 2" xfId="197" xr:uid="{66A7269D-1A00-40C2-9A19-B4344A3E4B1A}"/>
    <cellStyle name="Comma 4 2 2 2 2 2 2 2 2 2 2 2 2 5 2 3" xfId="235" xr:uid="{D342D3CF-10FF-4ADC-92AE-4E1C5BF78FEA}"/>
    <cellStyle name="Comma 4 2 2 2 2 2 2 2 2 2 2 2 2 5 2 4" xfId="162" xr:uid="{E52D3E6C-BCA1-4C1D-91DD-B1D1F61806AB}"/>
    <cellStyle name="Comma 4 2 2 2 2 2 2 2 2 2 2 2 2 5 2 5" xfId="261" xr:uid="{2E261290-C5E4-4075-9241-C7E4B0F4E959}"/>
    <cellStyle name="Comma 4 2 2 2 2 2 2 2 2 2 2 2 2 5 3" xfId="89" xr:uid="{7EFDBD51-2904-4D75-AE9B-067E8BC0306A}"/>
    <cellStyle name="Comma 4 2 2 2 2 2 2 2 2 2 2 2 2 5 3 2" xfId="196" xr:uid="{56396CCF-E2F1-486A-AFC5-D91043309B40}"/>
    <cellStyle name="Comma 4 2 2 2 2 2 2 2 2 2 2 2 2 5 4" xfId="128" xr:uid="{F41075E0-1D4C-4183-821B-B56CFDFFD991}"/>
    <cellStyle name="Comma 4 2 2 2 2 2 2 2 2 2 2 2 2 5 4 2" xfId="234" xr:uid="{6C490CD6-EBAE-43D6-8F27-512541285BBC}"/>
    <cellStyle name="Comma 4 2 2 2 2 2 2 2 2 2 2 2 2 5 5" xfId="260" xr:uid="{4DDBFD6D-487D-47A6-BDBF-59A8707009A5}"/>
    <cellStyle name="Comma 4 2 2 2 2 2 2 2 2 2 2 2 2 6" xfId="104" xr:uid="{E7F63494-9D8E-4206-B3C0-306D85C2BC86}"/>
    <cellStyle name="Comma 4 2 2 2 2 2 2 2 2 2 2 2 2 6 2" xfId="216" xr:uid="{B7C03BEE-596D-42F6-B1E5-A260C329109C}"/>
    <cellStyle name="Comma 4 2 2 2 2 2 2 2 2 2 2 2 2 7" xfId="139" xr:uid="{62B9A2EF-0C3F-4B4F-865B-8E958BB07D43}"/>
    <cellStyle name="Comma 4 2 2 2 2 2 2 2 2 2 2 2 3" xfId="69" xr:uid="{F318AF21-5723-4473-AC54-75486792585E}"/>
    <cellStyle name="Comma 4 2 2 2 2 2 2 2 2 2 2 2 3 2" xfId="176" xr:uid="{59D70C12-FC73-4E19-89AC-62D29B4B8484}"/>
    <cellStyle name="Comma 4 2 2 2 2 2 2 2 2 2 2 2 4" xfId="120" xr:uid="{E0E5E372-AB18-433A-ABB4-198235338339}"/>
    <cellStyle name="Comma 4 2 2 2 2 2 2 2 2 2 2 2 4 2" xfId="214" xr:uid="{9647975B-9A70-4336-9678-025E383A56D0}"/>
    <cellStyle name="Comma 4 2 2 2 2 2 2 2 2 2 2 2 5" xfId="157" xr:uid="{25396391-C88C-4CEE-A62F-76C2DF4B98C8}"/>
    <cellStyle name="Comma 4 2 2 2 2 2 2 2 2 2 2 3" xfId="110" xr:uid="{19222932-EAE6-4799-BEB7-2DC3B3D633DC}"/>
    <cellStyle name="Comma 4 2 2 2 2 2 2 2 2 2 2 3 2" xfId="186" xr:uid="{6790535B-A4BF-47FD-96EA-0D3E90B88B34}"/>
    <cellStyle name="Comma 4 2 2 2 2 2 2 2 2 2 2 4" xfId="224" xr:uid="{8F0B39F0-1A08-4CDC-B618-BEC874CD6837}"/>
    <cellStyle name="Comma 4 2 2 2 2 2 2 2 2 2 2 5" xfId="249" xr:uid="{DA5D7EE0-3F41-40B6-9069-C3B683810F02}"/>
    <cellStyle name="Comma 4 2 2 2 2 2 2 2 2 2 3" xfId="102" xr:uid="{007A5D6F-D4B4-44C1-B16C-02B071892B2B}"/>
    <cellStyle name="Comma 4 2 2 2 2 2 2 2 2 2 3 2" xfId="179" xr:uid="{9FCD2F3E-C4A4-4B47-9964-1A06B6BD849C}"/>
    <cellStyle name="Comma 4 2 2 2 2 2 2 2 2 2 4" xfId="217" xr:uid="{844F1A20-C9EF-4DBC-A7B3-C0759B344D0B}"/>
    <cellStyle name="Comma 4 2 2 2 2 2 2 2 2 2 5" xfId="242" xr:uid="{FE876704-784F-4091-928F-FDB95DF5D268}"/>
    <cellStyle name="Comma 4 2 2 2 2 2 2 2 2 3" xfId="85" xr:uid="{4BCED667-1EAA-4F89-BE90-7F3EEB7E5E33}"/>
    <cellStyle name="Comma 4 2 2 2 2 2 2 2 2 3 2" xfId="192" xr:uid="{0B42E127-B4BC-48DB-84A4-9F8C65D53A52}"/>
    <cellStyle name="Comma 4 2 2 2 2 2 2 2 2 4" xfId="113" xr:uid="{B0CAD253-9A7C-4B6B-B8B1-BCC6401D6B45}"/>
    <cellStyle name="Comma 4 2 2 2 2 2 2 2 2 4 2" xfId="230" xr:uid="{DE9CD738-EB4A-4EB5-AEFE-573EFE8C8C53}"/>
    <cellStyle name="Comma 4 2 2 2 2 2 2 2 2 5" xfId="256" xr:uid="{9659708F-8B44-4CB2-94DF-404ABAAC8293}"/>
    <cellStyle name="Comma 4 2 2 2 2 2 2 2 3" xfId="75" xr:uid="{D4CEA187-7178-4BAD-924B-E02EB78AF713}"/>
    <cellStyle name="Comma 4 2 2 2 2 2 2 2 3 2" xfId="182" xr:uid="{209DF48A-89C4-4BB4-89C4-9BD14F352D2C}"/>
    <cellStyle name="Comma 4 2 2 2 2 2 2 2 4" xfId="118" xr:uid="{4512CFD5-17CC-4A1F-B901-B35C0C7DC1D9}"/>
    <cellStyle name="Comma 4 2 2 2 2 2 2 2 4 2" xfId="220" xr:uid="{6BFF8D48-B911-4DC3-A4DC-B009EC2B959E}"/>
    <cellStyle name="Comma 4 2 2 2 2 2 2 2 5" xfId="245" xr:uid="{0E56AD1E-905A-46ED-9B4B-7740254F1303}"/>
    <cellStyle name="Comma 4 2 2 2 2 2 2 3" xfId="61" xr:uid="{BED36885-B6E1-4DFC-947E-CAE51B5D0C52}"/>
    <cellStyle name="Comma 4 2 2 2 2 2 2 3 2" xfId="168" xr:uid="{AA596384-6258-41F5-93BF-DB10C65CCDD7}"/>
    <cellStyle name="Comma 4 2 2 2 2 2 2 4" xfId="106" xr:uid="{047F94BE-DDF9-484B-B7A9-7A67175DCEF1}"/>
    <cellStyle name="Comma 4 2 2 2 2 2 2 4 2" xfId="206" xr:uid="{09722DCB-C0BF-40C1-80DF-336415E8B4DC}"/>
    <cellStyle name="Comma 4 2 2 2 2 2 2 5" xfId="155" xr:uid="{59228B72-971A-4EF7-ACDA-F505C55471B9}"/>
    <cellStyle name="Comma 4 2 2 2 2 2 3" xfId="68" xr:uid="{46AC744D-8919-4641-A4D6-41ED0B2ACA07}"/>
    <cellStyle name="Comma 4 2 2 2 2 2 3 2" xfId="175" xr:uid="{6357D95D-C5C6-4EA5-ADE6-C099A5DA899B}"/>
    <cellStyle name="Comma 4 2 2 2 2 2 4" xfId="121" xr:uid="{AA2D6C72-04B9-43FB-BF32-25D518B233DA}"/>
    <cellStyle name="Comma 4 2 2 2 2 2 4 2" xfId="213" xr:uid="{257504C5-941D-4224-A949-CF06439B2996}"/>
    <cellStyle name="Comma 4 2 2 2 2 2 5" xfId="158" xr:uid="{3A5223CB-05FD-41DF-B1A1-EA60AEF5E9F2}"/>
    <cellStyle name="Comma 4 2 2 2 2 3" xfId="78" xr:uid="{73D78611-AD0D-4E24-A03B-08E4F8C4FF50}"/>
    <cellStyle name="Comma 4 2 2 2 2 3 2" xfId="185" xr:uid="{1FB32D10-9500-49AA-B886-6051FA748152}"/>
    <cellStyle name="Comma 4 2 2 2 2 4" xfId="101" xr:uid="{33D0C30F-8B7C-432E-9806-8A44B1B305CC}"/>
    <cellStyle name="Comma 4 2 2 2 2 4 2" xfId="223" xr:uid="{33F3083A-9B9C-4F30-8962-DBCCC14CAE70}"/>
    <cellStyle name="Comma 4 2 2 2 2 5" xfId="246" xr:uid="{E3392B6B-DF3B-413E-ADC7-68109C929FD5}"/>
    <cellStyle name="Comma 4 2 2 2 3" xfId="63" xr:uid="{0FBB1AC3-72CC-4280-9B98-3FFD37FEFD09}"/>
    <cellStyle name="Comma 4 2 2 2 3 2" xfId="170" xr:uid="{D6764F0B-7605-4A4B-A4D7-769D3A24E224}"/>
    <cellStyle name="Comma 4 2 2 2 4" xfId="125" xr:uid="{DE1619C8-5215-404B-AE42-E167F50407A6}"/>
    <cellStyle name="Comma 4 2 2 2 4 2" xfId="208" xr:uid="{6DE5D614-5D30-4954-A4FE-629330574BA6}"/>
    <cellStyle name="Comma 4 2 2 2 5" xfId="187" xr:uid="{8F8864C0-1C35-40B6-9927-40F706FFE37A}"/>
    <cellStyle name="Comma 4 2 2 3" xfId="84" xr:uid="{8EACAFAA-4E4B-406A-A4CD-1EC11C3EFC7F}"/>
    <cellStyle name="Comma 4 2 2 3 2" xfId="191" xr:uid="{636FCE4A-2543-4FB2-8723-70FB1A55FC71}"/>
    <cellStyle name="Comma 4 2 2 4" xfId="115" xr:uid="{6D25883E-54F7-403B-8306-E9FB7BFEF52C}"/>
    <cellStyle name="Comma 4 2 2 4 2" xfId="229" xr:uid="{FB0BB735-935C-41D5-8C98-C49AFED4C758}"/>
    <cellStyle name="Comma 4 2 2 5" xfId="254" xr:uid="{517FF0D0-704D-4614-87BF-D23F3725A3A3}"/>
    <cellStyle name="Comma 4 2 3" xfId="29" xr:uid="{E3E112EA-146C-4C99-9BEF-EA0A25038399}"/>
    <cellStyle name="Comma 4 2 3 2" xfId="91" xr:uid="{4C715C0C-3704-4334-A527-2431CA6A4A2A}"/>
    <cellStyle name="Comma 4 2 3 2 2" xfId="198" xr:uid="{B219496E-EBFA-479B-8BF2-29313BA2416B}"/>
    <cellStyle name="Comma 4 2 3 3" xfId="130" xr:uid="{DEABDE5F-5366-412E-890C-2A62D44974DE}"/>
    <cellStyle name="Comma 4 2 3 3 2" xfId="236" xr:uid="{73CFC1A7-5E18-4EC9-863B-F0EA239C2BBF}"/>
    <cellStyle name="Comma 4 2 3 4" xfId="262" xr:uid="{E8A05895-3BA2-4A8B-BC4D-308BA04CC5AD}"/>
    <cellStyle name="Comma 4 2 4" xfId="38" xr:uid="{135DEFD7-769D-4FF8-A85C-D06D0CE92D14}"/>
    <cellStyle name="Comma 4 2 4 2" xfId="39" xr:uid="{8DE7F542-7184-4E02-8424-AD9BE4E770D4}"/>
    <cellStyle name="Comma 4 2 4 2 2" xfId="73" xr:uid="{960AFCE4-3A91-471D-A68D-676B901097FC}"/>
    <cellStyle name="Comma 4 2 4 2 2 2" xfId="83" xr:uid="{4DE1D523-381E-4AE7-BC77-2149A11FEEB3}"/>
    <cellStyle name="Comma 4 2 4 2 2 2 2" xfId="62" xr:uid="{C3F416CF-358B-4E6A-89A8-E5ECD3F9ABE7}"/>
    <cellStyle name="Comma 4 2 4 2 2 2 2 2" xfId="77" xr:uid="{70AD05F5-D23D-4FBA-A775-3A6C3745C004}"/>
    <cellStyle name="Comma 4 2 4 2 2 2 2 2 2" xfId="67" xr:uid="{E1F7880F-3B72-4D5C-975A-92C6D5BE4C97}"/>
    <cellStyle name="Comma 4 2 4 2 2 2 2 2 2 2" xfId="100" xr:uid="{38B96404-13AB-4A8E-8ED1-736E33B43B13}"/>
    <cellStyle name="Comma 4 2 4 2 2 2 2 2 2 2 2" xfId="174" xr:uid="{297921FB-0DFC-480C-A56E-92E8A90EDCC3}"/>
    <cellStyle name="Comma 4 2 4 2 2 2 2 2 2 3" xfId="212" xr:uid="{454A7D4E-5807-4B04-9AF0-6123A7228DCA}"/>
    <cellStyle name="Comma 4 2 4 2 2 2 2 2 2 4" xfId="147" xr:uid="{CA55D167-2CFD-4C02-867E-A6720984A342}"/>
    <cellStyle name="Comma 4 2 4 2 2 2 2 2 2 5" xfId="151" xr:uid="{7A2D8B06-1EE6-4062-8A03-82D87740A894}"/>
    <cellStyle name="Comma 4 2 4 2 2 2 2 2 3" xfId="59" xr:uid="{382A48D0-FA55-43B0-8D0E-31A76F686D59}"/>
    <cellStyle name="Comma 4 2 4 2 2 2 2 2 3 2" xfId="184" xr:uid="{545F9AED-926A-4984-BBC9-5AC3408E9909}"/>
    <cellStyle name="Comma 4 2 4 2 2 2 2 2 4" xfId="222" xr:uid="{0F6EAAD9-70FE-424B-B615-A8CD1368577A}"/>
    <cellStyle name="Comma 4 2 4 2 2 2 2 2 5" xfId="154" xr:uid="{9E2F2A4D-936E-4A06-80B1-7CA5059637DE}"/>
    <cellStyle name="Comma 4 2 4 2 2 2 2 2 6" xfId="247" xr:uid="{DBFA6C33-9778-43CE-9046-D9E113046253}"/>
    <cellStyle name="Comma 4 2 4 2 2 2 2 3" xfId="114" xr:uid="{CF5109A0-EC44-4BB5-A84B-C694B285F7D7}"/>
    <cellStyle name="Comma 4 2 4 2 2 2 2 3 2" xfId="169" xr:uid="{32975A66-5EC8-41F8-9DFD-8B5D2AD69739}"/>
    <cellStyle name="Comma 4 2 4 2 2 2 2 4" xfId="207" xr:uid="{C8183B19-20E6-4B9B-9F29-0DE18F32ED77}"/>
    <cellStyle name="Comma 4 2 4 2 2 2 2 5" xfId="142" xr:uid="{524EDDBF-B200-4807-BA7E-3086960BEFE7}"/>
    <cellStyle name="Comma 4 2 4 2 2 2 2 6" xfId="160" xr:uid="{878AE351-C715-4600-9172-60C1C4BFDE5E}"/>
    <cellStyle name="Comma 4 2 4 2 2 2 3" xfId="107" xr:uid="{6DEC6E43-B182-425C-80A5-C6D013F85CE9}"/>
    <cellStyle name="Comma 4 2 4 2 2 2 3 2" xfId="190" xr:uid="{FA9C5C52-DFFE-4731-837E-45FA8553410C}"/>
    <cellStyle name="Comma 4 2 4 2 2 2 4" xfId="228" xr:uid="{CB3936C6-BD4B-438E-BE92-07A7892BFCEF}"/>
    <cellStyle name="Comma 4 2 4 2 2 2 5" xfId="159" xr:uid="{90574AC1-AC8C-49AC-AF6F-CD29911A3F7A}"/>
    <cellStyle name="Comma 4 2 4 2 2 2 6" xfId="255" xr:uid="{A48C4C13-64AA-4DF5-8D0E-32C66B90A023}"/>
    <cellStyle name="Comma 4 2 4 2 2 3" xfId="111" xr:uid="{9D210BA3-5EAD-46FE-A706-031A504C2340}"/>
    <cellStyle name="Comma 4 2 4 2 2 3 2" xfId="180" xr:uid="{8E14B819-59E7-4ABB-AB03-FA32AC88DAFB}"/>
    <cellStyle name="Comma 4 2 4 2 2 4" xfId="218" xr:uid="{92584E2B-BA22-4D34-8938-0DABD5EBA1A3}"/>
    <cellStyle name="Comma 4 2 4 2 2 5" xfId="150" xr:uid="{1A9F0342-EDFE-4EDA-9194-25B773B82BDF}"/>
    <cellStyle name="Comma 4 2 4 2 2 6" xfId="243" xr:uid="{4F28B246-0793-4520-B9B9-ED03659252A1}"/>
    <cellStyle name="Comma 4 2 4 2 3" xfId="82" xr:uid="{E873BDCB-8667-40BF-A838-6FC8CC96876F}"/>
    <cellStyle name="Comma 4 2 4 2 3 2" xfId="189" xr:uid="{E9F0184F-7A04-4602-95C1-2644744B3141}"/>
    <cellStyle name="Comma 4 2 4 2 4" xfId="112" xr:uid="{A41A0439-8A7B-4030-8BFB-5AFEACC69AA6}"/>
    <cellStyle name="Comma 4 2 4 2 4 2" xfId="227" xr:uid="{2C7796C2-BE44-454E-B740-B00E25F5069B}"/>
    <cellStyle name="Comma 4 2 4 2 5" xfId="253" xr:uid="{E4F70FD2-0C3B-4711-B059-647F3E59B568}"/>
    <cellStyle name="Comma 4 2 4 3" xfId="92" xr:uid="{EC9BDB51-C245-4B0C-8FD3-98BD0BC6C1D5}"/>
    <cellStyle name="Comma 4 2 4 3 2" xfId="199" xr:uid="{789AE25F-7C10-4878-84D3-D58CFF7FECC0}"/>
    <cellStyle name="Comma 4 2 4 4" xfId="131" xr:uid="{B4C4B5B7-4380-4E89-998E-486FFFB5DCEE}"/>
    <cellStyle name="Comma 4 2 4 4 2" xfId="237" xr:uid="{406349A4-D98A-43A7-BFC8-3E0D6D192D1A}"/>
    <cellStyle name="Comma 4 2 4 5" xfId="263" xr:uid="{D725563D-581B-42C4-BFF8-5088080A1BAC}"/>
    <cellStyle name="Comma 4 2 5" xfId="40" xr:uid="{3AE04F39-126D-4E2F-B7D3-37FE17F63244}"/>
    <cellStyle name="Comma 4 2 5 2" xfId="94" xr:uid="{B0EAAA68-6EFF-4B02-9448-E8152B3B4F9B}"/>
    <cellStyle name="Comma 4 2 5 2 2" xfId="95" xr:uid="{A897FEF5-663B-4FE3-9FAA-4270F2DC7046}"/>
    <cellStyle name="Comma 4 2 5 2 2 2" xfId="65" xr:uid="{F0B7DF51-ADCC-47E0-B2B4-0DC9D65D1B07}"/>
    <cellStyle name="Comma 4 2 5 2 2 2 2" xfId="123" xr:uid="{30C37A67-A727-439E-9E38-6763E5CF75DB}"/>
    <cellStyle name="Comma 4 2 5 2 2 2 2 2" xfId="172" xr:uid="{D56D6782-7895-4287-AB56-BF83905B1ABB}"/>
    <cellStyle name="Comma 4 2 5 2 2 2 3" xfId="210" xr:uid="{3474C3C9-B4D6-4269-AEC6-5C2C88B0B9E3}"/>
    <cellStyle name="Comma 4 2 5 2 2 2 4" xfId="145" xr:uid="{7E08305D-CBF9-473C-BED7-F61A29DBB0C2}"/>
    <cellStyle name="Comma 4 2 5 2 2 2 5" xfId="156" xr:uid="{041FA973-63A7-41C9-BE30-4A833661C30C}"/>
    <cellStyle name="Comma 4 2 5 2 2 3" xfId="134" xr:uid="{CB7514B1-7A64-4499-AF6E-69A05D425B51}"/>
    <cellStyle name="Comma 4 2 5 2 2 3 2" xfId="202" xr:uid="{32D0A143-2B7E-43A1-9673-53F157424583}"/>
    <cellStyle name="Comma 4 2 5 2 2 4" xfId="240" xr:uid="{6FDA2D04-6155-4972-91AD-85DF13FF7B8D}"/>
    <cellStyle name="Comma 4 2 5 2 2 5" xfId="164" xr:uid="{7839A84D-B7E7-49AD-98E2-B40F74EACD2D}"/>
    <cellStyle name="Comma 4 2 5 2 2 6" xfId="266" xr:uid="{BAE83DA7-5D71-4D46-8C4E-57F9775DB61E}"/>
    <cellStyle name="Comma 4 2 5 2 3" xfId="133" xr:uid="{2CA6F768-32F3-4E21-82B4-B9494CAE09DE}"/>
    <cellStyle name="Comma 4 2 5 2 3 2" xfId="201" xr:uid="{8C2DF6E4-B5D5-400C-B7A6-8F65A517762A}"/>
    <cellStyle name="Comma 4 2 5 2 4" xfId="239" xr:uid="{F32586D2-CA39-4CDD-9AA0-353350EE9F0F}"/>
    <cellStyle name="Comma 4 2 5 2 5" xfId="163" xr:uid="{CB8B9CE0-C2AC-4300-A50B-DEE4213A5301}"/>
    <cellStyle name="Comma 4 2 5 2 6" xfId="265" xr:uid="{A2654C14-FF20-44E8-BEAD-CF4DEBB272E1}"/>
    <cellStyle name="Comma 4 2 5 3" xfId="93" xr:uid="{F9B8766F-9406-45E1-84BA-0DDF6F707FDB}"/>
    <cellStyle name="Comma 4 2 5 3 2" xfId="200" xr:uid="{E340FA28-A85D-493F-874A-A88C1DB98BF1}"/>
    <cellStyle name="Comma 4 2 5 4" xfId="132" xr:uid="{B303DDFC-50A0-4E34-B002-8D4174EAACA9}"/>
    <cellStyle name="Comma 4 2 5 4 2" xfId="238" xr:uid="{AF6A31FD-A83E-4832-B019-53691E561829}"/>
    <cellStyle name="Comma 4 2 5 5" xfId="264" xr:uid="{9D28C13E-A11E-458C-BEDF-24775AD4F4DF}"/>
    <cellStyle name="Comma 4 2 6" xfId="76" xr:uid="{E931F395-4423-401F-BE22-888D0498DC46}"/>
    <cellStyle name="Comma 4 2 6 2" xfId="66" xr:uid="{C985EB72-3F06-443D-83A4-43C689251D3C}"/>
    <cellStyle name="Comma 4 2 6 2 2" xfId="60" xr:uid="{F32596D6-4A52-4B31-BD61-AE62CB632FB0}"/>
    <cellStyle name="Comma 4 2 6 2 2 2" xfId="116" xr:uid="{8FD483F0-A4F7-4E10-87B2-BE65C255D0DF}"/>
    <cellStyle name="Comma 4 2 6 2 2 2 2" xfId="167" xr:uid="{25D26890-0064-47D8-9F7A-CA8029304157}"/>
    <cellStyle name="Comma 4 2 6 2 2 3" xfId="205" xr:uid="{1B2F6013-D392-4DCF-BAAD-2898C8725A13}"/>
    <cellStyle name="Comma 4 2 6 2 2 4" xfId="140" xr:uid="{D6FB2101-BA2E-4765-9193-C67B3EBC90A9}"/>
    <cellStyle name="Comma 4 2 6 2 2 5" xfId="148" xr:uid="{CB6256FE-3E0D-40AC-B3D5-4BDB386087D2}"/>
    <cellStyle name="Comma 4 2 6 2 3" xfId="122" xr:uid="{1E46D658-54B0-4E35-91C4-4E7712A6E7FA}"/>
    <cellStyle name="Comma 4 2 6 2 3 2" xfId="173" xr:uid="{DC390B23-D62D-44AB-AEE7-68C99CFB0EC5}"/>
    <cellStyle name="Comma 4 2 6 2 4" xfId="211" xr:uid="{6B810DC4-9036-428F-AD7D-1E54857B15C4}"/>
    <cellStyle name="Comma 4 2 6 2 5" xfId="146" xr:uid="{4AD00A57-CB31-4B44-89BF-B118DB08EE19}"/>
    <cellStyle name="Comma 4 2 6 2 6" xfId="149" xr:uid="{AAFD64DE-DE1D-4509-9805-C59B456BC5A1}"/>
    <cellStyle name="Comma 4 2 6 3" xfId="108" xr:uid="{075ABC44-B1E1-4AD4-BC59-41E871F3F79D}"/>
    <cellStyle name="Comma 4 2 6 3 2" xfId="183" xr:uid="{2B8916F5-9136-477E-BF09-97AE9C8B5DE8}"/>
    <cellStyle name="Comma 4 2 6 4" xfId="221" xr:uid="{91DD492F-4DAB-49C6-891A-5D5872F11560}"/>
    <cellStyle name="Comma 4 2 6 5" xfId="153" xr:uid="{9443D67F-4C53-41A2-9BAE-BB8821F2CD86}"/>
    <cellStyle name="Comma 4 2 6 6" xfId="248" xr:uid="{3556EABE-CF61-46ED-9FCB-BFCBDA8E511A}"/>
    <cellStyle name="Comma 4 2 7" xfId="105" xr:uid="{DE5E615F-83FE-4C4D-B832-1E68C92EAC1D}"/>
    <cellStyle name="Comma 4 2 7 2" xfId="181" xr:uid="{94F27312-38E0-420B-BE2E-6ED33F9147C1}"/>
    <cellStyle name="Comma 4 2 8" xfId="219" xr:uid="{BEA299A5-C467-4FE2-8286-2CBD538C3B49}"/>
    <cellStyle name="Comma 4 2 9" xfId="244" xr:uid="{B04FFEE2-7650-4D2B-B141-2E1F0A008BF5}"/>
    <cellStyle name="Comma 4 3" xfId="47" xr:uid="{E9F86DF2-C177-4404-9FE3-C6C540B42114}"/>
    <cellStyle name="Comma 4 3 2" xfId="96" xr:uid="{AB264E33-6B43-4105-9DE6-97AB5FFB62FA}"/>
    <cellStyle name="Comma 4 3 3" xfId="135" xr:uid="{08C4FEC0-0BB3-4F60-8A97-2D60E7B1ABAD}"/>
    <cellStyle name="Comma 4 3 4" xfId="165" xr:uid="{DA130025-60D1-4A18-B367-73E5866F7B1E}"/>
    <cellStyle name="Comma 4 3 5" xfId="267" xr:uid="{502D8FF2-21AD-4418-8C7C-C55497B25F14}"/>
    <cellStyle name="Comma 4 4" xfId="54" xr:uid="{F22CD159-85DE-49E4-9133-676B2D0E9240}"/>
    <cellStyle name="Comma 4 5" xfId="57" xr:uid="{F96E3EB7-E2E5-4982-85BC-E491A7D3562E}"/>
    <cellStyle name="Comma 4 6" xfId="103" xr:uid="{140147D8-34FA-4CE4-B2F2-2D7C63F84CF8}"/>
    <cellStyle name="Comma 4 7" xfId="252" xr:uid="{64E7AC0D-6307-4084-8091-1D69CBEFBF33}"/>
    <cellStyle name="Comma 5" xfId="58" xr:uid="{836DED44-457E-4D83-9A74-A6B4AC4B7D67}"/>
    <cellStyle name="Comma 5 2" xfId="204" xr:uid="{F3881805-3DC5-4687-9034-2FA289B01FE2}"/>
    <cellStyle name="Comma 6" xfId="98" xr:uid="{0E26E413-D378-4E8E-8AE5-A90E9E2A2367}"/>
    <cellStyle name="Comma 7" xfId="141" xr:uid="{3D86ECE2-C076-4603-A5E2-A84DF336E193}"/>
    <cellStyle name="Normal" xfId="0" builtinId="0"/>
    <cellStyle name="Normal 10" xfId="152" xr:uid="{EB9B45F8-F79B-45C7-AEAE-3722236F02DC}"/>
    <cellStyle name="Normal 2" xfId="4" xr:uid="{669486DC-9CFF-43BD-8F09-8F3798F6452B}"/>
    <cellStyle name="Normal 2 2" xfId="14" xr:uid="{CDA21FA2-91C9-40EA-AAE8-CAD38BDA9C49}"/>
    <cellStyle name="Normal 2 3" xfId="25" xr:uid="{2D9282F1-9242-4D12-95BF-10494B6B5D0B}"/>
    <cellStyle name="Normal 2 4" xfId="27" xr:uid="{A73CB9D0-2067-4BDE-92D8-B7E18276C480}"/>
    <cellStyle name="Normal 228 2" xfId="19" xr:uid="{83A9E67F-3A78-40D7-915C-5D728EECCE6F}"/>
    <cellStyle name="Normal 228 2 2" xfId="97" xr:uid="{38B69B7B-A923-400B-841F-1FAA20A7A416}"/>
    <cellStyle name="Normal 228 2 2 2" xfId="203" xr:uid="{E04C6447-15CF-4EA1-8B42-794993D9AFC1}"/>
    <cellStyle name="Normal 228 2 3" xfId="136" xr:uid="{720DFA5F-DDD6-4F95-971B-37E6DCE36F3F}"/>
    <cellStyle name="Normal 228 2 3 2" xfId="241" xr:uid="{CE0F35DC-4965-4B99-90F9-B61AF759CF5E}"/>
    <cellStyle name="Normal 228 2 4" xfId="268" xr:uid="{141A3B4A-DEEA-4D70-9CC7-DB0E9519C702}"/>
    <cellStyle name="Normal 3" xfId="17" xr:uid="{A0B092CC-7E66-437B-9870-3C291BE488F2}"/>
    <cellStyle name="Normal 4" xfId="18" xr:uid="{751EDA9B-2B49-4C41-B021-C24F7980A16C}"/>
    <cellStyle name="Normal 4 2" xfId="56" xr:uid="{B02CCF32-E4A0-4CF9-AF4D-A7066999C699}"/>
    <cellStyle name="Normal 4 3" xfId="137" xr:uid="{9734CC9F-6855-4410-814F-57CB87BA03FE}"/>
    <cellStyle name="Normal 4 4" xfId="269" xr:uid="{D70EF482-16DE-4301-84A9-130969E09982}"/>
    <cellStyle name="Normal 5" xfId="26" xr:uid="{1798748B-5903-46B6-A007-A933BAACADA4}"/>
    <cellStyle name="Normal 6" xfId="36" xr:uid="{87A83168-F311-4077-A120-AD34914610C1}"/>
    <cellStyle name="Normal 7" xfId="55" xr:uid="{6E7416B3-37BB-497A-81D0-467C17958CF8}"/>
    <cellStyle name="Normal 8" xfId="109" xr:uid="{60FAD609-A2DB-48F8-92B3-9182BB2F8895}"/>
    <cellStyle name="Normal 9" xfId="138" xr:uid="{372CF825-EC33-4FFD-B704-27179F95E58D}"/>
    <cellStyle name="Percent" xfId="24" builtinId="5"/>
    <cellStyle name="Percent 2" xfId="6" xr:uid="{12CD1181-71C1-49A1-9C06-EDEDBDCFAA6E}"/>
    <cellStyle name="Percent 2 2" xfId="9" xr:uid="{33140852-5056-433E-8DD5-5B69C1173384}"/>
    <cellStyle name="Percent 3" xfId="22" xr:uid="{5C3FBEF0-94EE-4770-85EC-FC00082AC218}"/>
    <cellStyle name="SAPBEXchaText" xfId="2" xr:uid="{00000000-0005-0000-0000-000003000000}"/>
  </cellStyles>
  <dxfs count="139">
    <dxf>
      <font>
        <b val="0"/>
        <i val="0"/>
        <strike val="0"/>
        <condense val="0"/>
        <extend val="0"/>
        <outline val="0"/>
        <shadow val="0"/>
        <u val="none"/>
        <vertAlign val="baseline"/>
        <sz val="8"/>
        <color theme="3" tint="-0.499984740745262"/>
        <name val="Calibri"/>
        <family val="2"/>
        <scheme val="minor"/>
      </font>
      <numFmt numFmtId="0" formatCode="General"/>
      <border diagonalUp="0" diagonalDown="0">
        <left style="medium">
          <color theme="4" tint="-0.24994659260841701"/>
        </left>
        <right style="medium">
          <color theme="4" tint="-0.24994659260841701"/>
        </right>
        <top/>
        <bottom style="thin">
          <color theme="4" tint="0.39994506668294322"/>
        </bottom>
      </border>
      <protection locked="1" hidden="0"/>
    </dxf>
    <dxf>
      <font>
        <b val="0"/>
        <i val="0"/>
        <strike val="0"/>
        <condense val="0"/>
        <extend val="0"/>
        <outline val="0"/>
        <shadow val="0"/>
        <u val="none"/>
        <vertAlign val="baseline"/>
        <sz val="8"/>
        <color theme="3" tint="-0.499984740745262"/>
        <name val="Calibri"/>
        <family val="2"/>
        <scheme val="minor"/>
      </font>
      <numFmt numFmtId="165" formatCode="_(* #,##0_);_(* \(#,##0\);_(* &quot;-&quot;??_);_(@_)"/>
      <border diagonalUp="0" diagonalDown="0" outline="0">
        <left style="medium">
          <color theme="4" tint="-0.24994659260841701"/>
        </left>
        <right style="medium">
          <color theme="4" tint="-0.24994659260841701"/>
        </right>
        <top/>
        <bottom style="thin">
          <color theme="4" tint="0.39994506668294322"/>
        </bottom>
      </border>
      <protection locked="1" hidden="0"/>
    </dxf>
    <dxf>
      <font>
        <b val="0"/>
        <i val="0"/>
        <strike val="0"/>
        <condense val="0"/>
        <extend val="0"/>
        <outline val="0"/>
        <shadow val="0"/>
        <u val="none"/>
        <vertAlign val="baseline"/>
        <sz val="8"/>
        <color theme="3" tint="-0.499984740745262"/>
        <name val="Calibri"/>
        <family val="2"/>
        <scheme val="minor"/>
      </font>
      <border diagonalUp="0" diagonalDown="0" outline="0">
        <left style="medium">
          <color theme="4" tint="-0.24994659260841701"/>
        </left>
        <right style="medium">
          <color theme="4" tint="-0.24994659260841701"/>
        </right>
        <top/>
        <bottom style="thin">
          <color theme="4" tint="0.39994506668294322"/>
        </bottom>
      </border>
      <protection locked="1" hidden="0"/>
    </dxf>
    <dxf>
      <font>
        <b val="0"/>
        <i val="0"/>
        <strike val="0"/>
        <condense val="0"/>
        <extend val="0"/>
        <outline val="0"/>
        <shadow val="0"/>
        <u val="none"/>
        <vertAlign val="baseline"/>
        <sz val="8"/>
        <color theme="3" tint="-0.499984740745262"/>
        <name val="Calibri"/>
        <family val="2"/>
        <scheme val="minor"/>
      </font>
      <border diagonalUp="0" diagonalDown="0" outline="0">
        <left style="medium">
          <color theme="4" tint="-0.24994659260841701"/>
        </left>
        <right style="medium">
          <color theme="4" tint="-0.24994659260841701"/>
        </right>
        <top/>
        <bottom style="thin">
          <color theme="4" tint="0.39994506668294322"/>
        </bottom>
      </border>
      <protection locked="1" hidden="0"/>
    </dxf>
    <dxf>
      <font>
        <b val="0"/>
        <i val="0"/>
        <strike val="0"/>
        <condense val="0"/>
        <extend val="0"/>
        <outline val="0"/>
        <shadow val="0"/>
        <u val="none"/>
        <vertAlign val="baseline"/>
        <sz val="8"/>
        <color theme="3" tint="-0.499984740745262"/>
        <name val="Calibri"/>
        <family val="2"/>
        <scheme val="minor"/>
      </font>
      <border diagonalUp="0" diagonalDown="0" outline="0">
        <left style="medium">
          <color theme="4" tint="-0.24994659260841701"/>
        </left>
        <right style="medium">
          <color theme="4" tint="-0.24994659260841701"/>
        </right>
        <top/>
        <bottom style="thin">
          <color theme="4" tint="0.39994506668294322"/>
        </bottom>
      </border>
      <protection locked="1" hidden="0"/>
    </dxf>
    <dxf>
      <font>
        <b val="0"/>
        <i val="0"/>
        <strike val="0"/>
        <condense val="0"/>
        <extend val="0"/>
        <outline val="0"/>
        <shadow val="0"/>
        <u val="none"/>
        <vertAlign val="baseline"/>
        <sz val="8"/>
        <color theme="3" tint="-0.499984740745262"/>
        <name val="Calibri"/>
        <family val="2"/>
        <scheme val="minor"/>
      </font>
      <border diagonalUp="0" diagonalDown="0" outline="0">
        <left style="medium">
          <color theme="4" tint="-0.24994659260841701"/>
        </left>
        <right style="medium">
          <color theme="4" tint="-0.24994659260841701"/>
        </right>
        <top/>
        <bottom style="thin">
          <color theme="4" tint="0.39994506668294322"/>
        </bottom>
      </border>
      <protection locked="1" hidden="0"/>
    </dxf>
    <dxf>
      <font>
        <b val="0"/>
        <i val="0"/>
        <strike val="0"/>
        <condense val="0"/>
        <extend val="0"/>
        <outline val="0"/>
        <shadow val="0"/>
        <u val="none"/>
        <vertAlign val="baseline"/>
        <sz val="8"/>
        <color theme="3" tint="-0.499984740745262"/>
        <name val="Calibri"/>
        <family val="2"/>
        <scheme val="minor"/>
      </font>
      <border diagonalUp="0" diagonalDown="0" outline="0">
        <left style="medium">
          <color theme="4" tint="-0.24994659260841701"/>
        </left>
        <right style="medium">
          <color theme="4" tint="-0.24994659260841701"/>
        </right>
        <top/>
        <bottom style="thin">
          <color theme="4" tint="0.39994506668294322"/>
        </bottom>
      </border>
      <protection locked="1" hidden="0"/>
    </dxf>
    <dxf>
      <font>
        <b val="0"/>
        <i val="0"/>
        <strike val="0"/>
        <condense val="0"/>
        <extend val="0"/>
        <outline val="0"/>
        <shadow val="0"/>
        <u val="none"/>
        <vertAlign val="baseline"/>
        <sz val="8"/>
        <color auto="1"/>
        <name val="Calibri"/>
        <family val="2"/>
        <scheme val="none"/>
      </font>
      <alignment horizontal="left" vertical="bottom" textRotation="0" wrapText="0" indent="0" justifyLastLine="0" shrinkToFit="0" readingOrder="0"/>
      <border diagonalUp="0" diagonalDown="0" outline="0">
        <left style="thin">
          <color theme="0" tint="-0.14996795556505021"/>
        </left>
        <right style="thin">
          <color theme="0" tint="-0.14996795556505021"/>
        </right>
        <top/>
        <bottom style="thin">
          <color theme="0" tint="-0.14996795556505021"/>
        </bottom>
      </border>
      <protection locked="1" hidden="0"/>
    </dxf>
    <dxf>
      <font>
        <b val="0"/>
        <i val="0"/>
        <strike val="0"/>
        <condense val="0"/>
        <extend val="0"/>
        <outline val="0"/>
        <shadow val="0"/>
        <u val="none"/>
        <vertAlign val="baseline"/>
        <sz val="8"/>
        <color theme="3" tint="-0.499984740745262"/>
        <name val="Calibri"/>
        <family val="2"/>
        <scheme val="minor"/>
      </font>
      <border diagonalUp="0" diagonalDown="0" outline="0">
        <left style="medium">
          <color theme="4" tint="-0.24994659260841701"/>
        </left>
        <right style="medium">
          <color theme="4" tint="-0.24994659260841701"/>
        </right>
        <top/>
        <bottom style="thin">
          <color theme="4" tint="0.39994506668294322"/>
        </bottom>
      </border>
      <protection locked="1" hidden="0"/>
    </dxf>
    <dxf>
      <border outline="0">
        <top style="medium">
          <color theme="4" tint="-0.499984740745262"/>
        </top>
      </border>
    </dxf>
    <dxf>
      <font>
        <b val="0"/>
        <i val="0"/>
        <strike val="0"/>
        <condense val="0"/>
        <extend val="0"/>
        <outline val="0"/>
        <shadow val="0"/>
        <u val="none"/>
        <vertAlign val="baseline"/>
        <sz val="8"/>
        <color theme="3" tint="-0.499984740745262"/>
        <name val="Calibri"/>
        <family val="2"/>
        <scheme val="minor"/>
      </font>
      <protection locked="1" hidden="0"/>
    </dxf>
    <dxf>
      <font>
        <b/>
        <i val="0"/>
        <strike val="0"/>
        <condense val="0"/>
        <extend val="0"/>
        <outline val="0"/>
        <shadow val="0"/>
        <u val="none"/>
        <vertAlign val="baseline"/>
        <sz val="9"/>
        <color theme="0"/>
        <name val="Calibri"/>
        <family val="2"/>
        <scheme val="minor"/>
      </font>
      <fill>
        <patternFill patternType="solid">
          <fgColor indexed="64"/>
          <bgColor theme="4" tint="-0.249977111117893"/>
        </patternFill>
      </fill>
      <alignment horizontal="center" vertical="center" textRotation="0" wrapText="0" indent="0" justifyLastLine="0" shrinkToFit="0" readingOrder="0"/>
      <protection locked="1" hidden="0"/>
    </dxf>
    <dxf>
      <numFmt numFmtId="165" formatCode="_(* #,##0_);_(* \(#,##0\);_(* &quot;-&quot;??_);_(@_)"/>
    </dxf>
    <dxf>
      <numFmt numFmtId="165" formatCode="_(* #,##0_);_(* \(#,##0\);_(* &quot;-&quot;??_);_(@_)"/>
    </dxf>
    <dxf>
      <font>
        <strike val="0"/>
        <outline val="0"/>
        <shadow val="0"/>
        <u val="none"/>
        <vertAlign val="baseline"/>
        <color auto="1"/>
        <name val="Calibri"/>
        <family val="2"/>
        <scheme val="minor"/>
      </font>
      <numFmt numFmtId="1" formatCode="0"/>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numFmt numFmtId="166" formatCode="0.0%"/>
    </dxf>
    <dxf>
      <numFmt numFmtId="166" formatCode="0.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Trebuchet MS"/>
        <family val="2"/>
        <scheme val="none"/>
      </font>
      <numFmt numFmtId="165" formatCode="_(* #,##0_);_(* \(#,##0\);_(* &quot;-&quot;??_);_(@_)"/>
    </dxf>
    <dxf>
      <font>
        <strike val="0"/>
        <outline val="0"/>
        <shadow val="0"/>
        <u val="none"/>
        <vertAlign val="baseline"/>
        <sz val="10"/>
        <color theme="1"/>
        <name val="Trebuchet MS"/>
        <family val="2"/>
        <scheme val="none"/>
      </font>
      <numFmt numFmtId="165" formatCode="_(* #,##0_);_(* \(#,##0\);_(* &quot;-&quot;??_);_(@_)"/>
      <border diagonalUp="0" diagonalDown="0">
        <left style="thin">
          <color theme="0" tint="-0.24994659260841701"/>
        </left>
        <right style="thin">
          <color theme="0" tint="-0.24994659260841701"/>
        </right>
        <top style="thin">
          <color theme="0" tint="-0.24994659260841701"/>
        </top>
        <bottom style="thin">
          <color theme="0" tint="-0.24994659260841701"/>
        </bottom>
      </border>
    </dxf>
    <dxf>
      <numFmt numFmtId="165" formatCode="_(* #,##0_);_(* \(#,##0\);_(* &quot;-&quot;??_);_(@_)"/>
    </dxf>
    <dxf>
      <numFmt numFmtId="165" formatCode="_(* #,##0_);_(* \(#,##0\);_(* &quot;-&quot;??_);_(@_)"/>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numFmt numFmtId="165" formatCode="_(* #,##0_);_(* \(#,##0\);_(* &quot;-&quot;??_);_(@_)"/>
    </dxf>
    <dxf>
      <numFmt numFmtId="165" formatCode="_(* #,##0_);_(* \(#,##0\);_(* &quot;-&quot;??_);_(@_)"/>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numFmt numFmtId="165" formatCode="_(* #,##0_);_(* \(#,##0\);_(* &quot;-&quot;??_);_(@_)"/>
    </dxf>
    <dxf>
      <numFmt numFmtId="165" formatCode="_(* #,##0_);_(* \(#,##0\);_(* &quot;-&quot;??_);_(@_)"/>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numFmt numFmtId="165" formatCode="_(* #,##0_);_(* \(#,##0\);_(* &quot;-&quot;??_);_(@_)"/>
    </dxf>
    <dxf>
      <numFmt numFmtId="165" formatCode="_(* #,##0_);_(* \(#,##0\);_(* &quot;-&quot;??_);_(@_)"/>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numFmt numFmtId="165" formatCode="_(* #,##0_);_(* \(#,##0\);_(* &quot;-&quot;??_);_(@_)"/>
    </dxf>
    <dxf>
      <numFmt numFmtId="165" formatCode="_(* #,##0_);_(* \(#,##0\);_(* &quot;-&quot;??_);_(@_)"/>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numFmt numFmtId="165" formatCode="_(* #,##0_);_(* \(#,##0\);_(* &quot;-&quot;??_);_(@_)"/>
    </dxf>
    <dxf>
      <numFmt numFmtId="165" formatCode="_(* #,##0_);_(* \(#,##0\);_(* &quot;-&quot;??_);_(@_)"/>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3" tint="-0.499984740745262"/>
        <name val="Calibri"/>
        <family val="2"/>
        <scheme val="minor"/>
      </font>
      <border diagonalUp="0" diagonalDown="0" outline="0">
        <left style="medium">
          <color theme="4" tint="-0.24994659260841701"/>
        </left>
        <right style="medium">
          <color theme="4" tint="-0.24994659260841701"/>
        </right>
        <top/>
        <bottom style="thin">
          <color theme="4" tint="0.39994506668294322"/>
        </bottom>
      </border>
    </dxf>
    <dxf>
      <font>
        <b val="0"/>
        <i val="0"/>
        <strike val="0"/>
        <condense val="0"/>
        <extend val="0"/>
        <outline val="0"/>
        <shadow val="0"/>
        <u val="none"/>
        <vertAlign val="baseline"/>
        <sz val="8"/>
        <color theme="3" tint="-0.499984740745262"/>
        <name val="Calibri"/>
        <family val="2"/>
        <scheme val="minor"/>
      </font>
      <fill>
        <patternFill patternType="solid">
          <fgColor theme="4" tint="0.79998168889431442"/>
          <bgColor theme="4" tint="0.79998168889431442"/>
        </patternFill>
      </fill>
      <alignment horizontal="left" textRotation="0" wrapText="0" indent="0" justifyLastLine="0" shrinkToFit="0" readingOrder="0"/>
      <border diagonalUp="0" diagonalDown="0">
        <left style="medium">
          <color theme="4" tint="-0.24994659260841701"/>
        </left>
        <right style="medium">
          <color theme="4" tint="-0.24994659260841701"/>
        </right>
        <top/>
        <bottom style="thin">
          <color theme="4" tint="0.39994506668294322"/>
        </bottom>
        <vertical/>
        <horizontal/>
      </border>
    </dxf>
    <dxf>
      <font>
        <b val="0"/>
        <i val="0"/>
        <strike val="0"/>
        <condense val="0"/>
        <extend val="0"/>
        <outline val="0"/>
        <shadow val="0"/>
        <u val="none"/>
        <vertAlign val="baseline"/>
        <sz val="8"/>
        <color theme="3" tint="-0.499984740745262"/>
        <name val="Calibri"/>
        <family val="2"/>
        <scheme val="minor"/>
      </font>
      <border diagonalUp="0" diagonalDown="0" outline="0">
        <left style="medium">
          <color theme="4" tint="-0.24994659260841701"/>
        </left>
        <right style="medium">
          <color theme="4" tint="-0.24994659260841701"/>
        </right>
        <top/>
        <bottom style="thin">
          <color theme="4" tint="0.39994506668294322"/>
        </bottom>
      </border>
    </dxf>
    <dxf>
      <font>
        <b/>
        <sz val="8"/>
        <color theme="3" tint="-0.499984740745262"/>
      </font>
      <alignment horizontal="left" textRotation="0" wrapText="0" indent="0" justifyLastLine="0" shrinkToFit="0" readingOrder="0"/>
      <border diagonalUp="0" diagonalDown="0">
        <left style="medium">
          <color theme="4" tint="-0.24994659260841701"/>
        </left>
        <right style="medium">
          <color theme="4" tint="-0.24994659260841701"/>
        </right>
        <top/>
        <bottom style="thin">
          <color theme="4" tint="0.39994506668294322"/>
        </bottom>
        <vertical/>
        <horizontal/>
      </border>
    </dxf>
    <dxf>
      <font>
        <b val="0"/>
        <i val="0"/>
        <strike val="0"/>
        <condense val="0"/>
        <extend val="0"/>
        <outline val="0"/>
        <shadow val="0"/>
        <u val="none"/>
        <vertAlign val="baseline"/>
        <sz val="8"/>
        <color theme="3" tint="-0.499984740745262"/>
        <name val="Calibri"/>
        <family val="2"/>
        <scheme val="minor"/>
      </font>
      <border diagonalUp="0" diagonalDown="0" outline="0">
        <left style="medium">
          <color theme="4" tint="-0.24994659260841701"/>
        </left>
        <right style="medium">
          <color theme="4" tint="-0.24994659260841701"/>
        </right>
        <top/>
        <bottom style="thin">
          <color theme="4" tint="0.39994506668294322"/>
        </bottom>
      </border>
    </dxf>
    <dxf>
      <font>
        <b val="0"/>
        <i val="0"/>
        <strike val="0"/>
        <condense val="0"/>
        <extend val="0"/>
        <outline val="0"/>
        <shadow val="0"/>
        <u val="none"/>
        <vertAlign val="baseline"/>
        <sz val="8"/>
        <color theme="3" tint="-0.499984740745262"/>
        <name val="Calibri"/>
        <family val="2"/>
        <scheme val="minor"/>
      </font>
      <fill>
        <patternFill patternType="solid">
          <fgColor theme="4" tint="0.79998168889431442"/>
          <bgColor theme="4" tint="0.79998168889431442"/>
        </patternFill>
      </fill>
      <alignment horizontal="center" textRotation="0" indent="0" justifyLastLine="0" shrinkToFit="0" readingOrder="0"/>
      <border diagonalUp="0" diagonalDown="0">
        <left style="medium">
          <color theme="4" tint="-0.24994659260841701"/>
        </left>
        <right style="medium">
          <color theme="4" tint="-0.24994659260841701"/>
        </right>
        <top/>
        <bottom style="thin">
          <color theme="4" tint="0.39994506668294322"/>
        </bottom>
        <vertical/>
        <horizontal/>
      </border>
    </dxf>
    <dxf>
      <font>
        <b val="0"/>
        <i val="0"/>
        <strike val="0"/>
        <condense val="0"/>
        <extend val="0"/>
        <outline val="0"/>
        <shadow val="0"/>
        <u val="none"/>
        <vertAlign val="baseline"/>
        <sz val="8"/>
        <color theme="3" tint="-0.499984740745262"/>
        <name val="Calibri"/>
        <family val="2"/>
        <scheme val="minor"/>
      </font>
      <border diagonalUp="0" diagonalDown="0" outline="0">
        <left style="medium">
          <color theme="4" tint="-0.24994659260841701"/>
        </left>
        <right style="medium">
          <color theme="4" tint="-0.24994659260841701"/>
        </right>
        <top/>
        <bottom style="thin">
          <color theme="4" tint="0.39994506668294322"/>
        </bottom>
      </border>
    </dxf>
    <dxf>
      <font>
        <b val="0"/>
        <i val="0"/>
        <strike val="0"/>
        <condense val="0"/>
        <extend val="0"/>
        <outline val="0"/>
        <shadow val="0"/>
        <u val="none"/>
        <vertAlign val="baseline"/>
        <sz val="8"/>
        <color theme="3" tint="-0.499984740745262"/>
        <name val="Calibri"/>
        <family val="2"/>
        <scheme val="minor"/>
      </font>
      <fill>
        <patternFill patternType="solid">
          <fgColor theme="4" tint="0.79998168889431442"/>
          <bgColor theme="4" tint="0.79998168889431442"/>
        </patternFill>
      </fill>
      <alignment horizontal="center" textRotation="0" indent="0" justifyLastLine="0" shrinkToFit="0" readingOrder="0"/>
      <border diagonalUp="0" diagonalDown="0">
        <left style="medium">
          <color theme="4" tint="-0.24994659260841701"/>
        </left>
        <right style="medium">
          <color theme="4" tint="-0.24994659260841701"/>
        </right>
        <top/>
        <bottom style="thin">
          <color theme="4" tint="0.39994506668294322"/>
        </bottom>
        <vertical/>
        <horizontal/>
      </border>
    </dxf>
    <dxf>
      <font>
        <b val="0"/>
        <i val="0"/>
        <strike val="0"/>
        <condense val="0"/>
        <extend val="0"/>
        <outline val="0"/>
        <shadow val="0"/>
        <u val="none"/>
        <vertAlign val="baseline"/>
        <sz val="8"/>
        <color theme="3" tint="-0.499984740745262"/>
        <name val="Calibri"/>
        <family val="2"/>
        <scheme val="minor"/>
      </font>
      <border diagonalUp="0" diagonalDown="0" outline="0">
        <left style="medium">
          <color theme="4" tint="-0.24994659260841701"/>
        </left>
        <right style="medium">
          <color theme="4" tint="-0.24994659260841701"/>
        </right>
        <top/>
        <bottom style="thin">
          <color theme="4" tint="0.39994506668294322"/>
        </bottom>
      </border>
    </dxf>
    <dxf>
      <font>
        <b val="0"/>
        <i val="0"/>
        <strike val="0"/>
        <condense val="0"/>
        <extend val="0"/>
        <outline val="0"/>
        <shadow val="0"/>
        <u val="none"/>
        <vertAlign val="baseline"/>
        <sz val="8"/>
        <color theme="3" tint="-0.499984740745262"/>
        <name val="Calibri"/>
        <family val="2"/>
        <scheme val="none"/>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medium">
          <color theme="4" tint="-0.24994659260841701"/>
        </left>
        <right style="medium">
          <color theme="4" tint="-0.24994659260841701"/>
        </right>
        <top/>
        <bottom style="thin">
          <color theme="4" tint="0.39994506668294322"/>
        </bottom>
        <vertical/>
        <horizontal/>
      </border>
    </dxf>
    <dxf>
      <font>
        <b val="0"/>
        <i val="0"/>
        <strike val="0"/>
        <condense val="0"/>
        <extend val="0"/>
        <outline val="0"/>
        <shadow val="0"/>
        <u val="none"/>
        <vertAlign val="baseline"/>
        <sz val="8"/>
        <color theme="3" tint="-0.499984740745262"/>
        <name val="Calibri"/>
        <family val="2"/>
        <scheme val="minor"/>
      </font>
      <border diagonalUp="0" diagonalDown="0" outline="0">
        <left style="medium">
          <color theme="4" tint="-0.24994659260841701"/>
        </left>
        <right style="medium">
          <color theme="4" tint="-0.24994659260841701"/>
        </right>
        <top/>
        <bottom style="thin">
          <color theme="4" tint="0.39994506668294322"/>
        </bottom>
      </border>
    </dxf>
    <dxf>
      <font>
        <b val="0"/>
        <i val="0"/>
        <strike val="0"/>
        <condense val="0"/>
        <extend val="0"/>
        <outline val="0"/>
        <shadow val="0"/>
        <u val="none"/>
        <vertAlign val="baseline"/>
        <sz val="8"/>
        <color theme="3" tint="-0.499984740745262"/>
        <name val="Calibri"/>
        <family val="2"/>
        <scheme val="minor"/>
      </font>
      <fill>
        <patternFill patternType="solid">
          <fgColor theme="4" tint="0.79998168889431442"/>
          <bgColor theme="4" tint="0.79998168889431442"/>
        </patternFill>
      </fill>
      <alignment horizontal="left" textRotation="0" wrapText="0" indent="0" justifyLastLine="0" shrinkToFit="0" readingOrder="0"/>
      <border diagonalUp="0" diagonalDown="0">
        <left style="medium">
          <color theme="4" tint="-0.24994659260841701"/>
        </left>
        <right style="medium">
          <color theme="4" tint="-0.24994659260841701"/>
        </right>
        <top/>
        <bottom style="thin">
          <color theme="4" tint="0.39994506668294322"/>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dxf>
    <dxf>
      <font>
        <b/>
        <i val="0"/>
        <strike val="0"/>
        <condense val="0"/>
        <extend val="0"/>
        <outline val="0"/>
        <shadow val="0"/>
        <u val="none"/>
        <vertAlign val="baseline"/>
        <sz val="8"/>
        <color theme="3" tint="-0.499984740745262"/>
        <name val="Calibri"/>
        <family val="2"/>
        <scheme val="minor"/>
      </font>
      <numFmt numFmtId="165" formatCode="_(* #,##0_);_(* \(#,##0\);_(* &quot;-&quot;??_);_(@_)"/>
      <fill>
        <patternFill patternType="solid">
          <fgColor indexed="64"/>
          <bgColor theme="5" tint="0.79998168889431442"/>
        </patternFill>
      </fill>
      <alignment horizontal="center" vertical="bottom" textRotation="0" wrapText="0" indent="0" justifyLastLine="0" shrinkToFit="0" readingOrder="0"/>
      <border diagonalUp="0" diagonalDown="0" outline="0">
        <left style="medium">
          <color theme="4" tint="-0.24994659260841701"/>
        </left>
        <right style="medium">
          <color theme="4" tint="-0.24994659260841701"/>
        </right>
        <top/>
        <bottom/>
      </border>
    </dxf>
    <dxf>
      <font>
        <b/>
        <i val="0"/>
        <strike val="0"/>
        <condense val="0"/>
        <extend val="0"/>
        <outline val="0"/>
        <shadow val="0"/>
        <u val="none"/>
        <vertAlign val="baseline"/>
        <sz val="11"/>
        <color theme="0"/>
        <name val="Calibri"/>
        <family val="2"/>
        <scheme val="minor"/>
      </font>
      <numFmt numFmtId="165" formatCode="_(* #,##0_);_(* \(#,##0\);_(* &quot;-&quot;??_);_(@_)"/>
      <alignment horizontal="center" vertical="bottom" textRotation="0" wrapText="0" indent="0" justifyLastLine="0" shrinkToFit="0" readingOrder="0"/>
    </dxf>
    <dxf>
      <font>
        <b/>
        <strike val="0"/>
        <outline val="0"/>
        <shadow val="0"/>
        <u val="none"/>
        <vertAlign val="baseline"/>
        <sz val="11"/>
        <color auto="1"/>
        <name val="Calibri"/>
        <family val="2"/>
        <scheme val="minor"/>
      </font>
      <numFmt numFmtId="1" formatCode="0"/>
      <alignment horizontal="center" vertical="bottom" textRotation="0" wrapText="0" indent="0" justifyLastLine="0" shrinkToFit="0" readingOrder="0"/>
    </dxf>
    <dxf>
      <numFmt numFmtId="166" formatCode="0.0%"/>
      <border diagonalUp="0" diagonalDown="0" outline="0">
        <left style="thin">
          <color theme="0" tint="-0.24994659260841701"/>
        </left>
        <right style="thin">
          <color theme="0" tint="-0.24994659260841701"/>
        </right>
        <top style="thin">
          <color theme="0" tint="-0.24994659260841701"/>
        </top>
        <bottom/>
      </border>
    </dxf>
    <dxf>
      <numFmt numFmtId="166" formatCode="0.0%"/>
      <border diagonalUp="0" diagonalDown="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family val="2"/>
        <scheme val="minor"/>
      </font>
      <numFmt numFmtId="165" formatCode="_(* #,##0_);_(* \(#,##0\);_(* &quot;-&quot;??_);_(@_)"/>
    </dxf>
    <dxf>
      <font>
        <strike val="0"/>
        <outline val="0"/>
        <shadow val="0"/>
        <u val="none"/>
        <vertAlign val="baseline"/>
        <sz val="10"/>
        <color theme="1"/>
        <name val="Calibri"/>
        <family val="2"/>
        <scheme val="minor"/>
      </font>
      <numFmt numFmtId="165" formatCode="_(* #,##0_);_(* \(#,##0\);_(* &quot;-&quot;??_);_(@_)"/>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8"/>
        <color theme="3" tint="-0.499984740745262"/>
        <name val="Calibri"/>
        <family val="2"/>
        <scheme val="minor"/>
      </font>
      <alignment horizontal="left" vertical="bottom" textRotation="0" wrapText="0" indent="0" justifyLastLine="0" shrinkToFit="0" readingOrder="0"/>
      <border diagonalUp="0" diagonalDown="0" outline="0">
        <left/>
        <right style="medium">
          <color theme="4" tint="-0.24994659260841701"/>
        </right>
        <top/>
        <bottom/>
      </border>
    </dxf>
    <dxf>
      <font>
        <b val="0"/>
        <i val="0"/>
        <strike val="0"/>
        <condense val="0"/>
        <extend val="0"/>
        <outline val="0"/>
        <shadow val="0"/>
        <u val="none"/>
        <vertAlign val="baseline"/>
        <sz val="8"/>
        <color theme="3" tint="-0.499984740745262"/>
        <name val="Calibri"/>
        <family val="2"/>
        <scheme val="minor"/>
      </font>
      <alignment horizontal="left" textRotation="0" wrapText="0" indent="0" justifyLastLine="0" shrinkToFit="0" readingOrder="0"/>
      <border diagonalUp="0" diagonalDown="0" outline="0">
        <left/>
        <right style="medium">
          <color theme="4" tint="-0.24994659260841701"/>
        </right>
        <top/>
        <bottom style="thin">
          <color theme="4" tint="0.39994506668294322"/>
        </bottom>
      </border>
    </dxf>
    <dxf>
      <font>
        <b/>
        <i val="0"/>
        <strike val="0"/>
        <condense val="0"/>
        <extend val="0"/>
        <outline val="0"/>
        <shadow val="0"/>
        <u val="none"/>
        <vertAlign val="baseline"/>
        <sz val="8"/>
        <color theme="3" tint="-0.499984740745262"/>
        <name val="Calibri"/>
        <family val="2"/>
        <scheme val="minor"/>
      </font>
      <alignment horizontal="left" vertical="bottom" textRotation="0" wrapText="0" indent="0" justifyLastLine="0" shrinkToFit="0" readingOrder="0"/>
      <border diagonalUp="0" diagonalDown="0" outline="0">
        <left/>
        <right style="medium">
          <color theme="4" tint="-0.24994659260841701"/>
        </right>
        <top/>
        <bottom/>
      </border>
    </dxf>
    <dxf>
      <font>
        <b/>
        <i val="0"/>
        <strike val="0"/>
        <condense val="0"/>
        <extend val="0"/>
        <outline val="0"/>
        <shadow val="0"/>
        <u val="none"/>
        <vertAlign val="baseline"/>
        <sz val="8"/>
        <color theme="3" tint="-0.499984740745262"/>
        <name val="Calibri"/>
        <family val="2"/>
        <scheme val="minor"/>
      </font>
      <alignment horizontal="left" textRotation="0" wrapText="0" indent="0" justifyLastLine="0" shrinkToFit="0" readingOrder="0"/>
      <border diagonalUp="0" diagonalDown="0" outline="0">
        <left/>
        <right style="medium">
          <color theme="4" tint="-0.24994659260841701"/>
        </right>
        <top/>
        <bottom style="thin">
          <color theme="4" tint="0.39994506668294322"/>
        </bottom>
      </border>
    </dxf>
    <dxf>
      <font>
        <b val="0"/>
        <i val="0"/>
        <strike val="0"/>
        <condense val="0"/>
        <extend val="0"/>
        <outline val="0"/>
        <shadow val="0"/>
        <u val="none"/>
        <vertAlign val="baseline"/>
        <sz val="8"/>
        <color theme="3" tint="-0.499984740745262"/>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3" tint="-0.499984740745262"/>
        <name val="Calibri"/>
        <family val="2"/>
        <scheme val="minor"/>
      </font>
      <alignment horizontal="center" textRotation="0" indent="0" justifyLastLine="0" shrinkToFit="0" readingOrder="0"/>
      <border diagonalUp="0" diagonalDown="0" outline="0">
        <left/>
        <right/>
        <top/>
        <bottom style="thin">
          <color theme="4" tint="0.39994506668294322"/>
        </bottom>
      </border>
    </dxf>
    <dxf>
      <font>
        <b val="0"/>
        <i val="0"/>
        <strike val="0"/>
        <condense val="0"/>
        <extend val="0"/>
        <outline val="0"/>
        <shadow val="0"/>
        <u val="none"/>
        <vertAlign val="baseline"/>
        <sz val="8"/>
        <color theme="3" tint="-0.499984740745262"/>
        <name val="Calibri"/>
        <family val="2"/>
        <scheme val="minor"/>
      </font>
      <alignment horizontal="center" vertical="bottom" textRotation="0" wrapText="0" indent="0" justifyLastLine="0" shrinkToFit="0" readingOrder="0"/>
      <border diagonalUp="0" diagonalDown="0" outline="0">
        <left/>
        <right style="medium">
          <color theme="4" tint="-0.24994659260841701"/>
        </right>
        <top/>
        <bottom/>
      </border>
    </dxf>
    <dxf>
      <font>
        <b val="0"/>
        <i val="0"/>
        <strike val="0"/>
        <condense val="0"/>
        <extend val="0"/>
        <outline val="0"/>
        <shadow val="0"/>
        <u val="none"/>
        <vertAlign val="baseline"/>
        <sz val="8"/>
        <color theme="3" tint="-0.499984740745262"/>
        <name val="Calibri"/>
        <family val="2"/>
        <scheme val="minor"/>
      </font>
      <alignment horizontal="center" textRotation="0" indent="0" justifyLastLine="0" shrinkToFit="0" readingOrder="0"/>
      <border diagonalUp="0" diagonalDown="0" outline="0">
        <left/>
        <right style="medium">
          <color theme="4" tint="-0.24994659260841701"/>
        </right>
        <top/>
        <bottom style="thin">
          <color theme="4" tint="0.39994506668294322"/>
        </bottom>
      </border>
    </dxf>
    <dxf>
      <font>
        <b val="0"/>
        <i val="0"/>
        <strike val="0"/>
        <condense val="0"/>
        <extend val="0"/>
        <outline val="0"/>
        <shadow val="0"/>
        <u val="none"/>
        <vertAlign val="baseline"/>
        <sz val="8"/>
        <color auto="1"/>
        <name val="Calibri"/>
        <family val="2"/>
        <scheme val="none"/>
      </font>
      <alignment horizontal="center" vertical="bottom" textRotation="0" wrapText="0" indent="0" justifyLastLine="0" shrinkToFit="0" readingOrder="0"/>
      <border diagonalUp="0" diagonalDown="0" outline="0">
        <left/>
        <right style="thin">
          <color theme="0" tint="-0.14996795556505021"/>
        </right>
        <top/>
        <bottom/>
      </border>
      <protection locked="0" hidden="0"/>
    </dxf>
    <dxf>
      <font>
        <b val="0"/>
        <i val="0"/>
        <strike val="0"/>
        <condense val="0"/>
        <extend val="0"/>
        <outline val="0"/>
        <shadow val="0"/>
        <u val="none"/>
        <vertAlign val="baseline"/>
        <sz val="8"/>
        <color auto="1"/>
        <name val="Calibri"/>
        <family val="2"/>
        <scheme val="none"/>
      </font>
      <alignment horizontal="center" vertical="bottom" textRotation="0" wrapText="0" indent="0" justifyLastLine="0" shrinkToFit="0" readingOrder="0"/>
      <border diagonalUp="0" diagonalDown="0" outline="0">
        <left/>
        <right style="thin">
          <color theme="0" tint="-0.14996795556505021"/>
        </right>
        <top/>
        <bottom style="thin">
          <color theme="0" tint="-0.14996795556505021"/>
        </bottom>
      </border>
      <protection locked="0" hidden="0"/>
    </dxf>
    <dxf>
      <font>
        <b val="0"/>
        <i val="0"/>
        <strike val="0"/>
        <condense val="0"/>
        <extend val="0"/>
        <outline val="0"/>
        <shadow val="0"/>
        <u val="none"/>
        <vertAlign val="baseline"/>
        <sz val="8"/>
        <color theme="3" tint="-0.499984740745262"/>
        <name val="Calibri"/>
        <family val="2"/>
        <scheme val="minor"/>
      </font>
      <alignment horizontal="left" vertical="bottom" textRotation="0" wrapText="0" indent="0" justifyLastLine="0" shrinkToFit="0" readingOrder="0"/>
      <border diagonalUp="0" diagonalDown="0" outline="0">
        <left style="medium">
          <color theme="4" tint="-0.24994659260841701"/>
        </left>
        <right style="medium">
          <color theme="4" tint="-0.24994659260841701"/>
        </right>
        <top/>
        <bottom/>
      </border>
    </dxf>
    <dxf>
      <font>
        <b val="0"/>
        <i val="0"/>
        <strike val="0"/>
        <condense val="0"/>
        <extend val="0"/>
        <outline val="0"/>
        <shadow val="0"/>
        <u val="none"/>
        <vertAlign val="baseline"/>
        <sz val="8"/>
        <color theme="3" tint="-0.499984740745262"/>
        <name val="Calibri"/>
        <family val="2"/>
        <scheme val="minor"/>
      </font>
      <alignment horizontal="left" textRotation="0" wrapText="0" indent="0" justifyLastLine="0" shrinkToFit="0" readingOrder="0"/>
      <border diagonalUp="0" diagonalDown="0" outline="0">
        <left style="medium">
          <color theme="4" tint="-0.24994659260841701"/>
        </left>
        <right style="medium">
          <color theme="4" tint="-0.24994659260841701"/>
        </right>
        <top/>
        <bottom style="thin">
          <color theme="4" tint="0.39994506668294322"/>
        </bottom>
      </border>
    </dxf>
    <dxf>
      <font>
        <b/>
        <i val="0"/>
        <strike val="0"/>
        <condense val="0"/>
        <extend val="0"/>
        <outline val="0"/>
        <shadow val="0"/>
        <u val="none"/>
        <vertAlign val="baseline"/>
        <sz val="8"/>
        <color theme="3" tint="-0.499984740745262"/>
        <name val="Calibri"/>
        <family val="2"/>
        <scheme val="minor"/>
      </font>
      <numFmt numFmtId="165" formatCode="_(* #,##0_);_(* \(#,##0\);_(* &quot;-&quot;??_);_(@_)"/>
      <fill>
        <patternFill patternType="solid">
          <fgColor indexed="64"/>
          <bgColor theme="5" tint="0.79998168889431442"/>
        </patternFill>
      </fill>
      <alignment horizontal="center" vertical="bottom" textRotation="0" wrapText="0" indent="0" justifyLastLine="0" shrinkToFit="0" readingOrder="0"/>
      <border diagonalUp="0" diagonalDown="0" outline="0">
        <left style="medium">
          <color theme="4" tint="-0.24994659260841701"/>
        </left>
        <right style="medium">
          <color theme="4" tint="-0.24994659260841701"/>
        </right>
        <top/>
        <bottom/>
      </border>
    </dxf>
    <dxf>
      <numFmt numFmtId="165" formatCode="_(* #,##0_);_(* \(#,##0\);_(* &quot;-&quot;??_);_(@_)"/>
    </dxf>
    <dxf>
      <font>
        <strike val="0"/>
        <outline val="0"/>
        <shadow val="0"/>
        <u val="none"/>
        <vertAlign val="baseline"/>
        <color auto="1"/>
        <name val="Calibri"/>
        <family val="2"/>
        <scheme val="minor"/>
      </font>
      <numFmt numFmtId="1" formatCode="0"/>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numFmt numFmtId="166" formatCode="0.0%"/>
    </dxf>
    <dxf>
      <numFmt numFmtId="166" formatCode="0.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Trebuchet MS"/>
        <family val="2"/>
        <scheme val="none"/>
      </font>
      <numFmt numFmtId="165" formatCode="_(* #,##0_);_(* \(#,##0\);_(* &quot;-&quot;??_);_(@_)"/>
    </dxf>
    <dxf>
      <font>
        <strike val="0"/>
        <outline val="0"/>
        <shadow val="0"/>
        <u val="none"/>
        <vertAlign val="baseline"/>
        <sz val="10"/>
        <color theme="1"/>
        <name val="Trebuchet MS"/>
        <family val="2"/>
        <scheme val="none"/>
      </font>
      <numFmt numFmtId="165" formatCode="_(* #,##0_);_(* \(#,##0\);_(* &quot;-&quot;??_);_(@_)"/>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Trebuchet MS"/>
        <family val="2"/>
        <scheme val="none"/>
      </font>
      <numFmt numFmtId="165" formatCode="_(* #,##0_);_(* \(#,##0\);_(* &quot;-&quot;??_);_(@_)"/>
    </dxf>
    <dxf>
      <font>
        <strike val="0"/>
        <outline val="0"/>
        <shadow val="0"/>
        <u val="none"/>
        <vertAlign val="baseline"/>
        <sz val="10"/>
        <color theme="1"/>
        <name val="Trebuchet MS"/>
        <family val="2"/>
        <scheme val="none"/>
      </font>
      <numFmt numFmtId="165" formatCode="_(* #,##0_);_(* \(#,##0\);_(* &quot;-&quot;??_);_(@_)"/>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numFmt numFmtId="165" formatCode="_(* #,##0_);_(* \(#,##0\);_(* &quot;-&quot;??_);_(@_)"/>
    </dxf>
    <dxf>
      <numFmt numFmtId="165" formatCode="_(* #,##0_);_(* \(#,##0\);_(* &quot;-&quot;??_);_(@_)"/>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numFmt numFmtId="165" formatCode="_(* #,##0_);_(* \(#,##0\);_(* &quot;-&quot;??_);_(@_)"/>
    </dxf>
    <dxf>
      <numFmt numFmtId="165" formatCode="_(* #,##0_);_(* \(#,##0\);_(* &quot;-&quot;??_);_(@_)"/>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numFmt numFmtId="165" formatCode="_(* #,##0_);_(* \(#,##0\);_(* &quot;-&quot;??_);_(@_)"/>
    </dxf>
    <dxf>
      <numFmt numFmtId="165" formatCode="_(* #,##0_);_(* \(#,##0\);_(* &quot;-&quot;??_);_(@_)"/>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numFmt numFmtId="165" formatCode="_(* #,##0_);_(* \(#,##0\);_(* &quot;-&quot;??_);_(@_)"/>
    </dxf>
    <dxf>
      <numFmt numFmtId="165" formatCode="_(* #,##0_);_(* \(#,##0\);_(* &quot;-&quot;??_);_(@_)"/>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numFmt numFmtId="165" formatCode="_(* #,##0_);_(* \(#,##0\);_(* &quot;-&quot;??_);_(@_)"/>
    </dxf>
    <dxf>
      <numFmt numFmtId="165" formatCode="_(* #,##0_);_(* \(#,##0\);_(* &quot;-&quot;??_);_(@_)"/>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3" tint="-0.499984740745262"/>
        <name val="Calibri"/>
        <family val="2"/>
        <scheme val="minor"/>
      </font>
      <border diagonalUp="0" diagonalDown="0" outline="0">
        <left style="medium">
          <color theme="4" tint="-0.24994659260841701"/>
        </left>
        <right style="medium">
          <color theme="4" tint="-0.24994659260841701"/>
        </right>
        <top/>
        <bottom style="thin">
          <color theme="4" tint="0.39994506668294322"/>
        </bottom>
      </border>
    </dxf>
    <dxf>
      <font>
        <b val="0"/>
        <i val="0"/>
        <strike val="0"/>
        <condense val="0"/>
        <extend val="0"/>
        <outline val="0"/>
        <shadow val="0"/>
        <u val="none"/>
        <vertAlign val="baseline"/>
        <sz val="8"/>
        <color theme="3" tint="-0.499984740745262"/>
        <name val="Calibri"/>
        <family val="2"/>
        <scheme val="minor"/>
      </font>
      <fill>
        <patternFill patternType="solid">
          <fgColor theme="4" tint="0.79998168889431442"/>
          <bgColor theme="4" tint="0.79998168889431442"/>
        </patternFill>
      </fill>
      <alignment horizontal="left" textRotation="0" wrapText="0" indent="0" justifyLastLine="0" shrinkToFit="0" readingOrder="0"/>
      <border diagonalUp="0" diagonalDown="0">
        <left style="medium">
          <color theme="4" tint="-0.24994659260841701"/>
        </left>
        <right style="medium">
          <color theme="4" tint="-0.24994659260841701"/>
        </right>
        <top/>
        <bottom style="thin">
          <color theme="4" tint="0.39994506668294322"/>
        </bottom>
        <vertical/>
        <horizontal/>
      </border>
    </dxf>
    <dxf>
      <font>
        <b val="0"/>
        <i val="0"/>
        <strike val="0"/>
        <condense val="0"/>
        <extend val="0"/>
        <outline val="0"/>
        <shadow val="0"/>
        <u val="none"/>
        <vertAlign val="baseline"/>
        <sz val="8"/>
        <color theme="3" tint="-0.499984740745262"/>
        <name val="Calibri"/>
        <family val="2"/>
        <scheme val="minor"/>
      </font>
      <border diagonalUp="0" diagonalDown="0" outline="0">
        <left style="medium">
          <color theme="4" tint="-0.24994659260841701"/>
        </left>
        <right style="medium">
          <color theme="4" tint="-0.24994659260841701"/>
        </right>
        <top/>
        <bottom style="thin">
          <color theme="4" tint="0.39994506668294322"/>
        </bottom>
      </border>
    </dxf>
    <dxf>
      <font>
        <b/>
        <sz val="8"/>
        <color theme="3" tint="-0.499984740745262"/>
      </font>
      <alignment horizontal="left" textRotation="0" wrapText="0" indent="0" justifyLastLine="0" shrinkToFit="0" readingOrder="0"/>
      <border diagonalUp="0" diagonalDown="0">
        <left style="medium">
          <color theme="4" tint="-0.24994659260841701"/>
        </left>
        <right style="medium">
          <color theme="4" tint="-0.24994659260841701"/>
        </right>
        <top/>
        <bottom style="thin">
          <color theme="4" tint="0.39994506668294322"/>
        </bottom>
        <vertical/>
        <horizontal/>
      </border>
    </dxf>
    <dxf>
      <font>
        <b val="0"/>
        <i val="0"/>
        <strike val="0"/>
        <condense val="0"/>
        <extend val="0"/>
        <outline val="0"/>
        <shadow val="0"/>
        <u val="none"/>
        <vertAlign val="baseline"/>
        <sz val="8"/>
        <color theme="3" tint="-0.499984740745262"/>
        <name val="Calibri"/>
        <family val="2"/>
        <scheme val="minor"/>
      </font>
      <border diagonalUp="0" diagonalDown="0" outline="0">
        <left style="medium">
          <color theme="4" tint="-0.24994659260841701"/>
        </left>
        <right style="medium">
          <color theme="4" tint="-0.24994659260841701"/>
        </right>
        <top/>
        <bottom style="thin">
          <color theme="4" tint="0.39994506668294322"/>
        </bottom>
      </border>
    </dxf>
    <dxf>
      <font>
        <b val="0"/>
        <i val="0"/>
        <strike val="0"/>
        <condense val="0"/>
        <extend val="0"/>
        <outline val="0"/>
        <shadow val="0"/>
        <u val="none"/>
        <vertAlign val="baseline"/>
        <sz val="8"/>
        <color theme="3" tint="-0.499984740745262"/>
        <name val="Calibri"/>
        <family val="2"/>
        <scheme val="minor"/>
      </font>
      <fill>
        <patternFill patternType="solid">
          <fgColor theme="4" tint="0.79998168889431442"/>
          <bgColor theme="4" tint="0.79998168889431442"/>
        </patternFill>
      </fill>
      <alignment horizontal="center" textRotation="0" indent="0" justifyLastLine="0" shrinkToFit="0" readingOrder="0"/>
      <border diagonalUp="0" diagonalDown="0">
        <left style="medium">
          <color theme="4" tint="-0.24994659260841701"/>
        </left>
        <right style="medium">
          <color theme="4" tint="-0.24994659260841701"/>
        </right>
        <top/>
        <bottom style="thin">
          <color theme="4" tint="0.39994506668294322"/>
        </bottom>
        <vertical/>
        <horizontal/>
      </border>
    </dxf>
    <dxf>
      <font>
        <b val="0"/>
        <i val="0"/>
        <strike val="0"/>
        <condense val="0"/>
        <extend val="0"/>
        <outline val="0"/>
        <shadow val="0"/>
        <u val="none"/>
        <vertAlign val="baseline"/>
        <sz val="8"/>
        <color theme="3" tint="-0.499984740745262"/>
        <name val="Calibri"/>
        <family val="2"/>
        <scheme val="minor"/>
      </font>
      <border diagonalUp="0" diagonalDown="0" outline="0">
        <left style="medium">
          <color theme="4" tint="-0.24994659260841701"/>
        </left>
        <right style="medium">
          <color theme="4" tint="-0.24994659260841701"/>
        </right>
        <top/>
        <bottom style="thin">
          <color theme="4" tint="0.39994506668294322"/>
        </bottom>
      </border>
    </dxf>
    <dxf>
      <font>
        <b val="0"/>
        <i val="0"/>
        <strike val="0"/>
        <condense val="0"/>
        <extend val="0"/>
        <outline val="0"/>
        <shadow val="0"/>
        <u val="none"/>
        <vertAlign val="baseline"/>
        <sz val="8"/>
        <color theme="3" tint="-0.499984740745262"/>
        <name val="Calibri"/>
        <family val="2"/>
        <scheme val="minor"/>
      </font>
      <fill>
        <patternFill patternType="solid">
          <fgColor theme="4" tint="0.79998168889431442"/>
          <bgColor theme="4" tint="0.79998168889431442"/>
        </patternFill>
      </fill>
      <alignment horizontal="center" textRotation="0" indent="0" justifyLastLine="0" shrinkToFit="0" readingOrder="0"/>
      <border diagonalUp="0" diagonalDown="0">
        <left style="medium">
          <color theme="4" tint="-0.24994659260841701"/>
        </left>
        <right style="medium">
          <color theme="4" tint="-0.24994659260841701"/>
        </right>
        <top/>
        <bottom style="thin">
          <color theme="4" tint="0.39994506668294322"/>
        </bottom>
        <vertical/>
        <horizontal/>
      </border>
    </dxf>
    <dxf>
      <font>
        <b val="0"/>
        <i val="0"/>
        <strike val="0"/>
        <condense val="0"/>
        <extend val="0"/>
        <outline val="0"/>
        <shadow val="0"/>
        <u val="none"/>
        <vertAlign val="baseline"/>
        <sz val="8"/>
        <color theme="3" tint="-0.499984740745262"/>
        <name val="Calibri"/>
        <family val="2"/>
        <scheme val="minor"/>
      </font>
      <border diagonalUp="0" diagonalDown="0" outline="0">
        <left style="medium">
          <color theme="4" tint="-0.24994659260841701"/>
        </left>
        <right style="medium">
          <color theme="4" tint="-0.24994659260841701"/>
        </right>
        <top/>
        <bottom style="thin">
          <color theme="4" tint="0.39994506668294322"/>
        </bottom>
      </border>
    </dxf>
    <dxf>
      <font>
        <b val="0"/>
        <i val="0"/>
        <strike val="0"/>
        <condense val="0"/>
        <extend val="0"/>
        <outline val="0"/>
        <shadow val="0"/>
        <u val="none"/>
        <vertAlign val="baseline"/>
        <sz val="8"/>
        <color theme="3" tint="-0.499984740745262"/>
        <name val="Calibri"/>
        <family val="2"/>
        <scheme val="none"/>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medium">
          <color theme="4" tint="-0.24994659260841701"/>
        </left>
        <right style="medium">
          <color theme="4" tint="-0.24994659260841701"/>
        </right>
        <top/>
        <bottom style="thin">
          <color theme="4" tint="0.39994506668294322"/>
        </bottom>
        <vertical/>
        <horizontal/>
      </border>
    </dxf>
    <dxf>
      <font>
        <b val="0"/>
        <i val="0"/>
        <strike val="0"/>
        <condense val="0"/>
        <extend val="0"/>
        <outline val="0"/>
        <shadow val="0"/>
        <u val="none"/>
        <vertAlign val="baseline"/>
        <sz val="8"/>
        <color theme="3" tint="-0.499984740745262"/>
        <name val="Calibri"/>
        <family val="2"/>
        <scheme val="minor"/>
      </font>
      <border diagonalUp="0" diagonalDown="0" outline="0">
        <left style="medium">
          <color theme="4" tint="-0.24994659260841701"/>
        </left>
        <right style="medium">
          <color theme="4" tint="-0.24994659260841701"/>
        </right>
        <top/>
        <bottom style="thin">
          <color theme="4" tint="0.39994506668294322"/>
        </bottom>
      </border>
    </dxf>
    <dxf>
      <font>
        <b val="0"/>
        <i val="0"/>
        <strike val="0"/>
        <condense val="0"/>
        <extend val="0"/>
        <outline val="0"/>
        <shadow val="0"/>
        <u val="none"/>
        <vertAlign val="baseline"/>
        <sz val="8"/>
        <color theme="3" tint="-0.499984740745262"/>
        <name val="Calibri"/>
        <family val="2"/>
        <scheme val="minor"/>
      </font>
      <fill>
        <patternFill patternType="solid">
          <fgColor theme="4" tint="0.79998168889431442"/>
          <bgColor theme="4" tint="0.79998168889431442"/>
        </patternFill>
      </fill>
      <alignment horizontal="left" textRotation="0" wrapText="0" indent="0" justifyLastLine="0" shrinkToFit="0" readingOrder="0"/>
      <border diagonalUp="0" diagonalDown="0">
        <left style="medium">
          <color theme="4" tint="-0.24994659260841701"/>
        </left>
        <right style="medium">
          <color theme="4" tint="-0.24994659260841701"/>
        </right>
        <top/>
        <bottom style="thin">
          <color theme="4" tint="0.39994506668294322"/>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dxf>
    <dxf>
      <font>
        <b/>
        <i val="0"/>
        <strike val="0"/>
        <condense val="0"/>
        <extend val="0"/>
        <outline val="0"/>
        <shadow val="0"/>
        <u val="none"/>
        <vertAlign val="baseline"/>
        <sz val="8"/>
        <color theme="3" tint="-0.499984740745262"/>
        <name val="Calibri"/>
        <family val="2"/>
        <scheme val="minor"/>
      </font>
      <numFmt numFmtId="165" formatCode="_(* #,##0_);_(* \(#,##0\);_(* &quot;-&quot;??_);_(@_)"/>
      <fill>
        <patternFill patternType="solid">
          <fgColor indexed="64"/>
          <bgColor theme="5" tint="0.79998168889431442"/>
        </patternFill>
      </fill>
      <alignment horizontal="center" vertical="bottom" textRotation="0" wrapText="0" indent="0" justifyLastLine="0" shrinkToFit="0" readingOrder="0"/>
      <border diagonalUp="0" diagonalDown="0" outline="0">
        <left style="medium">
          <color theme="4" tint="-0.24994659260841701"/>
        </left>
        <right style="medium">
          <color theme="4" tint="-0.24994659260841701"/>
        </right>
        <top/>
        <bottom/>
      </border>
    </dxf>
    <dxf>
      <font>
        <b/>
        <i val="0"/>
        <strike val="0"/>
        <condense val="0"/>
        <extend val="0"/>
        <outline val="0"/>
        <shadow val="0"/>
        <u val="none"/>
        <vertAlign val="baseline"/>
        <sz val="11"/>
        <color theme="0"/>
        <name val="Calibri"/>
        <family val="2"/>
        <scheme val="minor"/>
      </font>
      <numFmt numFmtId="165" formatCode="_(* #,##0_);_(* \(#,##0\);_(* &quot;-&quot;??_);_(@_)"/>
      <alignment horizontal="center" vertical="bottom" textRotation="0" wrapText="0" indent="0" justifyLastLine="0" shrinkToFit="0" readingOrder="0"/>
    </dxf>
    <dxf>
      <font>
        <b/>
        <strike val="0"/>
        <outline val="0"/>
        <shadow val="0"/>
        <u val="none"/>
        <vertAlign val="baseline"/>
        <sz val="11"/>
        <color auto="1"/>
        <name val="Calibri"/>
        <family val="2"/>
        <scheme val="minor"/>
      </font>
      <numFmt numFmtId="1" formatCode="0"/>
      <alignment horizontal="center" vertical="bottom" textRotation="0" wrapText="0" indent="0" justifyLastLine="0" shrinkToFit="0" readingOrder="0"/>
    </dxf>
    <dxf>
      <numFmt numFmtId="166" formatCode="0.0%"/>
      <border diagonalUp="0" diagonalDown="0" outline="0">
        <left style="thin">
          <color theme="0" tint="-0.24994659260841701"/>
        </left>
        <right style="thin">
          <color theme="0" tint="-0.24994659260841701"/>
        </right>
        <top style="thin">
          <color theme="0" tint="-0.24994659260841701"/>
        </top>
        <bottom/>
      </border>
    </dxf>
    <dxf>
      <numFmt numFmtId="166" formatCode="0.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family val="2"/>
        <scheme val="minor"/>
      </font>
      <numFmt numFmtId="165" formatCode="_(* #,##0_);_(* \(#,##0\);_(* &quot;-&quot;??_);_(@_)"/>
    </dxf>
    <dxf>
      <font>
        <strike val="0"/>
        <outline val="0"/>
        <shadow val="0"/>
        <u val="none"/>
        <vertAlign val="baseline"/>
        <sz val="10"/>
        <color theme="1"/>
        <name val="Calibri"/>
        <family val="2"/>
        <scheme val="minor"/>
      </font>
      <numFmt numFmtId="165" formatCode="_(* #,##0_);_(* \(#,##0\);_(* &quot;-&quot;??_);_(@_)"/>
    </dxf>
    <dxf>
      <font>
        <b val="0"/>
        <i val="0"/>
        <strike val="0"/>
        <condense val="0"/>
        <extend val="0"/>
        <outline val="0"/>
        <shadow val="0"/>
        <u val="none"/>
        <vertAlign val="baseline"/>
        <sz val="10"/>
        <color theme="1"/>
        <name val="Calibri"/>
        <family val="2"/>
        <scheme val="minor"/>
      </font>
      <numFmt numFmtId="165" formatCode="_(* #,##0_);_(* \(#,##0\);_(* &quot;-&quot;??_);_(@_)"/>
    </dxf>
    <dxf>
      <font>
        <strike val="0"/>
        <outline val="0"/>
        <shadow val="0"/>
        <u val="none"/>
        <vertAlign val="baseline"/>
        <sz val="10"/>
        <color theme="1"/>
        <name val="Trebuchet MS"/>
        <family val="2"/>
        <scheme val="none"/>
      </font>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8"/>
        <color theme="3" tint="-0.499984740745262"/>
        <name val="Calibri"/>
        <family val="2"/>
        <scheme val="minor"/>
      </font>
      <alignment horizontal="left" vertical="bottom" textRotation="0" wrapText="0" indent="0" justifyLastLine="0" shrinkToFit="0" readingOrder="0"/>
      <border diagonalUp="0" diagonalDown="0" outline="0">
        <left/>
        <right style="medium">
          <color theme="4" tint="-0.24994659260841701"/>
        </right>
        <top/>
        <bottom/>
      </border>
    </dxf>
    <dxf>
      <font>
        <b val="0"/>
        <i val="0"/>
        <strike val="0"/>
        <condense val="0"/>
        <extend val="0"/>
        <outline val="0"/>
        <shadow val="0"/>
        <u val="none"/>
        <vertAlign val="baseline"/>
        <sz val="8"/>
        <color theme="3" tint="-0.499984740745262"/>
        <name val="Calibri"/>
        <family val="2"/>
        <scheme val="minor"/>
      </font>
      <alignment horizontal="left" vertical="bottom" textRotation="0" wrapText="0" indent="0" justifyLastLine="0" shrinkToFit="0" readingOrder="0"/>
      <border diagonalUp="0" diagonalDown="0">
        <left style="medium">
          <color theme="4" tint="-0.24994659260841701"/>
        </left>
        <right style="medium">
          <color theme="4" tint="-0.24994659260841701"/>
        </right>
        <top/>
        <bottom style="thin">
          <color theme="4" tint="0.39991454817346722"/>
        </bottom>
        <vertical/>
        <horizontal/>
      </border>
    </dxf>
    <dxf>
      <font>
        <b/>
        <i val="0"/>
        <strike val="0"/>
        <condense val="0"/>
        <extend val="0"/>
        <outline val="0"/>
        <shadow val="0"/>
        <u val="none"/>
        <vertAlign val="baseline"/>
        <sz val="8"/>
        <color theme="3" tint="-0.499984740745262"/>
        <name val="Calibri"/>
        <family val="2"/>
        <scheme val="minor"/>
      </font>
      <alignment horizontal="left" vertical="bottom" textRotation="0" wrapText="0" indent="0" justifyLastLine="0" shrinkToFit="0" readingOrder="0"/>
      <border diagonalUp="0" diagonalDown="0" outline="0">
        <left/>
        <right style="medium">
          <color theme="4" tint="-0.24994659260841701"/>
        </right>
        <top/>
        <bottom/>
      </border>
    </dxf>
    <dxf>
      <font>
        <b/>
        <i val="0"/>
        <strike val="0"/>
        <condense val="0"/>
        <extend val="0"/>
        <outline val="0"/>
        <shadow val="0"/>
        <u val="none"/>
        <vertAlign val="baseline"/>
        <sz val="8"/>
        <color theme="3" tint="-0.499984740745262"/>
        <name val="Calibri"/>
        <family val="2"/>
        <scheme val="minor"/>
      </font>
      <alignment horizontal="left" vertical="bottom" textRotation="0" wrapText="0" indent="0" justifyLastLine="0" shrinkToFit="0" readingOrder="0"/>
      <border diagonalUp="0" diagonalDown="0">
        <left style="medium">
          <color theme="4" tint="-0.24994659260841701"/>
        </left>
        <right style="medium">
          <color theme="4" tint="-0.24994659260841701"/>
        </right>
        <top/>
        <bottom style="thin">
          <color theme="4" tint="0.39991454817346722"/>
        </bottom>
        <vertical/>
        <horizontal/>
      </border>
    </dxf>
    <dxf>
      <font>
        <b val="0"/>
        <i val="0"/>
        <strike val="0"/>
        <condense val="0"/>
        <extend val="0"/>
        <outline val="0"/>
        <shadow val="0"/>
        <u val="none"/>
        <vertAlign val="baseline"/>
        <sz val="8"/>
        <color theme="3" tint="-0.499984740745262"/>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3" tint="-0.499984740745262"/>
        <name val="Calibri"/>
        <family val="2"/>
        <scheme val="minor"/>
      </font>
      <alignment horizontal="center" vertical="bottom" textRotation="0" wrapText="0" indent="0" justifyLastLine="0" shrinkToFit="0" readingOrder="0"/>
      <border diagonalUp="0" diagonalDown="0">
        <left style="medium">
          <color theme="4" tint="-0.24994659260841701"/>
        </left>
        <right style="medium">
          <color theme="4" tint="-0.24994659260841701"/>
        </right>
        <top/>
        <bottom style="thin">
          <color theme="4" tint="0.39991454817346722"/>
        </bottom>
        <vertical/>
        <horizontal/>
      </border>
    </dxf>
    <dxf>
      <font>
        <b val="0"/>
        <i val="0"/>
        <strike val="0"/>
        <condense val="0"/>
        <extend val="0"/>
        <outline val="0"/>
        <shadow val="0"/>
        <u val="none"/>
        <vertAlign val="baseline"/>
        <sz val="8"/>
        <color theme="3" tint="-0.499984740745262"/>
        <name val="Calibri"/>
        <family val="2"/>
        <scheme val="minor"/>
      </font>
      <alignment horizontal="center" vertical="bottom" textRotation="0" wrapText="0" indent="0" justifyLastLine="0" shrinkToFit="0" readingOrder="0"/>
      <border diagonalUp="0" diagonalDown="0" outline="0">
        <left/>
        <right style="medium">
          <color theme="4" tint="-0.24994659260841701"/>
        </right>
        <top/>
        <bottom/>
      </border>
    </dxf>
    <dxf>
      <font>
        <b val="0"/>
        <i val="0"/>
        <strike val="0"/>
        <condense val="0"/>
        <extend val="0"/>
        <outline val="0"/>
        <shadow val="0"/>
        <u val="none"/>
        <vertAlign val="baseline"/>
        <sz val="8"/>
        <color theme="3" tint="-0.499984740745262"/>
        <name val="Calibri"/>
        <family val="2"/>
        <scheme val="minor"/>
      </font>
      <alignment horizontal="center" vertical="bottom" textRotation="0" wrapText="0" indent="0" justifyLastLine="0" shrinkToFit="0" readingOrder="0"/>
      <border diagonalUp="0" diagonalDown="0">
        <left style="medium">
          <color theme="4" tint="-0.24994659260841701"/>
        </left>
        <right style="medium">
          <color theme="4" tint="-0.24994659260841701"/>
        </right>
        <top/>
        <bottom style="thin">
          <color theme="4" tint="0.39991454817346722"/>
        </bottom>
        <vertical/>
        <horizontal/>
      </border>
    </dxf>
    <dxf>
      <font>
        <b val="0"/>
        <i val="0"/>
        <strike val="0"/>
        <condense val="0"/>
        <extend val="0"/>
        <outline val="0"/>
        <shadow val="0"/>
        <u val="none"/>
        <vertAlign val="baseline"/>
        <sz val="8"/>
        <color auto="1"/>
        <name val="Calibri"/>
        <family val="2"/>
        <scheme val="none"/>
      </font>
      <alignment horizontal="center" vertical="bottom" textRotation="0" wrapText="0" indent="0" justifyLastLine="0" shrinkToFit="0" readingOrder="0"/>
      <border diagonalUp="0" diagonalDown="0" outline="0">
        <left/>
        <right style="thin">
          <color theme="0" tint="-0.14996795556505021"/>
        </right>
        <top/>
        <bottom/>
      </border>
      <protection locked="0" hidden="0"/>
    </dxf>
    <dxf>
      <font>
        <b val="0"/>
        <i val="0"/>
        <strike val="0"/>
        <condense val="0"/>
        <extend val="0"/>
        <outline val="0"/>
        <shadow val="0"/>
        <u val="none"/>
        <vertAlign val="baseline"/>
        <sz val="8"/>
        <color auto="1"/>
        <name val="Calibri"/>
        <family val="2"/>
        <scheme val="none"/>
      </font>
      <alignment horizontal="center" vertical="bottom" textRotation="0" wrapText="0" indent="0" justifyLastLine="0" shrinkToFit="0" readingOrder="0"/>
      <border diagonalUp="0" diagonalDown="0">
        <left style="thin">
          <color theme="0" tint="-0.14996795556505021"/>
        </left>
        <right style="thin">
          <color theme="0" tint="-0.14996795556505021"/>
        </right>
        <top/>
        <bottom style="thin">
          <color theme="0" tint="-0.14996795556505021"/>
        </bottom>
        <vertical/>
        <horizontal/>
      </border>
      <protection locked="0" hidden="0"/>
    </dxf>
    <dxf>
      <font>
        <b val="0"/>
        <i val="0"/>
        <strike val="0"/>
        <condense val="0"/>
        <extend val="0"/>
        <outline val="0"/>
        <shadow val="0"/>
        <u val="none"/>
        <vertAlign val="baseline"/>
        <sz val="8"/>
        <color theme="3" tint="-0.499984740745262"/>
        <name val="Calibri"/>
        <family val="2"/>
        <scheme val="minor"/>
      </font>
      <alignment horizontal="left" vertical="bottom" textRotation="0" wrapText="0" indent="0" justifyLastLine="0" shrinkToFit="0" readingOrder="0"/>
      <border diagonalUp="0" diagonalDown="0" outline="0">
        <left style="medium">
          <color theme="4" tint="-0.24994659260841701"/>
        </left>
        <right style="medium">
          <color theme="4" tint="-0.24994659260841701"/>
        </right>
        <top/>
        <bottom/>
      </border>
    </dxf>
    <dxf>
      <font>
        <b val="0"/>
        <i val="0"/>
        <strike val="0"/>
        <condense val="0"/>
        <extend val="0"/>
        <outline val="0"/>
        <shadow val="0"/>
        <u val="none"/>
        <vertAlign val="baseline"/>
        <sz val="8"/>
        <color theme="3" tint="-0.499984740745262"/>
        <name val="Calibri"/>
        <family val="2"/>
        <scheme val="minor"/>
      </font>
      <alignment horizontal="left" vertical="bottom" textRotation="0" wrapText="0" indent="0" justifyLastLine="0" shrinkToFit="0" readingOrder="0"/>
      <border diagonalUp="0" diagonalDown="0">
        <left style="medium">
          <color theme="4" tint="-0.24994659260841701"/>
        </left>
        <right style="medium">
          <color theme="4" tint="-0.24994659260841701"/>
        </right>
        <top/>
        <bottom style="thin">
          <color theme="4" tint="0.39991454817346722"/>
        </bottom>
        <vertical/>
        <horizontal/>
      </border>
    </dxf>
    <dxf>
      <font>
        <b/>
        <i val="0"/>
        <strike val="0"/>
        <condense val="0"/>
        <extend val="0"/>
        <outline val="0"/>
        <shadow val="0"/>
        <u val="none"/>
        <vertAlign val="baseline"/>
        <sz val="8"/>
        <color theme="3" tint="-0.499984740745262"/>
        <name val="Calibri"/>
        <family val="2"/>
        <scheme val="minor"/>
      </font>
      <numFmt numFmtId="165" formatCode="_(* #,##0_);_(* \(#,##0\);_(* &quot;-&quot;??_);_(@_)"/>
      <fill>
        <patternFill patternType="solid">
          <fgColor indexed="64"/>
          <bgColor theme="5" tint="0.79998168889431442"/>
        </patternFill>
      </fill>
      <alignment horizontal="center" vertical="bottom" textRotation="0" wrapText="0" indent="0" justifyLastLine="0" shrinkToFit="0" readingOrder="0"/>
      <border diagonalUp="0" diagonalDown="0" outline="0">
        <left style="medium">
          <color theme="4" tint="-0.24994659260841701"/>
        </left>
        <right style="medium">
          <color theme="4" tint="-0.24994659260841701"/>
        </right>
        <top/>
        <bottom/>
      </border>
    </dxf>
  </dxfs>
  <tableStyles count="0" defaultTableStyle="TableStyleMedium2" defaultPivotStyle="PivotStyleLight16"/>
  <colors>
    <mruColors>
      <color rgb="FFF9FE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8</xdr:col>
      <xdr:colOff>180975</xdr:colOff>
      <xdr:row>0</xdr:row>
      <xdr:rowOff>47625</xdr:rowOff>
    </xdr:from>
    <xdr:to>
      <xdr:col>10</xdr:col>
      <xdr:colOff>28575</xdr:colOff>
      <xdr:row>13</xdr:row>
      <xdr:rowOff>95250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301CF172-5705-4024-A41F-2619E9AC01F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153275" y="4762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390525</xdr:colOff>
      <xdr:row>0</xdr:row>
      <xdr:rowOff>47625</xdr:rowOff>
    </xdr:from>
    <xdr:to>
      <xdr:col>14</xdr:col>
      <xdr:colOff>352425</xdr:colOff>
      <xdr:row>13</xdr:row>
      <xdr:rowOff>95250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EB942DA4-0BF5-42D0-ADE0-CF228E423B8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191625" y="4762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roju" refreshedDate="45577.542712962961" backgroundQuery="1" createdVersion="6" refreshedVersion="6" minRefreshableVersion="3" recordCount="1346" xr:uid="{35B97D74-2822-40B5-AE41-612F50082CD5}">
  <cacheSource type="external" connectionId="2"/>
  <cacheFields count="16">
    <cacheField name="Year" numFmtId="0">
      <sharedItems count="2">
        <s v="2024"/>
        <s v="2023" u="1"/>
      </sharedItems>
    </cacheField>
    <cacheField name="MonthNo" numFmtId="0">
      <sharedItems containsSemiMixedTypes="0" containsString="0" containsNumber="1" containsInteger="1" minValue="9" maxValue="10" count="2">
        <n v="9"/>
        <n v="10"/>
      </sharedItems>
    </cacheField>
    <cacheField name="Month" numFmtId="0">
      <sharedItems count="12">
        <s v="September"/>
        <s v="October"/>
        <s v="August" u="1"/>
        <s v="May" u="1"/>
        <s v="April" u="1"/>
        <s v="February" u="1"/>
        <s v="November" u="1"/>
        <s v="December" u="1"/>
        <s v="June" u="1"/>
        <s v="March" u="1"/>
        <s v="July" u="1"/>
        <s v="January" u="1"/>
      </sharedItems>
    </cacheField>
    <cacheField name="WeekNo" numFmtId="0">
      <sharedItems containsSemiMixedTypes="0" containsString="0" containsNumber="1" containsInteger="1" minValue="1" maxValue="5" count="5">
        <n v="1"/>
        <n v="2"/>
        <n v="3"/>
        <n v="4"/>
        <n v="5"/>
      </sharedItems>
    </cacheField>
    <cacheField name="Week" numFmtId="0">
      <sharedItems count="5">
        <s v="Week 1"/>
        <s v="Week 2"/>
        <s v="Week 3"/>
        <s v="Week 4"/>
        <s v="Week 5"/>
      </sharedItems>
    </cacheField>
    <cacheField name="Date" numFmtId="0">
      <sharedItems count="7">
        <s v="07-09-2024"/>
        <s v="14-09-2024"/>
        <s v="21-09-2024"/>
        <s v="28-09-2024"/>
        <s v="30-09-2024"/>
        <s v="05-10-2024"/>
        <s v="12-10-2024"/>
      </sharedItems>
    </cacheField>
    <cacheField name="Account Name" numFmtId="0">
      <sharedItems count="17">
        <s v="GARKI MARKET"/>
        <s v="OPEN MARKET"/>
        <s v="NORTEX"/>
        <s v="IK FEDERAL"/>
        <s v="OPEN MARKET/UZEMS"/>
        <s v="JOEFUS GLOBAL"/>
        <s v="OPEN MARKET/EBONY HARDEN"/>
        <s v="OPEN MARKET/CASONI"/>
        <s v="REAL  CHYNOB"/>
        <s v="HORECA"/>
        <s v="NNANNA &amp; SONS"/>
        <s v="UZEMS"/>
        <s v="NEKKYSMIDI "/>
        <s v="BENZOLIN VENTURES"/>
        <s v="IYKLEE VENTURES"/>
        <s v="ANBSOLITE"/>
        <s v="ANDY-YUWA/BENGOLD"/>
      </sharedItems>
    </cacheField>
    <cacheField name="Region" numFmtId="0">
      <sharedItems count="4">
        <s v="NORTH"/>
        <s v="SOUTH"/>
        <s v="KEY ACCOUNT"/>
        <s v="LAGOS"/>
      </sharedItems>
    </cacheField>
    <cacheField name="Territory" numFmtId="0">
      <sharedItems count="18">
        <s v="ABUJA"/>
        <s v="ONITSHA"/>
        <s v="UYO"/>
        <s v="ABA"/>
        <s v="KADUNA"/>
        <s v="LOKOJA"/>
        <s v="ISLAND"/>
        <s v="MAINLAND"/>
        <s v="BENIN"/>
        <s v="AUCHI/EKPOMAH"/>
        <s v="Awka"/>
        <s v="OWERRI"/>
        <s v="PORT-HARCOURT"/>
        <s v="ENUGU"/>
        <s v="OKE ARIN"/>
        <s v="IBADAN"/>
        <s v="MAINLAND 3"/>
        <s v="EKITI"/>
      </sharedItems>
    </cacheField>
    <cacheField name="Channel" numFmtId="0">
      <sharedItems count="3">
        <s v="OPEN MARKET"/>
        <s v="VSR"/>
        <s v="SALES EXECUTIVE"/>
      </sharedItems>
    </cacheField>
    <cacheField name="Name" numFmtId="0">
      <sharedItems count="43">
        <s v="Victoria Ejeh   "/>
        <s v="Ibrahim Bolanle       "/>
        <s v="Azebeokhai Samad"/>
        <s v="Nonso Obalum"/>
        <s v="Obiakor Calister Ifunaya"/>
        <s v="Mbuk Udeme  Enobong        "/>
        <s v="Glory Ugboaja    "/>
        <s v="Chidinma Sunday Happiness "/>
        <s v="Ernest John"/>
        <s v="Ralph Anango"/>
        <s v="Victor Ogedengbe"/>
        <s v="Grace Jessica Umetiti"/>
        <s v="Ifeoma Cynthia Okorowu"/>
        <s v="Atabor Elijah"/>
        <s v="Marbus Okpebho"/>
        <s v="Atulobi Eberechi"/>
        <s v="Ibiam Emmanuel Nkama"/>
        <s v="Nwinee Kaborloobari Constance"/>
        <s v="Jeremiah Joseph"/>
        <s v="Ayogu Sopuluchukwu Chriatiana    "/>
        <s v="Nelson Kelvin Chibueze"/>
        <s v="Anikwata Juliet Chidinma   "/>
        <s v="Oluchi"/>
        <s v="Oyelami Amos Sunday"/>
        <s v="Oni Muyiwa"/>
        <s v="Akpan Raphael"/>
        <s v="Ukoha Kalu"/>
        <s v="Animasaun Jamiu Babatunde"/>
        <s v="Idowu Gbenga"/>
        <s v="Saliman Lakan Paul" u="1"/>
        <s v="Iyamah Inusa Jibrin" u="1"/>
        <s v="Omeji Muhammed" u="1"/>
        <s v="AGBJEOGU  CHIBUEZE" u="1"/>
        <s v="Igbayima Gaius" u="1"/>
        <s v="Emmanuel Oyewole Abidemi" u="1"/>
        <s v="Precious" u="1"/>
        <s v="Vacancy" u="1"/>
        <s v="Ogedengbe Victor Friday" u="1"/>
        <s v="Amogu Olua" u="1"/>
        <s v="Husseini Lawal  " u="1"/>
        <s v="Ilum Onyiyechi Nancy     " u="1"/>
        <s v="SUANU EDMUND DEEBEE" u="1"/>
        <s v="Iyamah Inusa Jubril" u="1"/>
      </sharedItems>
    </cacheField>
    <cacheField name="Manager" numFmtId="0">
      <sharedItems count="14">
        <s v="VICTOR DIKE"/>
        <s v="RAHIMAT ABDULKAREEM"/>
        <s v="NZEMEKE SAMSON"/>
        <s v="COLLINS ANUMENECHI"/>
        <s v="EZEOHA ERONDU"/>
        <s v="TIMOTHY DOMINIC"/>
        <s v="DAVIDSON CHIMEZIE"/>
        <s v="ADEWALE SAMUEL"/>
        <s v="IKENNA UMEH"/>
        <s v="ESTHER BASIL"/>
        <s v="MICHEAL OKERERE"/>
        <s v="JOHNBOSCO NWOKORO"/>
        <s v="TAIYE IKUOPONIYI"/>
        <s v="IKECHUKWU OFFIA"/>
      </sharedItems>
    </cacheField>
    <cacheField name="Description" numFmtId="0">
      <sharedItems/>
    </cacheField>
    <cacheField name="QTY" numFmtId="0">
      <sharedItems containsSemiMixedTypes="0" containsString="0" containsNumber="1" containsInteger="1" minValue="1" maxValue="581"/>
    </cacheField>
    <cacheField name="Brand" numFmtId="0">
      <sharedItems count="14">
        <s v="DROSTDY HOF"/>
        <s v="4S NON ALCOHOLIC"/>
        <s v="AMARULA"/>
        <s v="4S SPARKLING ALCOHOLIC"/>
        <s v="CHAMDOR"/>
        <s v="4TH STREET"/>
        <s v="NEDERBURG"/>
        <s v="HUNTERS"/>
        <s v="BAIN'S WHISKY"/>
        <s v="KNIGHT"/>
        <s v="TWO OCEAN"/>
        <s v="SCOTISH LEADER"/>
        <s v="JC LE ROUX"/>
        <s v="SAVANNA"/>
      </sharedItems>
    </cacheField>
    <cacheField name="Value" numFmtId="0">
      <sharedItems containsSemiMixedTypes="0" containsString="0" containsNumber="1" containsInteger="1" minValue="15000" maxValue="16035600"/>
    </cacheField>
  </cacheFields>
  <extLst>
    <ext xmlns:x14="http://schemas.microsoft.com/office/spreadsheetml/2009/9/main" uri="{725AE2AE-9491-48be-B2B4-4EB974FC3084}">
      <x14:pivotCacheDefinition pivotCacheId="11871855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6">
  <r>
    <x v="0"/>
    <x v="0"/>
    <x v="0"/>
    <x v="0"/>
    <x v="0"/>
    <x v="0"/>
    <x v="0"/>
    <x v="0"/>
    <x v="0"/>
    <x v="0"/>
    <x v="0"/>
    <x v="0"/>
    <s v="DROSTDY HOF 6X75CL RED CLARET "/>
    <n v="50"/>
    <x v="0"/>
    <n v="1500000"/>
  </r>
  <r>
    <x v="0"/>
    <x v="0"/>
    <x v="0"/>
    <x v="0"/>
    <x v="0"/>
    <x v="0"/>
    <x v="1"/>
    <x v="0"/>
    <x v="0"/>
    <x v="0"/>
    <x v="1"/>
    <x v="1"/>
    <s v="DROSTDY HOF 6X75CL RED CLARET "/>
    <n v="38"/>
    <x v="0"/>
    <n v="1140000"/>
  </r>
  <r>
    <x v="0"/>
    <x v="0"/>
    <x v="0"/>
    <x v="0"/>
    <x v="0"/>
    <x v="0"/>
    <x v="2"/>
    <x v="0"/>
    <x v="0"/>
    <x v="1"/>
    <x v="2"/>
    <x v="0"/>
    <s v="DROSTDY HOF 6X75CL RED CLARET "/>
    <n v="3"/>
    <x v="0"/>
    <n v="90000"/>
  </r>
  <r>
    <x v="0"/>
    <x v="0"/>
    <x v="0"/>
    <x v="0"/>
    <x v="0"/>
    <x v="0"/>
    <x v="3"/>
    <x v="0"/>
    <x v="0"/>
    <x v="1"/>
    <x v="3"/>
    <x v="1"/>
    <s v="DROSTDY HOF 6X75CL RED CLARET "/>
    <n v="4"/>
    <x v="0"/>
    <n v="120000"/>
  </r>
  <r>
    <x v="0"/>
    <x v="0"/>
    <x v="0"/>
    <x v="0"/>
    <x v="0"/>
    <x v="0"/>
    <x v="4"/>
    <x v="1"/>
    <x v="1"/>
    <x v="0"/>
    <x v="4"/>
    <x v="2"/>
    <s v="DROSTDY HOF 6X75CL RED CLARET "/>
    <n v="34"/>
    <x v="0"/>
    <n v="1020000"/>
  </r>
  <r>
    <x v="0"/>
    <x v="0"/>
    <x v="0"/>
    <x v="0"/>
    <x v="0"/>
    <x v="0"/>
    <x v="5"/>
    <x v="1"/>
    <x v="2"/>
    <x v="0"/>
    <x v="5"/>
    <x v="3"/>
    <s v="DROSTDY HOF 6X75CL RED CLARET "/>
    <n v="10"/>
    <x v="0"/>
    <n v="300000"/>
  </r>
  <r>
    <x v="0"/>
    <x v="0"/>
    <x v="0"/>
    <x v="0"/>
    <x v="0"/>
    <x v="0"/>
    <x v="6"/>
    <x v="1"/>
    <x v="3"/>
    <x v="0"/>
    <x v="6"/>
    <x v="4"/>
    <s v="DROSTDY HOF 6X75CL RED CLARET "/>
    <n v="28"/>
    <x v="0"/>
    <n v="840000"/>
  </r>
  <r>
    <x v="0"/>
    <x v="0"/>
    <x v="0"/>
    <x v="0"/>
    <x v="0"/>
    <x v="0"/>
    <x v="7"/>
    <x v="1"/>
    <x v="3"/>
    <x v="0"/>
    <x v="7"/>
    <x v="4"/>
    <s v="DROSTDY HOF 6X75CL RED CLARET "/>
    <n v="25"/>
    <x v="0"/>
    <n v="750000"/>
  </r>
  <r>
    <x v="0"/>
    <x v="0"/>
    <x v="0"/>
    <x v="0"/>
    <x v="0"/>
    <x v="0"/>
    <x v="0"/>
    <x v="0"/>
    <x v="0"/>
    <x v="0"/>
    <x v="0"/>
    <x v="0"/>
    <s v="4TH STREET 75CL NON ALCOHOLIC SWEET WINE"/>
    <n v="20"/>
    <x v="1"/>
    <n v="384000"/>
  </r>
  <r>
    <x v="0"/>
    <x v="0"/>
    <x v="0"/>
    <x v="0"/>
    <x v="0"/>
    <x v="0"/>
    <x v="1"/>
    <x v="0"/>
    <x v="0"/>
    <x v="0"/>
    <x v="1"/>
    <x v="1"/>
    <s v="4TH STREET 75CL NON ALCOHOLIC SWEET WINE"/>
    <n v="20"/>
    <x v="1"/>
    <n v="384000"/>
  </r>
  <r>
    <x v="0"/>
    <x v="0"/>
    <x v="0"/>
    <x v="0"/>
    <x v="0"/>
    <x v="0"/>
    <x v="2"/>
    <x v="0"/>
    <x v="0"/>
    <x v="1"/>
    <x v="2"/>
    <x v="0"/>
    <s v="4TH STREET 75CL NON ALCOHOLIC SWEET WINE"/>
    <n v="61"/>
    <x v="1"/>
    <n v="1171200"/>
  </r>
  <r>
    <x v="0"/>
    <x v="0"/>
    <x v="0"/>
    <x v="0"/>
    <x v="0"/>
    <x v="0"/>
    <x v="8"/>
    <x v="0"/>
    <x v="4"/>
    <x v="1"/>
    <x v="8"/>
    <x v="5"/>
    <s v="4TH STREET 75CL NON ALCOHOLIC SWEET WINE"/>
    <n v="37"/>
    <x v="1"/>
    <n v="710400"/>
  </r>
  <r>
    <x v="0"/>
    <x v="0"/>
    <x v="0"/>
    <x v="0"/>
    <x v="0"/>
    <x v="0"/>
    <x v="4"/>
    <x v="1"/>
    <x v="1"/>
    <x v="0"/>
    <x v="4"/>
    <x v="2"/>
    <s v="4TH STREET 75CL NON ALCOHOLIC SWEET WINE"/>
    <n v="61"/>
    <x v="1"/>
    <n v="1171200"/>
  </r>
  <r>
    <x v="0"/>
    <x v="0"/>
    <x v="0"/>
    <x v="0"/>
    <x v="0"/>
    <x v="0"/>
    <x v="5"/>
    <x v="1"/>
    <x v="2"/>
    <x v="0"/>
    <x v="5"/>
    <x v="3"/>
    <s v="4TH STREET 75CL NON ALCOHOLIC SWEET WINE"/>
    <n v="30"/>
    <x v="1"/>
    <n v="576000"/>
  </r>
  <r>
    <x v="0"/>
    <x v="0"/>
    <x v="0"/>
    <x v="0"/>
    <x v="0"/>
    <x v="0"/>
    <x v="6"/>
    <x v="1"/>
    <x v="3"/>
    <x v="0"/>
    <x v="6"/>
    <x v="4"/>
    <s v="4TH STREET 75CL NON ALCOHOLIC SWEET WINE"/>
    <n v="100"/>
    <x v="1"/>
    <n v="1920000"/>
  </r>
  <r>
    <x v="0"/>
    <x v="0"/>
    <x v="0"/>
    <x v="0"/>
    <x v="0"/>
    <x v="0"/>
    <x v="7"/>
    <x v="1"/>
    <x v="3"/>
    <x v="0"/>
    <x v="7"/>
    <x v="4"/>
    <s v="4TH STREET 75CL NON ALCOHOLIC SWEET WINE"/>
    <n v="109"/>
    <x v="1"/>
    <n v="2092800"/>
  </r>
  <r>
    <x v="0"/>
    <x v="0"/>
    <x v="0"/>
    <x v="0"/>
    <x v="0"/>
    <x v="0"/>
    <x v="0"/>
    <x v="0"/>
    <x v="0"/>
    <x v="0"/>
    <x v="0"/>
    <x v="0"/>
    <s v="DROSTY HOF RED CLARET 12X375ML"/>
    <n v="10"/>
    <x v="0"/>
    <n v="340000"/>
  </r>
  <r>
    <x v="0"/>
    <x v="0"/>
    <x v="0"/>
    <x v="0"/>
    <x v="0"/>
    <x v="0"/>
    <x v="4"/>
    <x v="1"/>
    <x v="1"/>
    <x v="0"/>
    <x v="4"/>
    <x v="2"/>
    <s v="DROSTY HOF RED CLARET 12X375ML"/>
    <n v="8"/>
    <x v="0"/>
    <n v="272000"/>
  </r>
  <r>
    <x v="0"/>
    <x v="0"/>
    <x v="0"/>
    <x v="0"/>
    <x v="0"/>
    <x v="0"/>
    <x v="6"/>
    <x v="1"/>
    <x v="3"/>
    <x v="0"/>
    <x v="6"/>
    <x v="4"/>
    <s v="DROSTY HOF RED CLARET 12X375ML"/>
    <n v="25"/>
    <x v="0"/>
    <n v="850000"/>
  </r>
  <r>
    <x v="0"/>
    <x v="0"/>
    <x v="0"/>
    <x v="0"/>
    <x v="0"/>
    <x v="0"/>
    <x v="7"/>
    <x v="1"/>
    <x v="3"/>
    <x v="0"/>
    <x v="7"/>
    <x v="4"/>
    <s v="DROSTY HOF RED CLARET 12X375ML"/>
    <n v="28"/>
    <x v="0"/>
    <n v="952000"/>
  </r>
  <r>
    <x v="0"/>
    <x v="0"/>
    <x v="0"/>
    <x v="0"/>
    <x v="0"/>
    <x v="0"/>
    <x v="0"/>
    <x v="0"/>
    <x v="0"/>
    <x v="0"/>
    <x v="0"/>
    <x v="0"/>
    <s v="AMARULA CREAM 6X700ML"/>
    <n v="8"/>
    <x v="2"/>
    <n v="240000"/>
  </r>
  <r>
    <x v="0"/>
    <x v="0"/>
    <x v="0"/>
    <x v="0"/>
    <x v="0"/>
    <x v="0"/>
    <x v="1"/>
    <x v="0"/>
    <x v="0"/>
    <x v="0"/>
    <x v="1"/>
    <x v="1"/>
    <s v="AMARULA CREAM 6X700ML"/>
    <n v="7"/>
    <x v="2"/>
    <n v="210000"/>
  </r>
  <r>
    <x v="0"/>
    <x v="0"/>
    <x v="0"/>
    <x v="0"/>
    <x v="0"/>
    <x v="0"/>
    <x v="8"/>
    <x v="0"/>
    <x v="4"/>
    <x v="1"/>
    <x v="8"/>
    <x v="5"/>
    <s v="AMARULA CREAM 6X700ML"/>
    <n v="4"/>
    <x v="2"/>
    <n v="120000"/>
  </r>
  <r>
    <x v="0"/>
    <x v="0"/>
    <x v="0"/>
    <x v="0"/>
    <x v="0"/>
    <x v="0"/>
    <x v="3"/>
    <x v="0"/>
    <x v="0"/>
    <x v="1"/>
    <x v="3"/>
    <x v="1"/>
    <s v="AMARULA CREAM 6X700ML"/>
    <n v="4"/>
    <x v="2"/>
    <n v="120000"/>
  </r>
  <r>
    <x v="0"/>
    <x v="0"/>
    <x v="0"/>
    <x v="0"/>
    <x v="0"/>
    <x v="0"/>
    <x v="4"/>
    <x v="1"/>
    <x v="1"/>
    <x v="0"/>
    <x v="4"/>
    <x v="2"/>
    <s v="AMARULA CREAM 6X700ML"/>
    <n v="25"/>
    <x v="2"/>
    <n v="750000"/>
  </r>
  <r>
    <x v="0"/>
    <x v="0"/>
    <x v="0"/>
    <x v="0"/>
    <x v="0"/>
    <x v="0"/>
    <x v="6"/>
    <x v="1"/>
    <x v="3"/>
    <x v="0"/>
    <x v="6"/>
    <x v="4"/>
    <s v="AMARULA CREAM 6X700ML"/>
    <n v="24"/>
    <x v="2"/>
    <n v="720000"/>
  </r>
  <r>
    <x v="0"/>
    <x v="0"/>
    <x v="0"/>
    <x v="0"/>
    <x v="0"/>
    <x v="0"/>
    <x v="7"/>
    <x v="1"/>
    <x v="3"/>
    <x v="0"/>
    <x v="7"/>
    <x v="4"/>
    <s v="AMARULA CREAM 6X700ML"/>
    <n v="15"/>
    <x v="2"/>
    <n v="450000"/>
  </r>
  <r>
    <x v="0"/>
    <x v="0"/>
    <x v="0"/>
    <x v="0"/>
    <x v="0"/>
    <x v="0"/>
    <x v="4"/>
    <x v="1"/>
    <x v="1"/>
    <x v="0"/>
    <x v="4"/>
    <x v="2"/>
    <s v="4TH STREET SPARKLING RED"/>
    <n v="4"/>
    <x v="3"/>
    <n v="93600"/>
  </r>
  <r>
    <x v="0"/>
    <x v="0"/>
    <x v="0"/>
    <x v="0"/>
    <x v="0"/>
    <x v="0"/>
    <x v="0"/>
    <x v="0"/>
    <x v="0"/>
    <x v="0"/>
    <x v="0"/>
    <x v="0"/>
    <s v="CHAMDOR RED"/>
    <n v="100"/>
    <x v="4"/>
    <n v="2760000"/>
  </r>
  <r>
    <x v="0"/>
    <x v="0"/>
    <x v="0"/>
    <x v="0"/>
    <x v="0"/>
    <x v="0"/>
    <x v="1"/>
    <x v="0"/>
    <x v="0"/>
    <x v="0"/>
    <x v="1"/>
    <x v="1"/>
    <s v="CHAMDOR RED"/>
    <n v="112"/>
    <x v="4"/>
    <n v="3091200"/>
  </r>
  <r>
    <x v="0"/>
    <x v="0"/>
    <x v="0"/>
    <x v="0"/>
    <x v="0"/>
    <x v="0"/>
    <x v="3"/>
    <x v="0"/>
    <x v="0"/>
    <x v="1"/>
    <x v="9"/>
    <x v="1"/>
    <s v="CHAMDOR RED"/>
    <n v="105"/>
    <x v="4"/>
    <n v="2898000"/>
  </r>
  <r>
    <x v="0"/>
    <x v="0"/>
    <x v="0"/>
    <x v="0"/>
    <x v="0"/>
    <x v="0"/>
    <x v="2"/>
    <x v="0"/>
    <x v="0"/>
    <x v="1"/>
    <x v="2"/>
    <x v="0"/>
    <s v="CHAMDOR RED"/>
    <n v="126"/>
    <x v="4"/>
    <n v="3477600"/>
  </r>
  <r>
    <x v="0"/>
    <x v="0"/>
    <x v="0"/>
    <x v="0"/>
    <x v="0"/>
    <x v="0"/>
    <x v="2"/>
    <x v="0"/>
    <x v="5"/>
    <x v="1"/>
    <x v="10"/>
    <x v="5"/>
    <s v="CHAMDOR RED"/>
    <n v="80"/>
    <x v="4"/>
    <n v="2208000"/>
  </r>
  <r>
    <x v="0"/>
    <x v="0"/>
    <x v="0"/>
    <x v="0"/>
    <x v="0"/>
    <x v="0"/>
    <x v="8"/>
    <x v="0"/>
    <x v="4"/>
    <x v="1"/>
    <x v="8"/>
    <x v="5"/>
    <s v="CHAMDOR RED"/>
    <n v="42"/>
    <x v="4"/>
    <n v="1159200"/>
  </r>
  <r>
    <x v="0"/>
    <x v="0"/>
    <x v="0"/>
    <x v="0"/>
    <x v="0"/>
    <x v="0"/>
    <x v="3"/>
    <x v="0"/>
    <x v="0"/>
    <x v="1"/>
    <x v="3"/>
    <x v="1"/>
    <s v="CHAMDOR RED"/>
    <n v="136"/>
    <x v="4"/>
    <n v="3753600"/>
  </r>
  <r>
    <x v="0"/>
    <x v="0"/>
    <x v="0"/>
    <x v="0"/>
    <x v="0"/>
    <x v="0"/>
    <x v="9"/>
    <x v="2"/>
    <x v="6"/>
    <x v="2"/>
    <x v="11"/>
    <x v="6"/>
    <s v="CHAMDOR RED"/>
    <n v="50"/>
    <x v="4"/>
    <n v="1380000"/>
  </r>
  <r>
    <x v="0"/>
    <x v="0"/>
    <x v="0"/>
    <x v="0"/>
    <x v="0"/>
    <x v="0"/>
    <x v="9"/>
    <x v="2"/>
    <x v="7"/>
    <x v="2"/>
    <x v="12"/>
    <x v="6"/>
    <s v="CHAMDOR RED"/>
    <n v="20"/>
    <x v="4"/>
    <n v="552000"/>
  </r>
  <r>
    <x v="0"/>
    <x v="0"/>
    <x v="0"/>
    <x v="0"/>
    <x v="0"/>
    <x v="0"/>
    <x v="4"/>
    <x v="1"/>
    <x v="1"/>
    <x v="0"/>
    <x v="4"/>
    <x v="2"/>
    <s v="CHAMDOR RED"/>
    <n v="541"/>
    <x v="4"/>
    <n v="14931600"/>
  </r>
  <r>
    <x v="0"/>
    <x v="0"/>
    <x v="0"/>
    <x v="0"/>
    <x v="0"/>
    <x v="0"/>
    <x v="5"/>
    <x v="1"/>
    <x v="2"/>
    <x v="0"/>
    <x v="5"/>
    <x v="3"/>
    <s v="CHAMDOR RED"/>
    <n v="260"/>
    <x v="4"/>
    <n v="7176000"/>
  </r>
  <r>
    <x v="0"/>
    <x v="0"/>
    <x v="0"/>
    <x v="0"/>
    <x v="0"/>
    <x v="0"/>
    <x v="6"/>
    <x v="1"/>
    <x v="3"/>
    <x v="0"/>
    <x v="6"/>
    <x v="4"/>
    <s v="CHAMDOR RED"/>
    <n v="425"/>
    <x v="4"/>
    <n v="11730000"/>
  </r>
  <r>
    <x v="0"/>
    <x v="0"/>
    <x v="0"/>
    <x v="0"/>
    <x v="0"/>
    <x v="0"/>
    <x v="7"/>
    <x v="1"/>
    <x v="3"/>
    <x v="0"/>
    <x v="7"/>
    <x v="4"/>
    <s v="CHAMDOR RED"/>
    <n v="470"/>
    <x v="4"/>
    <n v="12972000"/>
  </r>
  <r>
    <x v="0"/>
    <x v="0"/>
    <x v="0"/>
    <x v="0"/>
    <x v="0"/>
    <x v="0"/>
    <x v="0"/>
    <x v="0"/>
    <x v="0"/>
    <x v="0"/>
    <x v="0"/>
    <x v="0"/>
    <s v="4TH STREET WHITE 6X75CL"/>
    <n v="10"/>
    <x v="5"/>
    <n v="216000"/>
  </r>
  <r>
    <x v="0"/>
    <x v="0"/>
    <x v="0"/>
    <x v="0"/>
    <x v="0"/>
    <x v="0"/>
    <x v="2"/>
    <x v="0"/>
    <x v="0"/>
    <x v="1"/>
    <x v="2"/>
    <x v="0"/>
    <s v="4TH STREET WHITE 6X75CL"/>
    <n v="3"/>
    <x v="5"/>
    <n v="64800"/>
  </r>
  <r>
    <x v="0"/>
    <x v="0"/>
    <x v="0"/>
    <x v="0"/>
    <x v="0"/>
    <x v="0"/>
    <x v="4"/>
    <x v="1"/>
    <x v="1"/>
    <x v="0"/>
    <x v="4"/>
    <x v="2"/>
    <s v="4TH STREET WHITE 6X75CL"/>
    <n v="21"/>
    <x v="5"/>
    <n v="453600"/>
  </r>
  <r>
    <x v="0"/>
    <x v="0"/>
    <x v="0"/>
    <x v="0"/>
    <x v="0"/>
    <x v="0"/>
    <x v="6"/>
    <x v="1"/>
    <x v="3"/>
    <x v="0"/>
    <x v="6"/>
    <x v="4"/>
    <s v="4TH STREET RED 12X37.5CL"/>
    <n v="34"/>
    <x v="5"/>
    <n v="734400"/>
  </r>
  <r>
    <x v="0"/>
    <x v="0"/>
    <x v="0"/>
    <x v="0"/>
    <x v="0"/>
    <x v="0"/>
    <x v="7"/>
    <x v="1"/>
    <x v="3"/>
    <x v="0"/>
    <x v="7"/>
    <x v="4"/>
    <s v="4TH STREET RED 12X37.5CL"/>
    <n v="47"/>
    <x v="5"/>
    <n v="1015200"/>
  </r>
  <r>
    <x v="0"/>
    <x v="0"/>
    <x v="0"/>
    <x v="0"/>
    <x v="0"/>
    <x v="0"/>
    <x v="0"/>
    <x v="0"/>
    <x v="0"/>
    <x v="0"/>
    <x v="0"/>
    <x v="0"/>
    <s v="4TH STREET ROSE 6X75CL"/>
    <n v="8"/>
    <x v="5"/>
    <n v="172800"/>
  </r>
  <r>
    <x v="0"/>
    <x v="0"/>
    <x v="0"/>
    <x v="0"/>
    <x v="0"/>
    <x v="0"/>
    <x v="2"/>
    <x v="0"/>
    <x v="0"/>
    <x v="1"/>
    <x v="2"/>
    <x v="0"/>
    <s v="4TH STREET ROSE 6X75CL"/>
    <n v="2"/>
    <x v="5"/>
    <n v="43200"/>
  </r>
  <r>
    <x v="0"/>
    <x v="0"/>
    <x v="0"/>
    <x v="0"/>
    <x v="0"/>
    <x v="0"/>
    <x v="3"/>
    <x v="0"/>
    <x v="0"/>
    <x v="1"/>
    <x v="3"/>
    <x v="1"/>
    <s v="4TH STREET ROSE 6X75CL"/>
    <n v="15"/>
    <x v="5"/>
    <n v="324000"/>
  </r>
  <r>
    <x v="0"/>
    <x v="0"/>
    <x v="0"/>
    <x v="0"/>
    <x v="0"/>
    <x v="0"/>
    <x v="4"/>
    <x v="1"/>
    <x v="1"/>
    <x v="0"/>
    <x v="4"/>
    <x v="2"/>
    <s v="4TH STREET ROSE 6X75CL"/>
    <n v="49"/>
    <x v="5"/>
    <n v="1058400"/>
  </r>
  <r>
    <x v="0"/>
    <x v="0"/>
    <x v="0"/>
    <x v="0"/>
    <x v="0"/>
    <x v="0"/>
    <x v="0"/>
    <x v="0"/>
    <x v="0"/>
    <x v="0"/>
    <x v="0"/>
    <x v="0"/>
    <s v="NEDERBURG WINE MASTER RANGE MERLOT  6X750ML"/>
    <n v="20"/>
    <x v="6"/>
    <n v="1840000"/>
  </r>
  <r>
    <x v="0"/>
    <x v="0"/>
    <x v="0"/>
    <x v="0"/>
    <x v="0"/>
    <x v="0"/>
    <x v="1"/>
    <x v="0"/>
    <x v="0"/>
    <x v="0"/>
    <x v="1"/>
    <x v="1"/>
    <s v="NEDERBURG WINE MASTER RANGE MERLOT  6X750ML"/>
    <n v="10"/>
    <x v="6"/>
    <n v="920000"/>
  </r>
  <r>
    <x v="0"/>
    <x v="0"/>
    <x v="0"/>
    <x v="0"/>
    <x v="0"/>
    <x v="0"/>
    <x v="6"/>
    <x v="1"/>
    <x v="3"/>
    <x v="0"/>
    <x v="6"/>
    <x v="4"/>
    <s v="NEDERBURG WINE MASTER RANGE MERLOT  6X750ML"/>
    <n v="9"/>
    <x v="6"/>
    <n v="828000"/>
  </r>
  <r>
    <x v="0"/>
    <x v="0"/>
    <x v="0"/>
    <x v="0"/>
    <x v="0"/>
    <x v="0"/>
    <x v="7"/>
    <x v="1"/>
    <x v="3"/>
    <x v="0"/>
    <x v="7"/>
    <x v="4"/>
    <s v="NEDERBURG WINE MASTER RANGE MERLOT  6X750ML"/>
    <n v="10"/>
    <x v="6"/>
    <n v="920000"/>
  </r>
  <r>
    <x v="0"/>
    <x v="0"/>
    <x v="0"/>
    <x v="0"/>
    <x v="0"/>
    <x v="0"/>
    <x v="1"/>
    <x v="0"/>
    <x v="0"/>
    <x v="0"/>
    <x v="1"/>
    <x v="1"/>
    <s v="4TH STREET RED 6X75CL"/>
    <n v="102"/>
    <x v="5"/>
    <n v="2203200"/>
  </r>
  <r>
    <x v="0"/>
    <x v="0"/>
    <x v="0"/>
    <x v="0"/>
    <x v="0"/>
    <x v="0"/>
    <x v="3"/>
    <x v="0"/>
    <x v="0"/>
    <x v="1"/>
    <x v="9"/>
    <x v="1"/>
    <s v="4TH STREET RED 6X75CL"/>
    <n v="80"/>
    <x v="5"/>
    <n v="1728000"/>
  </r>
  <r>
    <x v="0"/>
    <x v="0"/>
    <x v="0"/>
    <x v="0"/>
    <x v="0"/>
    <x v="0"/>
    <x v="2"/>
    <x v="0"/>
    <x v="0"/>
    <x v="1"/>
    <x v="2"/>
    <x v="0"/>
    <s v="4TH STREET RED 6X75CL"/>
    <n v="132"/>
    <x v="5"/>
    <n v="2851200"/>
  </r>
  <r>
    <x v="0"/>
    <x v="0"/>
    <x v="0"/>
    <x v="0"/>
    <x v="0"/>
    <x v="0"/>
    <x v="2"/>
    <x v="0"/>
    <x v="5"/>
    <x v="1"/>
    <x v="10"/>
    <x v="5"/>
    <s v="4TH STREET RED 6X75CL"/>
    <n v="55"/>
    <x v="5"/>
    <n v="1188000"/>
  </r>
  <r>
    <x v="0"/>
    <x v="0"/>
    <x v="0"/>
    <x v="0"/>
    <x v="0"/>
    <x v="0"/>
    <x v="8"/>
    <x v="0"/>
    <x v="4"/>
    <x v="1"/>
    <x v="8"/>
    <x v="5"/>
    <s v="4TH STREET RED 6X75CL"/>
    <n v="50"/>
    <x v="5"/>
    <n v="1080000"/>
  </r>
  <r>
    <x v="0"/>
    <x v="0"/>
    <x v="0"/>
    <x v="0"/>
    <x v="0"/>
    <x v="0"/>
    <x v="3"/>
    <x v="0"/>
    <x v="0"/>
    <x v="1"/>
    <x v="3"/>
    <x v="1"/>
    <s v="4TH STREET RED 6X75CL"/>
    <n v="80"/>
    <x v="5"/>
    <n v="1728000"/>
  </r>
  <r>
    <x v="0"/>
    <x v="0"/>
    <x v="0"/>
    <x v="0"/>
    <x v="0"/>
    <x v="0"/>
    <x v="9"/>
    <x v="2"/>
    <x v="6"/>
    <x v="2"/>
    <x v="11"/>
    <x v="6"/>
    <s v="4TH STREET RED 6X75CL"/>
    <n v="20"/>
    <x v="5"/>
    <n v="432000"/>
  </r>
  <r>
    <x v="0"/>
    <x v="0"/>
    <x v="0"/>
    <x v="0"/>
    <x v="0"/>
    <x v="0"/>
    <x v="9"/>
    <x v="2"/>
    <x v="7"/>
    <x v="2"/>
    <x v="12"/>
    <x v="6"/>
    <s v="4TH STREET RED 6X75CL"/>
    <n v="20"/>
    <x v="5"/>
    <n v="432000"/>
  </r>
  <r>
    <x v="0"/>
    <x v="0"/>
    <x v="0"/>
    <x v="0"/>
    <x v="0"/>
    <x v="0"/>
    <x v="4"/>
    <x v="1"/>
    <x v="1"/>
    <x v="0"/>
    <x v="4"/>
    <x v="2"/>
    <s v="4TH STREET RED 6X75CL"/>
    <n v="170"/>
    <x v="5"/>
    <n v="3672000"/>
  </r>
  <r>
    <x v="0"/>
    <x v="0"/>
    <x v="0"/>
    <x v="0"/>
    <x v="0"/>
    <x v="0"/>
    <x v="5"/>
    <x v="1"/>
    <x v="2"/>
    <x v="0"/>
    <x v="5"/>
    <x v="3"/>
    <s v="4TH STREET RED 6X75CL"/>
    <n v="180"/>
    <x v="5"/>
    <n v="3888000"/>
  </r>
  <r>
    <x v="0"/>
    <x v="0"/>
    <x v="0"/>
    <x v="0"/>
    <x v="0"/>
    <x v="0"/>
    <x v="6"/>
    <x v="1"/>
    <x v="3"/>
    <x v="0"/>
    <x v="6"/>
    <x v="4"/>
    <s v="4TH STREET RED 6X75CL"/>
    <n v="85"/>
    <x v="5"/>
    <n v="1836000"/>
  </r>
  <r>
    <x v="0"/>
    <x v="0"/>
    <x v="0"/>
    <x v="0"/>
    <x v="0"/>
    <x v="0"/>
    <x v="7"/>
    <x v="1"/>
    <x v="3"/>
    <x v="0"/>
    <x v="7"/>
    <x v="4"/>
    <s v="4TH STREET RED 6X75CL"/>
    <n v="135"/>
    <x v="5"/>
    <n v="2916000"/>
  </r>
  <r>
    <x v="0"/>
    <x v="0"/>
    <x v="0"/>
    <x v="0"/>
    <x v="0"/>
    <x v="0"/>
    <x v="1"/>
    <x v="0"/>
    <x v="0"/>
    <x v="0"/>
    <x v="1"/>
    <x v="1"/>
    <s v="HUNTERS DRY 4X(6X330ML)"/>
    <n v="10"/>
    <x v="7"/>
    <n v="216000"/>
  </r>
  <r>
    <x v="0"/>
    <x v="0"/>
    <x v="0"/>
    <x v="0"/>
    <x v="0"/>
    <x v="0"/>
    <x v="3"/>
    <x v="0"/>
    <x v="0"/>
    <x v="1"/>
    <x v="9"/>
    <x v="1"/>
    <s v="HUNTERS DRY 4X(6X330ML)"/>
    <n v="2"/>
    <x v="7"/>
    <n v="43200"/>
  </r>
  <r>
    <x v="0"/>
    <x v="0"/>
    <x v="0"/>
    <x v="0"/>
    <x v="0"/>
    <x v="0"/>
    <x v="2"/>
    <x v="0"/>
    <x v="5"/>
    <x v="1"/>
    <x v="10"/>
    <x v="5"/>
    <s v="HUNTERS DRY 4X(6X330ML)"/>
    <n v="15"/>
    <x v="7"/>
    <n v="324000"/>
  </r>
  <r>
    <x v="0"/>
    <x v="0"/>
    <x v="0"/>
    <x v="0"/>
    <x v="0"/>
    <x v="0"/>
    <x v="3"/>
    <x v="0"/>
    <x v="0"/>
    <x v="1"/>
    <x v="3"/>
    <x v="1"/>
    <s v="HUNTERS DRY 4X(6X330ML)"/>
    <n v="5"/>
    <x v="7"/>
    <n v="108000"/>
  </r>
  <r>
    <x v="0"/>
    <x v="0"/>
    <x v="0"/>
    <x v="0"/>
    <x v="0"/>
    <x v="0"/>
    <x v="4"/>
    <x v="1"/>
    <x v="1"/>
    <x v="0"/>
    <x v="4"/>
    <x v="2"/>
    <s v="HUNTERS DRY 4X(6X330ML)"/>
    <n v="18"/>
    <x v="7"/>
    <n v="388800"/>
  </r>
  <r>
    <x v="0"/>
    <x v="0"/>
    <x v="0"/>
    <x v="0"/>
    <x v="0"/>
    <x v="0"/>
    <x v="6"/>
    <x v="1"/>
    <x v="3"/>
    <x v="0"/>
    <x v="6"/>
    <x v="4"/>
    <s v="HUNTERS DRY 4X(6X330ML)"/>
    <n v="10"/>
    <x v="7"/>
    <n v="216000"/>
  </r>
  <r>
    <x v="0"/>
    <x v="0"/>
    <x v="0"/>
    <x v="0"/>
    <x v="0"/>
    <x v="0"/>
    <x v="7"/>
    <x v="1"/>
    <x v="3"/>
    <x v="0"/>
    <x v="7"/>
    <x v="4"/>
    <s v="HUNTERS DRY 4X(6X330ML)"/>
    <n v="10"/>
    <x v="7"/>
    <n v="216000"/>
  </r>
  <r>
    <x v="0"/>
    <x v="0"/>
    <x v="0"/>
    <x v="0"/>
    <x v="0"/>
    <x v="0"/>
    <x v="10"/>
    <x v="1"/>
    <x v="8"/>
    <x v="1"/>
    <x v="13"/>
    <x v="7"/>
    <s v="HUNTERS DRY 4X(6X330ML)"/>
    <n v="11"/>
    <x v="7"/>
    <n v="237600"/>
  </r>
  <r>
    <x v="0"/>
    <x v="0"/>
    <x v="0"/>
    <x v="0"/>
    <x v="0"/>
    <x v="0"/>
    <x v="1"/>
    <x v="0"/>
    <x v="0"/>
    <x v="0"/>
    <x v="1"/>
    <x v="1"/>
    <s v="HUNTERS GOLD 4X(6X330ML)"/>
    <n v="5"/>
    <x v="7"/>
    <n v="108000"/>
  </r>
  <r>
    <x v="0"/>
    <x v="0"/>
    <x v="0"/>
    <x v="0"/>
    <x v="0"/>
    <x v="0"/>
    <x v="3"/>
    <x v="0"/>
    <x v="0"/>
    <x v="1"/>
    <x v="9"/>
    <x v="1"/>
    <s v="HUNTERS GOLD 4X(6X330ML)"/>
    <n v="2"/>
    <x v="7"/>
    <n v="43200"/>
  </r>
  <r>
    <x v="0"/>
    <x v="0"/>
    <x v="0"/>
    <x v="0"/>
    <x v="0"/>
    <x v="0"/>
    <x v="2"/>
    <x v="0"/>
    <x v="0"/>
    <x v="1"/>
    <x v="2"/>
    <x v="0"/>
    <s v="HUNTERS GOLD 4X(6X330ML)"/>
    <n v="3"/>
    <x v="7"/>
    <n v="64800"/>
  </r>
  <r>
    <x v="0"/>
    <x v="0"/>
    <x v="0"/>
    <x v="0"/>
    <x v="0"/>
    <x v="0"/>
    <x v="2"/>
    <x v="0"/>
    <x v="5"/>
    <x v="1"/>
    <x v="10"/>
    <x v="5"/>
    <s v="HUNTERS GOLD 4X(6X330ML)"/>
    <n v="10"/>
    <x v="7"/>
    <n v="216000"/>
  </r>
  <r>
    <x v="0"/>
    <x v="0"/>
    <x v="0"/>
    <x v="0"/>
    <x v="0"/>
    <x v="0"/>
    <x v="3"/>
    <x v="0"/>
    <x v="0"/>
    <x v="1"/>
    <x v="3"/>
    <x v="1"/>
    <s v="HUNTERS GOLD 4X(6X330ML)"/>
    <n v="5"/>
    <x v="7"/>
    <n v="108000"/>
  </r>
  <r>
    <x v="0"/>
    <x v="0"/>
    <x v="0"/>
    <x v="0"/>
    <x v="0"/>
    <x v="0"/>
    <x v="6"/>
    <x v="1"/>
    <x v="3"/>
    <x v="0"/>
    <x v="6"/>
    <x v="4"/>
    <s v="AMARULA CREAM 12X375ML"/>
    <n v="18"/>
    <x v="2"/>
    <n v="782010"/>
  </r>
  <r>
    <x v="0"/>
    <x v="0"/>
    <x v="0"/>
    <x v="0"/>
    <x v="0"/>
    <x v="0"/>
    <x v="7"/>
    <x v="1"/>
    <x v="3"/>
    <x v="0"/>
    <x v="7"/>
    <x v="4"/>
    <s v="AMARULA CREAM 12X375ML"/>
    <n v="9"/>
    <x v="2"/>
    <n v="391005"/>
  </r>
  <r>
    <x v="0"/>
    <x v="0"/>
    <x v="0"/>
    <x v="0"/>
    <x v="0"/>
    <x v="0"/>
    <x v="6"/>
    <x v="1"/>
    <x v="3"/>
    <x v="0"/>
    <x v="6"/>
    <x v="4"/>
    <s v="BAIN'S WHISKY 6X75CL"/>
    <n v="4"/>
    <x v="8"/>
    <n v="320000"/>
  </r>
  <r>
    <x v="0"/>
    <x v="0"/>
    <x v="0"/>
    <x v="0"/>
    <x v="0"/>
    <x v="0"/>
    <x v="7"/>
    <x v="1"/>
    <x v="3"/>
    <x v="0"/>
    <x v="7"/>
    <x v="4"/>
    <s v="BAIN'S WHISKY 6X75CL"/>
    <n v="7"/>
    <x v="8"/>
    <n v="560000"/>
  </r>
  <r>
    <x v="0"/>
    <x v="0"/>
    <x v="0"/>
    <x v="0"/>
    <x v="0"/>
    <x v="0"/>
    <x v="3"/>
    <x v="0"/>
    <x v="0"/>
    <x v="1"/>
    <x v="9"/>
    <x v="1"/>
    <s v="CHAMDOR WHITE"/>
    <n v="15"/>
    <x v="4"/>
    <n v="414000"/>
  </r>
  <r>
    <x v="0"/>
    <x v="0"/>
    <x v="0"/>
    <x v="0"/>
    <x v="0"/>
    <x v="0"/>
    <x v="3"/>
    <x v="0"/>
    <x v="0"/>
    <x v="1"/>
    <x v="3"/>
    <x v="1"/>
    <s v="CHAMDOR WHITE"/>
    <n v="9"/>
    <x v="4"/>
    <n v="248400"/>
  </r>
  <r>
    <x v="0"/>
    <x v="0"/>
    <x v="0"/>
    <x v="0"/>
    <x v="0"/>
    <x v="0"/>
    <x v="4"/>
    <x v="1"/>
    <x v="1"/>
    <x v="0"/>
    <x v="4"/>
    <x v="2"/>
    <s v="CHAMDOR WHITE"/>
    <n v="42"/>
    <x v="4"/>
    <n v="1159200"/>
  </r>
  <r>
    <x v="0"/>
    <x v="0"/>
    <x v="0"/>
    <x v="0"/>
    <x v="0"/>
    <x v="0"/>
    <x v="6"/>
    <x v="1"/>
    <x v="3"/>
    <x v="0"/>
    <x v="6"/>
    <x v="4"/>
    <s v="KNIGHT WHISKY 6X75CL"/>
    <n v="1"/>
    <x v="9"/>
    <n v="50000"/>
  </r>
  <r>
    <x v="0"/>
    <x v="0"/>
    <x v="0"/>
    <x v="0"/>
    <x v="0"/>
    <x v="0"/>
    <x v="7"/>
    <x v="1"/>
    <x v="3"/>
    <x v="0"/>
    <x v="7"/>
    <x v="4"/>
    <s v="KNIGHT WHISKY 6X75CL"/>
    <n v="4"/>
    <x v="9"/>
    <n v="200000"/>
  </r>
  <r>
    <x v="0"/>
    <x v="0"/>
    <x v="0"/>
    <x v="0"/>
    <x v="0"/>
    <x v="0"/>
    <x v="6"/>
    <x v="1"/>
    <x v="3"/>
    <x v="0"/>
    <x v="6"/>
    <x v="4"/>
    <s v="TWO OCEAN CAB/SAUV 6X75CL"/>
    <n v="26"/>
    <x v="10"/>
    <n v="780000"/>
  </r>
  <r>
    <x v="0"/>
    <x v="0"/>
    <x v="0"/>
    <x v="0"/>
    <x v="0"/>
    <x v="0"/>
    <x v="7"/>
    <x v="1"/>
    <x v="3"/>
    <x v="0"/>
    <x v="7"/>
    <x v="4"/>
    <s v="TWO OCEAN CAB/SAUV 6X75CL"/>
    <n v="8"/>
    <x v="10"/>
    <n v="240000"/>
  </r>
  <r>
    <x v="0"/>
    <x v="0"/>
    <x v="0"/>
    <x v="0"/>
    <x v="0"/>
    <x v="0"/>
    <x v="6"/>
    <x v="1"/>
    <x v="3"/>
    <x v="0"/>
    <x v="6"/>
    <x v="4"/>
    <s v="SCOTTISH LEADER 6X75CL"/>
    <n v="2"/>
    <x v="11"/>
    <n v="120000"/>
  </r>
  <r>
    <x v="0"/>
    <x v="0"/>
    <x v="0"/>
    <x v="0"/>
    <x v="0"/>
    <x v="0"/>
    <x v="7"/>
    <x v="1"/>
    <x v="3"/>
    <x v="0"/>
    <x v="7"/>
    <x v="4"/>
    <s v="SCOTTISH LEADER 6X75CL"/>
    <n v="3"/>
    <x v="11"/>
    <n v="180000"/>
  </r>
  <r>
    <x v="0"/>
    <x v="0"/>
    <x v="0"/>
    <x v="0"/>
    <x v="0"/>
    <x v="0"/>
    <x v="10"/>
    <x v="1"/>
    <x v="8"/>
    <x v="1"/>
    <x v="13"/>
    <x v="7"/>
    <s v="DROSTDY HOF 6X75CL RED CLARET "/>
    <n v="15"/>
    <x v="0"/>
    <n v="450000"/>
  </r>
  <r>
    <x v="0"/>
    <x v="0"/>
    <x v="0"/>
    <x v="0"/>
    <x v="0"/>
    <x v="0"/>
    <x v="10"/>
    <x v="1"/>
    <x v="8"/>
    <x v="1"/>
    <x v="13"/>
    <x v="7"/>
    <s v="CHAMDOR RED"/>
    <n v="105"/>
    <x v="4"/>
    <n v="2898000"/>
  </r>
  <r>
    <x v="0"/>
    <x v="0"/>
    <x v="0"/>
    <x v="0"/>
    <x v="0"/>
    <x v="0"/>
    <x v="10"/>
    <x v="1"/>
    <x v="8"/>
    <x v="1"/>
    <x v="13"/>
    <x v="7"/>
    <s v="CHAMDOR WHITE"/>
    <n v="18"/>
    <x v="4"/>
    <n v="496800"/>
  </r>
  <r>
    <x v="0"/>
    <x v="0"/>
    <x v="0"/>
    <x v="0"/>
    <x v="0"/>
    <x v="0"/>
    <x v="10"/>
    <x v="1"/>
    <x v="8"/>
    <x v="1"/>
    <x v="13"/>
    <x v="7"/>
    <s v="4TH STREET RED 6X75CL"/>
    <n v="75"/>
    <x v="5"/>
    <n v="1620000"/>
  </r>
  <r>
    <x v="0"/>
    <x v="0"/>
    <x v="0"/>
    <x v="0"/>
    <x v="0"/>
    <x v="0"/>
    <x v="10"/>
    <x v="1"/>
    <x v="8"/>
    <x v="1"/>
    <x v="13"/>
    <x v="7"/>
    <s v="4TH STREET 75CL NON ALCOHOLIC SWEET WINE"/>
    <n v="60"/>
    <x v="1"/>
    <n v="1152000"/>
  </r>
  <r>
    <x v="0"/>
    <x v="0"/>
    <x v="0"/>
    <x v="0"/>
    <x v="0"/>
    <x v="0"/>
    <x v="10"/>
    <x v="1"/>
    <x v="8"/>
    <x v="1"/>
    <x v="13"/>
    <x v="7"/>
    <s v="NEDERBURG WINE MASTER RANGE MERLOT  6X750ML"/>
    <n v="2"/>
    <x v="6"/>
    <n v="184000"/>
  </r>
  <r>
    <x v="0"/>
    <x v="0"/>
    <x v="0"/>
    <x v="0"/>
    <x v="0"/>
    <x v="0"/>
    <x v="10"/>
    <x v="1"/>
    <x v="8"/>
    <x v="1"/>
    <x v="13"/>
    <x v="7"/>
    <s v="NEDERBURG WINE MASTER RANGE SHIRAZ  6X750ML"/>
    <n v="2"/>
    <x v="6"/>
    <n v="184000"/>
  </r>
  <r>
    <x v="0"/>
    <x v="0"/>
    <x v="0"/>
    <x v="0"/>
    <x v="0"/>
    <x v="0"/>
    <x v="10"/>
    <x v="1"/>
    <x v="8"/>
    <x v="1"/>
    <x v="13"/>
    <x v="7"/>
    <s v="NEDERBURG WINE MASTER RANGE PINOTAGE  6X750ML"/>
    <n v="2"/>
    <x v="6"/>
    <n v="184000"/>
  </r>
  <r>
    <x v="0"/>
    <x v="0"/>
    <x v="0"/>
    <x v="0"/>
    <x v="0"/>
    <x v="0"/>
    <x v="10"/>
    <x v="1"/>
    <x v="9"/>
    <x v="1"/>
    <x v="14"/>
    <x v="7"/>
    <s v="HUNTERS GOLD 4X(6X330ML)"/>
    <n v="5"/>
    <x v="7"/>
    <n v="108000"/>
  </r>
  <r>
    <x v="0"/>
    <x v="0"/>
    <x v="0"/>
    <x v="0"/>
    <x v="0"/>
    <x v="0"/>
    <x v="10"/>
    <x v="1"/>
    <x v="9"/>
    <x v="1"/>
    <x v="14"/>
    <x v="7"/>
    <s v="DROSTDY HOF 6X75CL RED CLARET "/>
    <n v="13"/>
    <x v="0"/>
    <n v="390000"/>
  </r>
  <r>
    <x v="0"/>
    <x v="0"/>
    <x v="0"/>
    <x v="0"/>
    <x v="0"/>
    <x v="0"/>
    <x v="10"/>
    <x v="1"/>
    <x v="9"/>
    <x v="1"/>
    <x v="14"/>
    <x v="7"/>
    <s v="CHAMDOR RED"/>
    <n v="80"/>
    <x v="4"/>
    <n v="2208000"/>
  </r>
  <r>
    <x v="0"/>
    <x v="0"/>
    <x v="0"/>
    <x v="0"/>
    <x v="0"/>
    <x v="0"/>
    <x v="10"/>
    <x v="1"/>
    <x v="9"/>
    <x v="1"/>
    <x v="14"/>
    <x v="7"/>
    <s v="CHAMDOR WHITE"/>
    <n v="15"/>
    <x v="4"/>
    <n v="414000"/>
  </r>
  <r>
    <x v="0"/>
    <x v="0"/>
    <x v="0"/>
    <x v="0"/>
    <x v="0"/>
    <x v="0"/>
    <x v="10"/>
    <x v="1"/>
    <x v="9"/>
    <x v="1"/>
    <x v="14"/>
    <x v="7"/>
    <s v="4TH STREET RED 6X75CL"/>
    <n v="60"/>
    <x v="5"/>
    <n v="1296000"/>
  </r>
  <r>
    <x v="0"/>
    <x v="0"/>
    <x v="0"/>
    <x v="0"/>
    <x v="0"/>
    <x v="0"/>
    <x v="10"/>
    <x v="1"/>
    <x v="9"/>
    <x v="1"/>
    <x v="14"/>
    <x v="7"/>
    <s v="4TH STREET 75CL NON ALCOHOLIC SWEET WINE"/>
    <n v="40"/>
    <x v="1"/>
    <n v="768000"/>
  </r>
  <r>
    <x v="0"/>
    <x v="0"/>
    <x v="0"/>
    <x v="0"/>
    <x v="0"/>
    <x v="0"/>
    <x v="11"/>
    <x v="1"/>
    <x v="10"/>
    <x v="1"/>
    <x v="15"/>
    <x v="2"/>
    <s v="HUNTERS DRY 4X(6X330ML)"/>
    <n v="7"/>
    <x v="7"/>
    <n v="151200"/>
  </r>
  <r>
    <x v="0"/>
    <x v="0"/>
    <x v="0"/>
    <x v="0"/>
    <x v="0"/>
    <x v="0"/>
    <x v="11"/>
    <x v="1"/>
    <x v="10"/>
    <x v="1"/>
    <x v="15"/>
    <x v="2"/>
    <s v="DROSTDY HOF 6X75CL RED CLARET "/>
    <n v="9"/>
    <x v="0"/>
    <n v="270000"/>
  </r>
  <r>
    <x v="0"/>
    <x v="0"/>
    <x v="0"/>
    <x v="0"/>
    <x v="0"/>
    <x v="0"/>
    <x v="11"/>
    <x v="1"/>
    <x v="10"/>
    <x v="1"/>
    <x v="15"/>
    <x v="2"/>
    <s v="DROSTY HOF RED CLARET 12X375ML"/>
    <n v="5"/>
    <x v="0"/>
    <n v="170000"/>
  </r>
  <r>
    <x v="0"/>
    <x v="0"/>
    <x v="0"/>
    <x v="0"/>
    <x v="0"/>
    <x v="0"/>
    <x v="11"/>
    <x v="1"/>
    <x v="10"/>
    <x v="1"/>
    <x v="15"/>
    <x v="2"/>
    <s v="AMARULA CREAM 6X700ML"/>
    <n v="9"/>
    <x v="2"/>
    <n v="270000"/>
  </r>
  <r>
    <x v="0"/>
    <x v="0"/>
    <x v="0"/>
    <x v="0"/>
    <x v="0"/>
    <x v="0"/>
    <x v="11"/>
    <x v="1"/>
    <x v="10"/>
    <x v="1"/>
    <x v="15"/>
    <x v="2"/>
    <s v="CHAMDOR RED"/>
    <n v="363"/>
    <x v="4"/>
    <n v="10018800"/>
  </r>
  <r>
    <x v="0"/>
    <x v="0"/>
    <x v="0"/>
    <x v="0"/>
    <x v="0"/>
    <x v="0"/>
    <x v="11"/>
    <x v="1"/>
    <x v="10"/>
    <x v="1"/>
    <x v="15"/>
    <x v="2"/>
    <s v="CHAMDOR WHITE"/>
    <n v="18"/>
    <x v="4"/>
    <n v="496800"/>
  </r>
  <r>
    <x v="0"/>
    <x v="0"/>
    <x v="0"/>
    <x v="0"/>
    <x v="0"/>
    <x v="0"/>
    <x v="11"/>
    <x v="1"/>
    <x v="10"/>
    <x v="1"/>
    <x v="15"/>
    <x v="2"/>
    <s v="4TH STREET RED 6X75CL"/>
    <n v="38"/>
    <x v="5"/>
    <n v="820800"/>
  </r>
  <r>
    <x v="0"/>
    <x v="0"/>
    <x v="0"/>
    <x v="0"/>
    <x v="0"/>
    <x v="0"/>
    <x v="11"/>
    <x v="1"/>
    <x v="10"/>
    <x v="1"/>
    <x v="15"/>
    <x v="2"/>
    <s v="4TH STREET WHITE 6X75CL"/>
    <n v="7"/>
    <x v="5"/>
    <n v="151200"/>
  </r>
  <r>
    <x v="0"/>
    <x v="0"/>
    <x v="0"/>
    <x v="0"/>
    <x v="0"/>
    <x v="0"/>
    <x v="11"/>
    <x v="1"/>
    <x v="10"/>
    <x v="1"/>
    <x v="15"/>
    <x v="2"/>
    <s v="4TH STREET ROSE 6X75CL"/>
    <n v="15"/>
    <x v="5"/>
    <n v="324000"/>
  </r>
  <r>
    <x v="0"/>
    <x v="0"/>
    <x v="0"/>
    <x v="0"/>
    <x v="0"/>
    <x v="0"/>
    <x v="11"/>
    <x v="1"/>
    <x v="10"/>
    <x v="1"/>
    <x v="15"/>
    <x v="2"/>
    <s v="4TH STREET SPARKLING RED"/>
    <n v="1"/>
    <x v="3"/>
    <n v="23400"/>
  </r>
  <r>
    <x v="0"/>
    <x v="0"/>
    <x v="0"/>
    <x v="0"/>
    <x v="0"/>
    <x v="0"/>
    <x v="11"/>
    <x v="1"/>
    <x v="10"/>
    <x v="1"/>
    <x v="15"/>
    <x v="2"/>
    <s v="4TH STREET 75CL NON ALCOHOLIC SWEET WINE"/>
    <n v="21"/>
    <x v="1"/>
    <n v="403200"/>
  </r>
  <r>
    <x v="0"/>
    <x v="0"/>
    <x v="0"/>
    <x v="0"/>
    <x v="0"/>
    <x v="0"/>
    <x v="11"/>
    <x v="1"/>
    <x v="10"/>
    <x v="1"/>
    <x v="15"/>
    <x v="2"/>
    <s v="NEDERBURG WINE MASTER RANGE BARONNE  6X750ML"/>
    <n v="1"/>
    <x v="6"/>
    <n v="90000"/>
  </r>
  <r>
    <x v="0"/>
    <x v="0"/>
    <x v="0"/>
    <x v="0"/>
    <x v="0"/>
    <x v="0"/>
    <x v="12"/>
    <x v="1"/>
    <x v="11"/>
    <x v="1"/>
    <x v="16"/>
    <x v="8"/>
    <s v="HUNTERS DRY 4X(6X330ML)"/>
    <n v="15"/>
    <x v="7"/>
    <n v="324000"/>
  </r>
  <r>
    <x v="0"/>
    <x v="0"/>
    <x v="0"/>
    <x v="0"/>
    <x v="0"/>
    <x v="0"/>
    <x v="12"/>
    <x v="1"/>
    <x v="11"/>
    <x v="1"/>
    <x v="16"/>
    <x v="8"/>
    <s v="TWO OCEAN SHIRAZ 6X75CL"/>
    <n v="3"/>
    <x v="10"/>
    <n v="90000"/>
  </r>
  <r>
    <x v="0"/>
    <x v="0"/>
    <x v="0"/>
    <x v="0"/>
    <x v="0"/>
    <x v="0"/>
    <x v="12"/>
    <x v="1"/>
    <x v="11"/>
    <x v="1"/>
    <x v="16"/>
    <x v="8"/>
    <s v="DROSTDY HOF 6X75CL RED CLARET "/>
    <n v="25"/>
    <x v="0"/>
    <n v="750000"/>
  </r>
  <r>
    <x v="0"/>
    <x v="0"/>
    <x v="0"/>
    <x v="0"/>
    <x v="0"/>
    <x v="0"/>
    <x v="12"/>
    <x v="1"/>
    <x v="11"/>
    <x v="1"/>
    <x v="16"/>
    <x v="8"/>
    <s v="DROSTY HOF RED CLARET 12X375ML"/>
    <n v="4"/>
    <x v="0"/>
    <n v="136000"/>
  </r>
  <r>
    <x v="0"/>
    <x v="0"/>
    <x v="0"/>
    <x v="0"/>
    <x v="0"/>
    <x v="0"/>
    <x v="12"/>
    <x v="1"/>
    <x v="11"/>
    <x v="1"/>
    <x v="16"/>
    <x v="8"/>
    <s v="AMARULA CREAM 6X700ML"/>
    <n v="20"/>
    <x v="2"/>
    <n v="600000"/>
  </r>
  <r>
    <x v="0"/>
    <x v="0"/>
    <x v="0"/>
    <x v="0"/>
    <x v="0"/>
    <x v="0"/>
    <x v="12"/>
    <x v="1"/>
    <x v="11"/>
    <x v="1"/>
    <x v="16"/>
    <x v="8"/>
    <s v="BAIN'S WHISKY 6X75CL"/>
    <n v="5"/>
    <x v="8"/>
    <n v="400000"/>
  </r>
  <r>
    <x v="0"/>
    <x v="0"/>
    <x v="0"/>
    <x v="0"/>
    <x v="0"/>
    <x v="0"/>
    <x v="12"/>
    <x v="1"/>
    <x v="11"/>
    <x v="1"/>
    <x v="16"/>
    <x v="8"/>
    <s v="CHAMDOR RED"/>
    <n v="180"/>
    <x v="4"/>
    <n v="4968000"/>
  </r>
  <r>
    <x v="0"/>
    <x v="0"/>
    <x v="0"/>
    <x v="0"/>
    <x v="0"/>
    <x v="0"/>
    <x v="12"/>
    <x v="1"/>
    <x v="11"/>
    <x v="1"/>
    <x v="16"/>
    <x v="8"/>
    <s v="4TH STREET RED 6X75CL"/>
    <n v="30"/>
    <x v="5"/>
    <n v="648000"/>
  </r>
  <r>
    <x v="0"/>
    <x v="0"/>
    <x v="0"/>
    <x v="0"/>
    <x v="0"/>
    <x v="0"/>
    <x v="12"/>
    <x v="1"/>
    <x v="11"/>
    <x v="1"/>
    <x v="16"/>
    <x v="8"/>
    <s v="4TH STREET WHITE 6X75CL"/>
    <n v="5"/>
    <x v="5"/>
    <n v="108000"/>
  </r>
  <r>
    <x v="0"/>
    <x v="0"/>
    <x v="0"/>
    <x v="0"/>
    <x v="0"/>
    <x v="0"/>
    <x v="12"/>
    <x v="1"/>
    <x v="11"/>
    <x v="1"/>
    <x v="16"/>
    <x v="8"/>
    <s v="4TH STREET ROSE 6X75CL"/>
    <n v="2"/>
    <x v="5"/>
    <n v="43200"/>
  </r>
  <r>
    <x v="0"/>
    <x v="0"/>
    <x v="0"/>
    <x v="0"/>
    <x v="0"/>
    <x v="0"/>
    <x v="12"/>
    <x v="1"/>
    <x v="11"/>
    <x v="1"/>
    <x v="16"/>
    <x v="8"/>
    <s v="4TH STREET 75CL NON ALCOHOLIC SWEET WINE"/>
    <n v="12"/>
    <x v="1"/>
    <n v="230400"/>
  </r>
  <r>
    <x v="0"/>
    <x v="0"/>
    <x v="0"/>
    <x v="0"/>
    <x v="0"/>
    <x v="0"/>
    <x v="13"/>
    <x v="1"/>
    <x v="12"/>
    <x v="0"/>
    <x v="17"/>
    <x v="9"/>
    <s v="HUNTERS DRY 4X(6X330ML)"/>
    <n v="9"/>
    <x v="7"/>
    <n v="194400"/>
  </r>
  <r>
    <x v="0"/>
    <x v="0"/>
    <x v="0"/>
    <x v="0"/>
    <x v="0"/>
    <x v="0"/>
    <x v="13"/>
    <x v="1"/>
    <x v="12"/>
    <x v="0"/>
    <x v="17"/>
    <x v="9"/>
    <s v="TWO OCEAN SHIRAZ 6X75CL"/>
    <n v="3"/>
    <x v="10"/>
    <n v="90000"/>
  </r>
  <r>
    <x v="0"/>
    <x v="0"/>
    <x v="0"/>
    <x v="0"/>
    <x v="0"/>
    <x v="0"/>
    <x v="13"/>
    <x v="1"/>
    <x v="12"/>
    <x v="0"/>
    <x v="17"/>
    <x v="9"/>
    <s v="DROSTDY HOF 6X75CL RED CLARET "/>
    <n v="27"/>
    <x v="0"/>
    <n v="810000"/>
  </r>
  <r>
    <x v="0"/>
    <x v="0"/>
    <x v="0"/>
    <x v="0"/>
    <x v="0"/>
    <x v="0"/>
    <x v="13"/>
    <x v="1"/>
    <x v="12"/>
    <x v="0"/>
    <x v="17"/>
    <x v="9"/>
    <s v="DROSTY HOF RED CLARET 12X375ML"/>
    <n v="12"/>
    <x v="0"/>
    <n v="408000"/>
  </r>
  <r>
    <x v="0"/>
    <x v="0"/>
    <x v="0"/>
    <x v="0"/>
    <x v="0"/>
    <x v="0"/>
    <x v="13"/>
    <x v="1"/>
    <x v="12"/>
    <x v="0"/>
    <x v="17"/>
    <x v="9"/>
    <s v="AMARULA CREAM 12X375ML"/>
    <n v="2"/>
    <x v="2"/>
    <n v="86890"/>
  </r>
  <r>
    <x v="0"/>
    <x v="0"/>
    <x v="0"/>
    <x v="0"/>
    <x v="0"/>
    <x v="0"/>
    <x v="13"/>
    <x v="1"/>
    <x v="12"/>
    <x v="0"/>
    <x v="17"/>
    <x v="9"/>
    <s v="AMARULA CREAM 6X700ML"/>
    <n v="5"/>
    <x v="2"/>
    <n v="150000"/>
  </r>
  <r>
    <x v="0"/>
    <x v="0"/>
    <x v="0"/>
    <x v="0"/>
    <x v="0"/>
    <x v="0"/>
    <x v="13"/>
    <x v="1"/>
    <x v="12"/>
    <x v="0"/>
    <x v="17"/>
    <x v="9"/>
    <s v="CHAMDOR RED"/>
    <n v="148"/>
    <x v="4"/>
    <n v="4084800"/>
  </r>
  <r>
    <x v="0"/>
    <x v="0"/>
    <x v="0"/>
    <x v="0"/>
    <x v="0"/>
    <x v="0"/>
    <x v="13"/>
    <x v="1"/>
    <x v="12"/>
    <x v="0"/>
    <x v="17"/>
    <x v="9"/>
    <s v="4TH STREET RED 6X75CL"/>
    <n v="96"/>
    <x v="5"/>
    <n v="2073600"/>
  </r>
  <r>
    <x v="0"/>
    <x v="0"/>
    <x v="0"/>
    <x v="0"/>
    <x v="0"/>
    <x v="0"/>
    <x v="13"/>
    <x v="1"/>
    <x v="12"/>
    <x v="0"/>
    <x v="17"/>
    <x v="9"/>
    <s v="4TH STREET WHITE 6X75CL"/>
    <n v="11"/>
    <x v="5"/>
    <n v="237600"/>
  </r>
  <r>
    <x v="0"/>
    <x v="0"/>
    <x v="0"/>
    <x v="0"/>
    <x v="0"/>
    <x v="0"/>
    <x v="13"/>
    <x v="1"/>
    <x v="12"/>
    <x v="0"/>
    <x v="17"/>
    <x v="9"/>
    <s v="4TH STREET ROSE 6X75CL"/>
    <n v="5"/>
    <x v="5"/>
    <n v="108000"/>
  </r>
  <r>
    <x v="0"/>
    <x v="0"/>
    <x v="0"/>
    <x v="0"/>
    <x v="0"/>
    <x v="0"/>
    <x v="13"/>
    <x v="1"/>
    <x v="12"/>
    <x v="0"/>
    <x v="17"/>
    <x v="9"/>
    <s v="4TH STREET 75CL NON ALCOHOLIC SWEET WINE"/>
    <n v="61"/>
    <x v="1"/>
    <n v="1171200"/>
  </r>
  <r>
    <x v="0"/>
    <x v="0"/>
    <x v="0"/>
    <x v="0"/>
    <x v="0"/>
    <x v="0"/>
    <x v="13"/>
    <x v="1"/>
    <x v="12"/>
    <x v="1"/>
    <x v="18"/>
    <x v="9"/>
    <s v="HUNTERS DRY 4X(6X330ML)"/>
    <n v="1"/>
    <x v="7"/>
    <n v="21600"/>
  </r>
  <r>
    <x v="0"/>
    <x v="0"/>
    <x v="0"/>
    <x v="0"/>
    <x v="0"/>
    <x v="0"/>
    <x v="13"/>
    <x v="1"/>
    <x v="12"/>
    <x v="1"/>
    <x v="18"/>
    <x v="9"/>
    <s v="DROSTDY HOF 6X75CL RED CLARET "/>
    <n v="1"/>
    <x v="0"/>
    <n v="30000"/>
  </r>
  <r>
    <x v="0"/>
    <x v="0"/>
    <x v="0"/>
    <x v="0"/>
    <x v="0"/>
    <x v="0"/>
    <x v="13"/>
    <x v="1"/>
    <x v="12"/>
    <x v="1"/>
    <x v="18"/>
    <x v="9"/>
    <s v="CHAMDOR RED"/>
    <n v="89"/>
    <x v="4"/>
    <n v="2456400"/>
  </r>
  <r>
    <x v="0"/>
    <x v="0"/>
    <x v="0"/>
    <x v="0"/>
    <x v="0"/>
    <x v="0"/>
    <x v="13"/>
    <x v="1"/>
    <x v="12"/>
    <x v="1"/>
    <x v="18"/>
    <x v="9"/>
    <s v="4TH STREET RED 6X75CL"/>
    <n v="40"/>
    <x v="5"/>
    <n v="864000"/>
  </r>
  <r>
    <x v="0"/>
    <x v="0"/>
    <x v="0"/>
    <x v="0"/>
    <x v="0"/>
    <x v="0"/>
    <x v="13"/>
    <x v="1"/>
    <x v="12"/>
    <x v="1"/>
    <x v="18"/>
    <x v="9"/>
    <s v="4TH STREET WHITE 6X75CL"/>
    <n v="1"/>
    <x v="5"/>
    <n v="21600"/>
  </r>
  <r>
    <x v="0"/>
    <x v="0"/>
    <x v="0"/>
    <x v="0"/>
    <x v="0"/>
    <x v="0"/>
    <x v="13"/>
    <x v="1"/>
    <x v="12"/>
    <x v="1"/>
    <x v="18"/>
    <x v="9"/>
    <s v="4TH STREET ROSE 6X75CL"/>
    <n v="2"/>
    <x v="5"/>
    <n v="43200"/>
  </r>
  <r>
    <x v="0"/>
    <x v="0"/>
    <x v="0"/>
    <x v="0"/>
    <x v="0"/>
    <x v="0"/>
    <x v="13"/>
    <x v="1"/>
    <x v="12"/>
    <x v="1"/>
    <x v="18"/>
    <x v="9"/>
    <s v="4TH STREET 75CL NON ALCOHOLIC SWEET WINE"/>
    <n v="10"/>
    <x v="1"/>
    <n v="192000"/>
  </r>
  <r>
    <x v="0"/>
    <x v="0"/>
    <x v="0"/>
    <x v="0"/>
    <x v="0"/>
    <x v="0"/>
    <x v="13"/>
    <x v="1"/>
    <x v="12"/>
    <x v="1"/>
    <x v="18"/>
    <x v="9"/>
    <s v="NEDERBURG WINE MASTER RANGE PINOTAGE  6X750ML"/>
    <n v="9"/>
    <x v="6"/>
    <n v="828000"/>
  </r>
  <r>
    <x v="0"/>
    <x v="0"/>
    <x v="0"/>
    <x v="0"/>
    <x v="0"/>
    <x v="0"/>
    <x v="13"/>
    <x v="1"/>
    <x v="12"/>
    <x v="1"/>
    <x v="18"/>
    <x v="9"/>
    <s v="NEDERBURG WINE MASTER RANGE CABERNET SAUVIGNON (SMALL)  24X250ML"/>
    <n v="2"/>
    <x v="6"/>
    <n v="141000"/>
  </r>
  <r>
    <x v="0"/>
    <x v="0"/>
    <x v="0"/>
    <x v="0"/>
    <x v="0"/>
    <x v="0"/>
    <x v="13"/>
    <x v="1"/>
    <x v="12"/>
    <x v="1"/>
    <x v="18"/>
    <x v="9"/>
    <s v="NEDERBURG WINE MASTER RANGE CABERNET SAUVIGNON (BIG)  6X750ML"/>
    <n v="10"/>
    <x v="6"/>
    <n v="920000"/>
  </r>
  <r>
    <x v="0"/>
    <x v="0"/>
    <x v="0"/>
    <x v="0"/>
    <x v="0"/>
    <x v="0"/>
    <x v="14"/>
    <x v="1"/>
    <x v="13"/>
    <x v="0"/>
    <x v="19"/>
    <x v="10"/>
    <s v="DROSTDY HOF 6X75CL RED CLARET "/>
    <n v="31"/>
    <x v="0"/>
    <n v="930000"/>
  </r>
  <r>
    <x v="0"/>
    <x v="0"/>
    <x v="0"/>
    <x v="0"/>
    <x v="0"/>
    <x v="0"/>
    <x v="14"/>
    <x v="1"/>
    <x v="13"/>
    <x v="0"/>
    <x v="19"/>
    <x v="10"/>
    <s v="CHAMDOR RED"/>
    <n v="368"/>
    <x v="4"/>
    <n v="10156800"/>
  </r>
  <r>
    <x v="0"/>
    <x v="0"/>
    <x v="0"/>
    <x v="0"/>
    <x v="0"/>
    <x v="0"/>
    <x v="14"/>
    <x v="1"/>
    <x v="13"/>
    <x v="0"/>
    <x v="19"/>
    <x v="10"/>
    <s v="4TH STREET RED 6X75CL"/>
    <n v="77"/>
    <x v="5"/>
    <n v="1663200"/>
  </r>
  <r>
    <x v="0"/>
    <x v="0"/>
    <x v="0"/>
    <x v="0"/>
    <x v="0"/>
    <x v="0"/>
    <x v="14"/>
    <x v="1"/>
    <x v="13"/>
    <x v="0"/>
    <x v="19"/>
    <x v="10"/>
    <s v="4TH STREET SPARKLING RED"/>
    <n v="36"/>
    <x v="3"/>
    <n v="842400"/>
  </r>
  <r>
    <x v="0"/>
    <x v="0"/>
    <x v="0"/>
    <x v="0"/>
    <x v="0"/>
    <x v="0"/>
    <x v="14"/>
    <x v="1"/>
    <x v="13"/>
    <x v="0"/>
    <x v="19"/>
    <x v="10"/>
    <s v="4TH STREET 75CL NON ALCOHOLIC SWEET WINE"/>
    <n v="30"/>
    <x v="1"/>
    <n v="576000"/>
  </r>
  <r>
    <x v="0"/>
    <x v="0"/>
    <x v="0"/>
    <x v="0"/>
    <x v="0"/>
    <x v="0"/>
    <x v="14"/>
    <x v="1"/>
    <x v="13"/>
    <x v="1"/>
    <x v="20"/>
    <x v="10"/>
    <s v="DROSTDY HOF 6X75CL RED CLARET "/>
    <n v="16"/>
    <x v="0"/>
    <n v="480000"/>
  </r>
  <r>
    <x v="0"/>
    <x v="0"/>
    <x v="0"/>
    <x v="0"/>
    <x v="0"/>
    <x v="0"/>
    <x v="14"/>
    <x v="1"/>
    <x v="13"/>
    <x v="1"/>
    <x v="20"/>
    <x v="10"/>
    <s v="CHAMDOR RED"/>
    <n v="78"/>
    <x v="4"/>
    <n v="2152800"/>
  </r>
  <r>
    <x v="0"/>
    <x v="0"/>
    <x v="0"/>
    <x v="0"/>
    <x v="0"/>
    <x v="0"/>
    <x v="14"/>
    <x v="1"/>
    <x v="13"/>
    <x v="1"/>
    <x v="20"/>
    <x v="10"/>
    <s v="4TH STREET RED 6X75CL"/>
    <n v="35"/>
    <x v="5"/>
    <n v="756000"/>
  </r>
  <r>
    <x v="0"/>
    <x v="0"/>
    <x v="0"/>
    <x v="0"/>
    <x v="0"/>
    <x v="0"/>
    <x v="14"/>
    <x v="1"/>
    <x v="13"/>
    <x v="1"/>
    <x v="20"/>
    <x v="10"/>
    <s v="4TH STREET SPARKLING RED"/>
    <n v="15"/>
    <x v="3"/>
    <n v="351000"/>
  </r>
  <r>
    <x v="0"/>
    <x v="0"/>
    <x v="0"/>
    <x v="0"/>
    <x v="0"/>
    <x v="0"/>
    <x v="14"/>
    <x v="1"/>
    <x v="13"/>
    <x v="1"/>
    <x v="20"/>
    <x v="10"/>
    <s v="4TH STREET 75CL NON ALCOHOLIC SWEET WINE"/>
    <n v="12"/>
    <x v="1"/>
    <n v="230400"/>
  </r>
  <r>
    <x v="0"/>
    <x v="0"/>
    <x v="0"/>
    <x v="0"/>
    <x v="0"/>
    <x v="0"/>
    <x v="1"/>
    <x v="3"/>
    <x v="14"/>
    <x v="0"/>
    <x v="21"/>
    <x v="11"/>
    <s v="DROSTDY HOF 6X75CL RED CLARET "/>
    <n v="30"/>
    <x v="0"/>
    <n v="900000"/>
  </r>
  <r>
    <x v="0"/>
    <x v="0"/>
    <x v="0"/>
    <x v="0"/>
    <x v="0"/>
    <x v="0"/>
    <x v="1"/>
    <x v="3"/>
    <x v="14"/>
    <x v="0"/>
    <x v="21"/>
    <x v="11"/>
    <s v="BAIN'S WHISKY 6X75CL"/>
    <n v="2"/>
    <x v="8"/>
    <n v="160000"/>
  </r>
  <r>
    <x v="0"/>
    <x v="0"/>
    <x v="0"/>
    <x v="0"/>
    <x v="0"/>
    <x v="0"/>
    <x v="1"/>
    <x v="3"/>
    <x v="14"/>
    <x v="0"/>
    <x v="21"/>
    <x v="11"/>
    <s v="CHAMDOR RED"/>
    <n v="132"/>
    <x v="4"/>
    <n v="3643200"/>
  </r>
  <r>
    <x v="0"/>
    <x v="0"/>
    <x v="0"/>
    <x v="0"/>
    <x v="0"/>
    <x v="0"/>
    <x v="1"/>
    <x v="3"/>
    <x v="14"/>
    <x v="0"/>
    <x v="21"/>
    <x v="11"/>
    <s v="CHAMDOR WHITE"/>
    <n v="34"/>
    <x v="4"/>
    <n v="938400"/>
  </r>
  <r>
    <x v="0"/>
    <x v="0"/>
    <x v="0"/>
    <x v="0"/>
    <x v="0"/>
    <x v="0"/>
    <x v="1"/>
    <x v="3"/>
    <x v="14"/>
    <x v="0"/>
    <x v="21"/>
    <x v="11"/>
    <s v="4TH STREET RED 6X75CL"/>
    <n v="190"/>
    <x v="5"/>
    <n v="4104000"/>
  </r>
  <r>
    <x v="0"/>
    <x v="0"/>
    <x v="0"/>
    <x v="0"/>
    <x v="0"/>
    <x v="0"/>
    <x v="1"/>
    <x v="3"/>
    <x v="14"/>
    <x v="0"/>
    <x v="21"/>
    <x v="11"/>
    <s v="4TH STREET WHITE 6X75CL"/>
    <n v="10"/>
    <x v="5"/>
    <n v="216000"/>
  </r>
  <r>
    <x v="0"/>
    <x v="0"/>
    <x v="0"/>
    <x v="0"/>
    <x v="0"/>
    <x v="0"/>
    <x v="1"/>
    <x v="3"/>
    <x v="14"/>
    <x v="0"/>
    <x v="21"/>
    <x v="11"/>
    <s v="4TH STREET ROSE 6X75CL"/>
    <n v="30"/>
    <x v="5"/>
    <n v="648000"/>
  </r>
  <r>
    <x v="0"/>
    <x v="0"/>
    <x v="0"/>
    <x v="0"/>
    <x v="0"/>
    <x v="0"/>
    <x v="1"/>
    <x v="3"/>
    <x v="14"/>
    <x v="0"/>
    <x v="21"/>
    <x v="11"/>
    <s v="4TH STREET 75CL NON ALCOHOLIC SWEET WINE"/>
    <n v="14"/>
    <x v="1"/>
    <n v="268800"/>
  </r>
  <r>
    <x v="0"/>
    <x v="0"/>
    <x v="0"/>
    <x v="0"/>
    <x v="0"/>
    <x v="0"/>
    <x v="1"/>
    <x v="3"/>
    <x v="14"/>
    <x v="0"/>
    <x v="21"/>
    <x v="11"/>
    <s v="NEDERBURG WINE MASTER RANGE MERLOT  6X750ML"/>
    <n v="20"/>
    <x v="6"/>
    <n v="1840000"/>
  </r>
  <r>
    <x v="0"/>
    <x v="0"/>
    <x v="0"/>
    <x v="0"/>
    <x v="0"/>
    <x v="0"/>
    <x v="1"/>
    <x v="3"/>
    <x v="14"/>
    <x v="0"/>
    <x v="22"/>
    <x v="11"/>
    <s v="DROSTDY HOF 6X75CL RED CLARET "/>
    <n v="21"/>
    <x v="0"/>
    <n v="630000"/>
  </r>
  <r>
    <x v="0"/>
    <x v="0"/>
    <x v="0"/>
    <x v="0"/>
    <x v="0"/>
    <x v="0"/>
    <x v="1"/>
    <x v="3"/>
    <x v="14"/>
    <x v="0"/>
    <x v="22"/>
    <x v="11"/>
    <s v="DROSTY HOF RED CLARET 12X375ML"/>
    <n v="30"/>
    <x v="0"/>
    <n v="1020000"/>
  </r>
  <r>
    <x v="0"/>
    <x v="0"/>
    <x v="0"/>
    <x v="0"/>
    <x v="0"/>
    <x v="0"/>
    <x v="1"/>
    <x v="3"/>
    <x v="14"/>
    <x v="0"/>
    <x v="22"/>
    <x v="11"/>
    <s v="AMARULA CREAM 6X700ML"/>
    <n v="20"/>
    <x v="2"/>
    <n v="600000"/>
  </r>
  <r>
    <x v="0"/>
    <x v="0"/>
    <x v="0"/>
    <x v="0"/>
    <x v="0"/>
    <x v="0"/>
    <x v="1"/>
    <x v="3"/>
    <x v="14"/>
    <x v="0"/>
    <x v="22"/>
    <x v="11"/>
    <s v="CHAMDOR RED"/>
    <n v="99"/>
    <x v="4"/>
    <n v="2732400"/>
  </r>
  <r>
    <x v="0"/>
    <x v="0"/>
    <x v="0"/>
    <x v="0"/>
    <x v="0"/>
    <x v="0"/>
    <x v="1"/>
    <x v="3"/>
    <x v="14"/>
    <x v="0"/>
    <x v="22"/>
    <x v="11"/>
    <s v="4TH STREET RED 6X75CL"/>
    <n v="135"/>
    <x v="5"/>
    <n v="2916000"/>
  </r>
  <r>
    <x v="0"/>
    <x v="0"/>
    <x v="0"/>
    <x v="0"/>
    <x v="0"/>
    <x v="0"/>
    <x v="1"/>
    <x v="3"/>
    <x v="14"/>
    <x v="0"/>
    <x v="22"/>
    <x v="11"/>
    <s v="4TH STREET WHITE 6X75CL"/>
    <n v="20"/>
    <x v="5"/>
    <n v="432000"/>
  </r>
  <r>
    <x v="0"/>
    <x v="0"/>
    <x v="0"/>
    <x v="0"/>
    <x v="0"/>
    <x v="0"/>
    <x v="1"/>
    <x v="3"/>
    <x v="14"/>
    <x v="0"/>
    <x v="22"/>
    <x v="11"/>
    <s v="4TH STREET ROSE 6X75CL"/>
    <n v="55"/>
    <x v="5"/>
    <n v="1188000"/>
  </r>
  <r>
    <x v="0"/>
    <x v="0"/>
    <x v="0"/>
    <x v="0"/>
    <x v="0"/>
    <x v="0"/>
    <x v="1"/>
    <x v="3"/>
    <x v="14"/>
    <x v="0"/>
    <x v="22"/>
    <x v="11"/>
    <s v="4TH STREET 75CL NON ALCOHOLIC SWEET WINE"/>
    <n v="20"/>
    <x v="1"/>
    <n v="384000"/>
  </r>
  <r>
    <x v="0"/>
    <x v="0"/>
    <x v="0"/>
    <x v="0"/>
    <x v="0"/>
    <x v="0"/>
    <x v="15"/>
    <x v="3"/>
    <x v="15"/>
    <x v="1"/>
    <x v="23"/>
    <x v="12"/>
    <s v="AMARULA CREAM 6X700ML"/>
    <n v="1"/>
    <x v="2"/>
    <n v="30000"/>
  </r>
  <r>
    <x v="0"/>
    <x v="0"/>
    <x v="0"/>
    <x v="0"/>
    <x v="0"/>
    <x v="0"/>
    <x v="15"/>
    <x v="3"/>
    <x v="15"/>
    <x v="1"/>
    <x v="23"/>
    <x v="12"/>
    <s v="CHAMDOR RED"/>
    <n v="45"/>
    <x v="4"/>
    <n v="1242000"/>
  </r>
  <r>
    <x v="0"/>
    <x v="0"/>
    <x v="0"/>
    <x v="0"/>
    <x v="0"/>
    <x v="0"/>
    <x v="15"/>
    <x v="3"/>
    <x v="15"/>
    <x v="1"/>
    <x v="23"/>
    <x v="12"/>
    <s v="4TH STREET RED 6X75CL"/>
    <n v="47"/>
    <x v="5"/>
    <n v="1015200"/>
  </r>
  <r>
    <x v="0"/>
    <x v="0"/>
    <x v="0"/>
    <x v="0"/>
    <x v="0"/>
    <x v="0"/>
    <x v="15"/>
    <x v="3"/>
    <x v="15"/>
    <x v="1"/>
    <x v="23"/>
    <x v="12"/>
    <s v="4TH STREET 75CL NON ALCOHOLIC SWEET WINE"/>
    <n v="20"/>
    <x v="1"/>
    <n v="384000"/>
  </r>
  <r>
    <x v="0"/>
    <x v="0"/>
    <x v="0"/>
    <x v="0"/>
    <x v="0"/>
    <x v="0"/>
    <x v="15"/>
    <x v="3"/>
    <x v="15"/>
    <x v="1"/>
    <x v="24"/>
    <x v="12"/>
    <s v="AMARULA CREAM 6X700ML"/>
    <n v="5"/>
    <x v="2"/>
    <n v="150000"/>
  </r>
  <r>
    <x v="0"/>
    <x v="0"/>
    <x v="0"/>
    <x v="0"/>
    <x v="0"/>
    <x v="0"/>
    <x v="15"/>
    <x v="3"/>
    <x v="15"/>
    <x v="1"/>
    <x v="24"/>
    <x v="12"/>
    <s v="BAIN'S WHISKY 6X75CL"/>
    <n v="3"/>
    <x v="8"/>
    <n v="240000"/>
  </r>
  <r>
    <x v="0"/>
    <x v="0"/>
    <x v="0"/>
    <x v="0"/>
    <x v="0"/>
    <x v="0"/>
    <x v="15"/>
    <x v="3"/>
    <x v="15"/>
    <x v="1"/>
    <x v="24"/>
    <x v="12"/>
    <s v="CHAMDOR RED"/>
    <n v="181"/>
    <x v="4"/>
    <n v="4995600"/>
  </r>
  <r>
    <x v="0"/>
    <x v="0"/>
    <x v="0"/>
    <x v="0"/>
    <x v="0"/>
    <x v="0"/>
    <x v="15"/>
    <x v="3"/>
    <x v="15"/>
    <x v="1"/>
    <x v="24"/>
    <x v="12"/>
    <s v="CHAMDOR WHITE"/>
    <n v="21"/>
    <x v="4"/>
    <n v="579600"/>
  </r>
  <r>
    <x v="0"/>
    <x v="0"/>
    <x v="0"/>
    <x v="0"/>
    <x v="0"/>
    <x v="0"/>
    <x v="15"/>
    <x v="3"/>
    <x v="15"/>
    <x v="1"/>
    <x v="24"/>
    <x v="12"/>
    <s v="4TH STREET RED 6X75CL"/>
    <n v="74"/>
    <x v="5"/>
    <n v="1598400"/>
  </r>
  <r>
    <x v="0"/>
    <x v="0"/>
    <x v="0"/>
    <x v="0"/>
    <x v="0"/>
    <x v="0"/>
    <x v="15"/>
    <x v="3"/>
    <x v="15"/>
    <x v="1"/>
    <x v="24"/>
    <x v="12"/>
    <s v="4TH STREET 75CL NON ALCOHOLIC SWEET WINE"/>
    <n v="42"/>
    <x v="1"/>
    <n v="806400"/>
  </r>
  <r>
    <x v="0"/>
    <x v="0"/>
    <x v="0"/>
    <x v="0"/>
    <x v="0"/>
    <x v="0"/>
    <x v="15"/>
    <x v="3"/>
    <x v="15"/>
    <x v="1"/>
    <x v="25"/>
    <x v="12"/>
    <s v="CHAMDOR RED"/>
    <n v="93"/>
    <x v="4"/>
    <n v="2566800"/>
  </r>
  <r>
    <x v="0"/>
    <x v="0"/>
    <x v="0"/>
    <x v="0"/>
    <x v="0"/>
    <x v="0"/>
    <x v="15"/>
    <x v="3"/>
    <x v="15"/>
    <x v="1"/>
    <x v="25"/>
    <x v="12"/>
    <s v="4TH STREET RED 6X75CL"/>
    <n v="53"/>
    <x v="5"/>
    <n v="1144800"/>
  </r>
  <r>
    <x v="0"/>
    <x v="0"/>
    <x v="0"/>
    <x v="0"/>
    <x v="0"/>
    <x v="0"/>
    <x v="16"/>
    <x v="3"/>
    <x v="16"/>
    <x v="1"/>
    <x v="26"/>
    <x v="13"/>
    <s v="HUNTERS DRY 4X(6X330ML)"/>
    <n v="71"/>
    <x v="7"/>
    <n v="1533600"/>
  </r>
  <r>
    <x v="0"/>
    <x v="0"/>
    <x v="0"/>
    <x v="0"/>
    <x v="0"/>
    <x v="0"/>
    <x v="16"/>
    <x v="3"/>
    <x v="16"/>
    <x v="1"/>
    <x v="26"/>
    <x v="13"/>
    <s v="TWO OCEAN SHIRAZ 6X75CL"/>
    <n v="8"/>
    <x v="10"/>
    <n v="240000"/>
  </r>
  <r>
    <x v="0"/>
    <x v="0"/>
    <x v="0"/>
    <x v="0"/>
    <x v="0"/>
    <x v="0"/>
    <x v="16"/>
    <x v="3"/>
    <x v="16"/>
    <x v="1"/>
    <x v="26"/>
    <x v="13"/>
    <s v="DROSTDY HOF 6X75CL RED CLARET "/>
    <n v="10"/>
    <x v="0"/>
    <n v="300000"/>
  </r>
  <r>
    <x v="0"/>
    <x v="0"/>
    <x v="0"/>
    <x v="0"/>
    <x v="0"/>
    <x v="0"/>
    <x v="16"/>
    <x v="3"/>
    <x v="16"/>
    <x v="1"/>
    <x v="26"/>
    <x v="13"/>
    <s v="DROSTY HOF RED CLARET 12X375ML"/>
    <n v="2"/>
    <x v="0"/>
    <n v="68000"/>
  </r>
  <r>
    <x v="0"/>
    <x v="0"/>
    <x v="0"/>
    <x v="0"/>
    <x v="0"/>
    <x v="0"/>
    <x v="16"/>
    <x v="3"/>
    <x v="16"/>
    <x v="1"/>
    <x v="26"/>
    <x v="13"/>
    <s v="BAIN'S WHISKY 6X75CL"/>
    <n v="3"/>
    <x v="8"/>
    <n v="240000"/>
  </r>
  <r>
    <x v="0"/>
    <x v="0"/>
    <x v="0"/>
    <x v="0"/>
    <x v="0"/>
    <x v="0"/>
    <x v="16"/>
    <x v="3"/>
    <x v="16"/>
    <x v="1"/>
    <x v="26"/>
    <x v="13"/>
    <s v="CHAMDOR RED"/>
    <n v="85"/>
    <x v="4"/>
    <n v="2346000"/>
  </r>
  <r>
    <x v="0"/>
    <x v="0"/>
    <x v="0"/>
    <x v="0"/>
    <x v="0"/>
    <x v="0"/>
    <x v="16"/>
    <x v="3"/>
    <x v="16"/>
    <x v="1"/>
    <x v="26"/>
    <x v="13"/>
    <s v="4TH STREET RED 6X75CL"/>
    <n v="150"/>
    <x v="5"/>
    <n v="3240000"/>
  </r>
  <r>
    <x v="0"/>
    <x v="0"/>
    <x v="0"/>
    <x v="0"/>
    <x v="0"/>
    <x v="0"/>
    <x v="16"/>
    <x v="3"/>
    <x v="16"/>
    <x v="1"/>
    <x v="26"/>
    <x v="13"/>
    <s v="4TH STREET 75CL NON ALCOHOLIC SWEET WINE"/>
    <n v="2"/>
    <x v="1"/>
    <n v="38400"/>
  </r>
  <r>
    <x v="0"/>
    <x v="0"/>
    <x v="0"/>
    <x v="0"/>
    <x v="0"/>
    <x v="0"/>
    <x v="15"/>
    <x v="3"/>
    <x v="17"/>
    <x v="1"/>
    <x v="27"/>
    <x v="12"/>
    <s v="HUNTERS DRY 4X(6X330ML)"/>
    <n v="20"/>
    <x v="7"/>
    <n v="432000"/>
  </r>
  <r>
    <x v="0"/>
    <x v="0"/>
    <x v="0"/>
    <x v="0"/>
    <x v="0"/>
    <x v="0"/>
    <x v="15"/>
    <x v="3"/>
    <x v="17"/>
    <x v="1"/>
    <x v="27"/>
    <x v="12"/>
    <s v="BAIN'S WHISKY 6X75CL"/>
    <n v="1"/>
    <x v="8"/>
    <n v="80000"/>
  </r>
  <r>
    <x v="0"/>
    <x v="0"/>
    <x v="0"/>
    <x v="0"/>
    <x v="0"/>
    <x v="0"/>
    <x v="15"/>
    <x v="3"/>
    <x v="17"/>
    <x v="1"/>
    <x v="27"/>
    <x v="12"/>
    <s v="CHAMDOR RED"/>
    <n v="48"/>
    <x v="4"/>
    <n v="1324800"/>
  </r>
  <r>
    <x v="0"/>
    <x v="0"/>
    <x v="0"/>
    <x v="0"/>
    <x v="0"/>
    <x v="0"/>
    <x v="15"/>
    <x v="3"/>
    <x v="17"/>
    <x v="1"/>
    <x v="27"/>
    <x v="12"/>
    <s v="4TH STREET RED 6X75CL"/>
    <n v="38"/>
    <x v="5"/>
    <n v="820800"/>
  </r>
  <r>
    <x v="0"/>
    <x v="0"/>
    <x v="0"/>
    <x v="0"/>
    <x v="0"/>
    <x v="0"/>
    <x v="15"/>
    <x v="3"/>
    <x v="17"/>
    <x v="1"/>
    <x v="27"/>
    <x v="12"/>
    <s v="4TH STREET 75CL NON ALCOHOLIC SWEET WINE"/>
    <n v="37"/>
    <x v="1"/>
    <n v="710400"/>
  </r>
  <r>
    <x v="0"/>
    <x v="0"/>
    <x v="0"/>
    <x v="1"/>
    <x v="1"/>
    <x v="1"/>
    <x v="0"/>
    <x v="0"/>
    <x v="0"/>
    <x v="0"/>
    <x v="0"/>
    <x v="0"/>
    <s v="HUNTERS DRY 4X(6X330ML)"/>
    <n v="5"/>
    <x v="7"/>
    <n v="108000"/>
  </r>
  <r>
    <x v="0"/>
    <x v="0"/>
    <x v="0"/>
    <x v="1"/>
    <x v="1"/>
    <x v="1"/>
    <x v="0"/>
    <x v="0"/>
    <x v="0"/>
    <x v="0"/>
    <x v="0"/>
    <x v="0"/>
    <s v="HUNTERS GOLD 4X(6X330ML)"/>
    <n v="5"/>
    <x v="7"/>
    <n v="108000"/>
  </r>
  <r>
    <x v="0"/>
    <x v="0"/>
    <x v="0"/>
    <x v="1"/>
    <x v="1"/>
    <x v="1"/>
    <x v="0"/>
    <x v="0"/>
    <x v="0"/>
    <x v="0"/>
    <x v="0"/>
    <x v="0"/>
    <s v="DROSTDY HOF 6X75CL RED CLARET "/>
    <n v="50"/>
    <x v="0"/>
    <n v="1500000"/>
  </r>
  <r>
    <x v="0"/>
    <x v="0"/>
    <x v="0"/>
    <x v="1"/>
    <x v="1"/>
    <x v="1"/>
    <x v="0"/>
    <x v="0"/>
    <x v="0"/>
    <x v="0"/>
    <x v="0"/>
    <x v="0"/>
    <s v="DROSTY HOF RED CLARET 12X375ML"/>
    <n v="12"/>
    <x v="0"/>
    <n v="408000"/>
  </r>
  <r>
    <x v="0"/>
    <x v="0"/>
    <x v="0"/>
    <x v="1"/>
    <x v="1"/>
    <x v="1"/>
    <x v="0"/>
    <x v="0"/>
    <x v="0"/>
    <x v="0"/>
    <x v="0"/>
    <x v="0"/>
    <s v="AMARULA CREAM 6X700ML"/>
    <n v="10"/>
    <x v="2"/>
    <n v="300000"/>
  </r>
  <r>
    <x v="0"/>
    <x v="0"/>
    <x v="0"/>
    <x v="1"/>
    <x v="1"/>
    <x v="1"/>
    <x v="0"/>
    <x v="0"/>
    <x v="0"/>
    <x v="0"/>
    <x v="0"/>
    <x v="0"/>
    <s v="CHAMDOR RED"/>
    <n v="90"/>
    <x v="4"/>
    <n v="2484000"/>
  </r>
  <r>
    <x v="0"/>
    <x v="0"/>
    <x v="0"/>
    <x v="1"/>
    <x v="1"/>
    <x v="1"/>
    <x v="0"/>
    <x v="0"/>
    <x v="0"/>
    <x v="0"/>
    <x v="0"/>
    <x v="0"/>
    <s v="4TH STREET RED 6X75CL"/>
    <n v="80"/>
    <x v="5"/>
    <n v="1728000"/>
  </r>
  <r>
    <x v="0"/>
    <x v="0"/>
    <x v="0"/>
    <x v="1"/>
    <x v="1"/>
    <x v="1"/>
    <x v="0"/>
    <x v="0"/>
    <x v="0"/>
    <x v="0"/>
    <x v="0"/>
    <x v="0"/>
    <s v="4TH STREET ROSE 6X75CL"/>
    <n v="5"/>
    <x v="5"/>
    <n v="108000"/>
  </r>
  <r>
    <x v="0"/>
    <x v="0"/>
    <x v="0"/>
    <x v="1"/>
    <x v="1"/>
    <x v="1"/>
    <x v="0"/>
    <x v="0"/>
    <x v="0"/>
    <x v="0"/>
    <x v="0"/>
    <x v="0"/>
    <s v="4TH STREET 75CL NON ALCOHOLIC SWEET WINE"/>
    <n v="15"/>
    <x v="1"/>
    <n v="288000"/>
  </r>
  <r>
    <x v="0"/>
    <x v="0"/>
    <x v="0"/>
    <x v="1"/>
    <x v="1"/>
    <x v="1"/>
    <x v="0"/>
    <x v="0"/>
    <x v="0"/>
    <x v="0"/>
    <x v="0"/>
    <x v="0"/>
    <s v="NEDERBURG WINE MASTER RANGE PINOTAGE  6X750ML"/>
    <n v="2"/>
    <x v="6"/>
    <n v="184000"/>
  </r>
  <r>
    <x v="0"/>
    <x v="0"/>
    <x v="0"/>
    <x v="1"/>
    <x v="1"/>
    <x v="1"/>
    <x v="1"/>
    <x v="0"/>
    <x v="0"/>
    <x v="0"/>
    <x v="1"/>
    <x v="1"/>
    <s v="HUNTERS DRY 4X(6X330ML)"/>
    <n v="10"/>
    <x v="7"/>
    <n v="216000"/>
  </r>
  <r>
    <x v="0"/>
    <x v="0"/>
    <x v="0"/>
    <x v="1"/>
    <x v="1"/>
    <x v="1"/>
    <x v="1"/>
    <x v="0"/>
    <x v="0"/>
    <x v="0"/>
    <x v="1"/>
    <x v="1"/>
    <s v="HUNTERS GOLD 4X(6X330ML)"/>
    <n v="10"/>
    <x v="7"/>
    <n v="216000"/>
  </r>
  <r>
    <x v="0"/>
    <x v="0"/>
    <x v="0"/>
    <x v="1"/>
    <x v="1"/>
    <x v="1"/>
    <x v="1"/>
    <x v="0"/>
    <x v="0"/>
    <x v="0"/>
    <x v="1"/>
    <x v="1"/>
    <s v="DROSTDY HOF 6X75CL RED CLARET "/>
    <n v="62"/>
    <x v="0"/>
    <n v="1860000"/>
  </r>
  <r>
    <x v="0"/>
    <x v="0"/>
    <x v="0"/>
    <x v="1"/>
    <x v="1"/>
    <x v="1"/>
    <x v="1"/>
    <x v="0"/>
    <x v="0"/>
    <x v="0"/>
    <x v="1"/>
    <x v="1"/>
    <s v="AMARULA CREAM 6X700ML"/>
    <n v="10"/>
    <x v="2"/>
    <n v="300000"/>
  </r>
  <r>
    <x v="0"/>
    <x v="0"/>
    <x v="0"/>
    <x v="1"/>
    <x v="1"/>
    <x v="1"/>
    <x v="1"/>
    <x v="0"/>
    <x v="0"/>
    <x v="0"/>
    <x v="1"/>
    <x v="1"/>
    <s v="BAIN'S WHISKY 6X75CL"/>
    <n v="10"/>
    <x v="8"/>
    <n v="800000"/>
  </r>
  <r>
    <x v="0"/>
    <x v="0"/>
    <x v="0"/>
    <x v="1"/>
    <x v="1"/>
    <x v="1"/>
    <x v="1"/>
    <x v="0"/>
    <x v="0"/>
    <x v="0"/>
    <x v="1"/>
    <x v="1"/>
    <s v="CHAMDOR RED"/>
    <n v="204"/>
    <x v="4"/>
    <n v="5630400"/>
  </r>
  <r>
    <x v="0"/>
    <x v="0"/>
    <x v="0"/>
    <x v="1"/>
    <x v="1"/>
    <x v="1"/>
    <x v="1"/>
    <x v="0"/>
    <x v="0"/>
    <x v="0"/>
    <x v="1"/>
    <x v="1"/>
    <s v="4TH STREET RED 6X75CL"/>
    <n v="153"/>
    <x v="5"/>
    <n v="3304800"/>
  </r>
  <r>
    <x v="0"/>
    <x v="0"/>
    <x v="0"/>
    <x v="1"/>
    <x v="1"/>
    <x v="1"/>
    <x v="1"/>
    <x v="0"/>
    <x v="0"/>
    <x v="0"/>
    <x v="1"/>
    <x v="1"/>
    <s v="4TH STREET 75CL NON ALCOHOLIC SWEET WINE"/>
    <n v="25"/>
    <x v="1"/>
    <n v="480000"/>
  </r>
  <r>
    <x v="0"/>
    <x v="0"/>
    <x v="0"/>
    <x v="1"/>
    <x v="1"/>
    <x v="1"/>
    <x v="1"/>
    <x v="0"/>
    <x v="0"/>
    <x v="0"/>
    <x v="1"/>
    <x v="1"/>
    <s v="NEDERBURG WINE MASTER RANGE MERLOT  6X750ML"/>
    <n v="20"/>
    <x v="6"/>
    <n v="1840000"/>
  </r>
  <r>
    <x v="0"/>
    <x v="0"/>
    <x v="0"/>
    <x v="1"/>
    <x v="1"/>
    <x v="1"/>
    <x v="3"/>
    <x v="0"/>
    <x v="0"/>
    <x v="1"/>
    <x v="9"/>
    <x v="1"/>
    <s v="CHAMDOR RED"/>
    <n v="105"/>
    <x v="4"/>
    <n v="2898000"/>
  </r>
  <r>
    <x v="0"/>
    <x v="0"/>
    <x v="0"/>
    <x v="1"/>
    <x v="1"/>
    <x v="1"/>
    <x v="3"/>
    <x v="0"/>
    <x v="0"/>
    <x v="1"/>
    <x v="9"/>
    <x v="1"/>
    <s v="CHAMDOR WHITE"/>
    <n v="20"/>
    <x v="4"/>
    <n v="552000"/>
  </r>
  <r>
    <x v="0"/>
    <x v="0"/>
    <x v="0"/>
    <x v="1"/>
    <x v="1"/>
    <x v="1"/>
    <x v="3"/>
    <x v="0"/>
    <x v="0"/>
    <x v="1"/>
    <x v="9"/>
    <x v="1"/>
    <s v="4TH STREET RED 6X75CL"/>
    <n v="95"/>
    <x v="5"/>
    <n v="2052000"/>
  </r>
  <r>
    <x v="0"/>
    <x v="0"/>
    <x v="0"/>
    <x v="1"/>
    <x v="1"/>
    <x v="1"/>
    <x v="3"/>
    <x v="0"/>
    <x v="0"/>
    <x v="1"/>
    <x v="9"/>
    <x v="1"/>
    <s v="4TH STREET 75CL NON ALCOHOLIC SWEET WINE"/>
    <n v="18"/>
    <x v="1"/>
    <n v="345600"/>
  </r>
  <r>
    <x v="0"/>
    <x v="0"/>
    <x v="0"/>
    <x v="1"/>
    <x v="1"/>
    <x v="1"/>
    <x v="2"/>
    <x v="0"/>
    <x v="0"/>
    <x v="1"/>
    <x v="2"/>
    <x v="0"/>
    <s v="DROSTDY HOF 6X75CL RED CLARET "/>
    <n v="6"/>
    <x v="0"/>
    <n v="180000"/>
  </r>
  <r>
    <x v="0"/>
    <x v="0"/>
    <x v="0"/>
    <x v="1"/>
    <x v="1"/>
    <x v="1"/>
    <x v="2"/>
    <x v="0"/>
    <x v="0"/>
    <x v="1"/>
    <x v="2"/>
    <x v="0"/>
    <s v="CHAMDOR RED"/>
    <n v="163"/>
    <x v="4"/>
    <n v="4498800"/>
  </r>
  <r>
    <x v="0"/>
    <x v="0"/>
    <x v="0"/>
    <x v="1"/>
    <x v="1"/>
    <x v="1"/>
    <x v="2"/>
    <x v="0"/>
    <x v="0"/>
    <x v="1"/>
    <x v="2"/>
    <x v="0"/>
    <s v="4TH STREET RED 6X75CL"/>
    <n v="120"/>
    <x v="5"/>
    <n v="2592000"/>
  </r>
  <r>
    <x v="0"/>
    <x v="0"/>
    <x v="0"/>
    <x v="1"/>
    <x v="1"/>
    <x v="1"/>
    <x v="2"/>
    <x v="0"/>
    <x v="0"/>
    <x v="1"/>
    <x v="2"/>
    <x v="0"/>
    <s v="4TH STREET WHITE 6X75CL"/>
    <n v="2"/>
    <x v="5"/>
    <n v="43200"/>
  </r>
  <r>
    <x v="0"/>
    <x v="0"/>
    <x v="0"/>
    <x v="1"/>
    <x v="1"/>
    <x v="1"/>
    <x v="2"/>
    <x v="0"/>
    <x v="0"/>
    <x v="1"/>
    <x v="2"/>
    <x v="0"/>
    <s v="4TH STREET ROSE 6X75CL"/>
    <n v="2"/>
    <x v="5"/>
    <n v="43200"/>
  </r>
  <r>
    <x v="0"/>
    <x v="0"/>
    <x v="0"/>
    <x v="1"/>
    <x v="1"/>
    <x v="1"/>
    <x v="2"/>
    <x v="0"/>
    <x v="0"/>
    <x v="1"/>
    <x v="2"/>
    <x v="0"/>
    <s v="4TH STREET 75CL NON ALCOHOLIC SWEET WINE"/>
    <n v="9"/>
    <x v="1"/>
    <n v="172800"/>
  </r>
  <r>
    <x v="0"/>
    <x v="0"/>
    <x v="0"/>
    <x v="1"/>
    <x v="1"/>
    <x v="1"/>
    <x v="2"/>
    <x v="0"/>
    <x v="0"/>
    <x v="1"/>
    <x v="2"/>
    <x v="0"/>
    <s v="NEDERBURG WINE MASTER RANGE SHIRAZ  6X750ML"/>
    <n v="2"/>
    <x v="6"/>
    <n v="184000"/>
  </r>
  <r>
    <x v="0"/>
    <x v="0"/>
    <x v="0"/>
    <x v="1"/>
    <x v="1"/>
    <x v="1"/>
    <x v="2"/>
    <x v="0"/>
    <x v="0"/>
    <x v="1"/>
    <x v="2"/>
    <x v="0"/>
    <s v="NEDERBURG WINE MASTER RANGE CABERNET SAUVIGNON (BIG)  6X750ML"/>
    <n v="2"/>
    <x v="6"/>
    <n v="184000"/>
  </r>
  <r>
    <x v="0"/>
    <x v="0"/>
    <x v="0"/>
    <x v="1"/>
    <x v="1"/>
    <x v="1"/>
    <x v="2"/>
    <x v="0"/>
    <x v="5"/>
    <x v="1"/>
    <x v="10"/>
    <x v="5"/>
    <s v="HUNTERS DRY 4X(6X330ML)"/>
    <n v="10"/>
    <x v="7"/>
    <n v="216000"/>
  </r>
  <r>
    <x v="0"/>
    <x v="0"/>
    <x v="0"/>
    <x v="1"/>
    <x v="1"/>
    <x v="1"/>
    <x v="2"/>
    <x v="0"/>
    <x v="5"/>
    <x v="1"/>
    <x v="10"/>
    <x v="5"/>
    <s v="CHAMDOR RED"/>
    <n v="130"/>
    <x v="4"/>
    <n v="3588000"/>
  </r>
  <r>
    <x v="0"/>
    <x v="0"/>
    <x v="0"/>
    <x v="1"/>
    <x v="1"/>
    <x v="1"/>
    <x v="2"/>
    <x v="0"/>
    <x v="5"/>
    <x v="1"/>
    <x v="10"/>
    <x v="5"/>
    <s v="4TH STREET RED 6X75CL"/>
    <n v="80"/>
    <x v="5"/>
    <n v="1728000"/>
  </r>
  <r>
    <x v="0"/>
    <x v="0"/>
    <x v="0"/>
    <x v="1"/>
    <x v="1"/>
    <x v="1"/>
    <x v="8"/>
    <x v="0"/>
    <x v="4"/>
    <x v="1"/>
    <x v="8"/>
    <x v="5"/>
    <s v="DROSTDY HOF 6X75CL RED CLARET "/>
    <n v="1"/>
    <x v="0"/>
    <n v="30000"/>
  </r>
  <r>
    <x v="0"/>
    <x v="0"/>
    <x v="0"/>
    <x v="1"/>
    <x v="1"/>
    <x v="1"/>
    <x v="8"/>
    <x v="0"/>
    <x v="4"/>
    <x v="1"/>
    <x v="8"/>
    <x v="5"/>
    <s v="AMARULA CREAM 6X700ML"/>
    <n v="2"/>
    <x v="2"/>
    <n v="60000"/>
  </r>
  <r>
    <x v="0"/>
    <x v="0"/>
    <x v="0"/>
    <x v="1"/>
    <x v="1"/>
    <x v="1"/>
    <x v="8"/>
    <x v="0"/>
    <x v="4"/>
    <x v="1"/>
    <x v="8"/>
    <x v="5"/>
    <s v="CHAMDOR RED"/>
    <n v="49"/>
    <x v="4"/>
    <n v="1352400"/>
  </r>
  <r>
    <x v="0"/>
    <x v="0"/>
    <x v="0"/>
    <x v="1"/>
    <x v="1"/>
    <x v="1"/>
    <x v="8"/>
    <x v="0"/>
    <x v="4"/>
    <x v="1"/>
    <x v="8"/>
    <x v="5"/>
    <s v="4TH STREET RED 6X75CL"/>
    <n v="45"/>
    <x v="5"/>
    <n v="972000"/>
  </r>
  <r>
    <x v="0"/>
    <x v="0"/>
    <x v="0"/>
    <x v="1"/>
    <x v="1"/>
    <x v="1"/>
    <x v="8"/>
    <x v="0"/>
    <x v="4"/>
    <x v="1"/>
    <x v="8"/>
    <x v="5"/>
    <s v="4TH STREET 75CL NON ALCOHOLIC SWEET WINE"/>
    <n v="36"/>
    <x v="1"/>
    <n v="691200"/>
  </r>
  <r>
    <x v="0"/>
    <x v="0"/>
    <x v="0"/>
    <x v="1"/>
    <x v="1"/>
    <x v="1"/>
    <x v="3"/>
    <x v="0"/>
    <x v="0"/>
    <x v="1"/>
    <x v="3"/>
    <x v="1"/>
    <s v="HUNTERS DRY 4X(6X330ML)"/>
    <n v="5"/>
    <x v="7"/>
    <n v="108000"/>
  </r>
  <r>
    <x v="0"/>
    <x v="0"/>
    <x v="0"/>
    <x v="1"/>
    <x v="1"/>
    <x v="1"/>
    <x v="3"/>
    <x v="0"/>
    <x v="0"/>
    <x v="1"/>
    <x v="3"/>
    <x v="1"/>
    <s v="HUNTERS GOLD 4X(6X330ML)"/>
    <n v="5"/>
    <x v="7"/>
    <n v="108000"/>
  </r>
  <r>
    <x v="0"/>
    <x v="0"/>
    <x v="0"/>
    <x v="1"/>
    <x v="1"/>
    <x v="1"/>
    <x v="3"/>
    <x v="0"/>
    <x v="0"/>
    <x v="1"/>
    <x v="3"/>
    <x v="1"/>
    <s v="DROSTDY HOF 6X75CL RED CLARET "/>
    <n v="10"/>
    <x v="0"/>
    <n v="300000"/>
  </r>
  <r>
    <x v="0"/>
    <x v="0"/>
    <x v="0"/>
    <x v="1"/>
    <x v="1"/>
    <x v="1"/>
    <x v="3"/>
    <x v="0"/>
    <x v="0"/>
    <x v="1"/>
    <x v="3"/>
    <x v="1"/>
    <s v="AMARULA CREAM 6X700ML"/>
    <n v="4"/>
    <x v="2"/>
    <n v="120000"/>
  </r>
  <r>
    <x v="0"/>
    <x v="0"/>
    <x v="0"/>
    <x v="1"/>
    <x v="1"/>
    <x v="1"/>
    <x v="3"/>
    <x v="0"/>
    <x v="0"/>
    <x v="1"/>
    <x v="3"/>
    <x v="1"/>
    <s v="BAIN'S WHISKY 6X75CL"/>
    <n v="2"/>
    <x v="8"/>
    <n v="160000"/>
  </r>
  <r>
    <x v="0"/>
    <x v="0"/>
    <x v="0"/>
    <x v="1"/>
    <x v="1"/>
    <x v="1"/>
    <x v="3"/>
    <x v="0"/>
    <x v="0"/>
    <x v="1"/>
    <x v="3"/>
    <x v="1"/>
    <s v="CHAMDOR RED"/>
    <n v="90"/>
    <x v="4"/>
    <n v="2484000"/>
  </r>
  <r>
    <x v="0"/>
    <x v="0"/>
    <x v="0"/>
    <x v="1"/>
    <x v="1"/>
    <x v="1"/>
    <x v="3"/>
    <x v="0"/>
    <x v="0"/>
    <x v="1"/>
    <x v="3"/>
    <x v="1"/>
    <s v="CHAMDOR WHITE"/>
    <n v="20"/>
    <x v="4"/>
    <n v="552000"/>
  </r>
  <r>
    <x v="0"/>
    <x v="0"/>
    <x v="0"/>
    <x v="1"/>
    <x v="1"/>
    <x v="1"/>
    <x v="3"/>
    <x v="0"/>
    <x v="0"/>
    <x v="1"/>
    <x v="3"/>
    <x v="1"/>
    <s v="4TH STREET RED 6X75CL"/>
    <n v="110"/>
    <x v="5"/>
    <n v="2376000"/>
  </r>
  <r>
    <x v="0"/>
    <x v="0"/>
    <x v="0"/>
    <x v="1"/>
    <x v="1"/>
    <x v="1"/>
    <x v="3"/>
    <x v="0"/>
    <x v="0"/>
    <x v="1"/>
    <x v="3"/>
    <x v="1"/>
    <s v="4TH STREET ROSE 6X75CL"/>
    <n v="20"/>
    <x v="5"/>
    <n v="432000"/>
  </r>
  <r>
    <x v="0"/>
    <x v="0"/>
    <x v="0"/>
    <x v="1"/>
    <x v="1"/>
    <x v="1"/>
    <x v="3"/>
    <x v="0"/>
    <x v="0"/>
    <x v="1"/>
    <x v="3"/>
    <x v="1"/>
    <s v="NEDERBURG WINE MASTER RANGE PINOTAGE  6X750ML"/>
    <n v="2"/>
    <x v="6"/>
    <n v="184000"/>
  </r>
  <r>
    <x v="0"/>
    <x v="0"/>
    <x v="0"/>
    <x v="1"/>
    <x v="1"/>
    <x v="1"/>
    <x v="3"/>
    <x v="0"/>
    <x v="0"/>
    <x v="1"/>
    <x v="3"/>
    <x v="1"/>
    <s v="NEDERBURG WINE MASTER RANGE CABERNET SAUVIGNON (BIG)  6X750ML"/>
    <n v="2"/>
    <x v="6"/>
    <n v="184000"/>
  </r>
  <r>
    <x v="0"/>
    <x v="0"/>
    <x v="0"/>
    <x v="1"/>
    <x v="1"/>
    <x v="1"/>
    <x v="4"/>
    <x v="1"/>
    <x v="1"/>
    <x v="0"/>
    <x v="4"/>
    <x v="2"/>
    <s v="HUNTERS DRY 4X(6X330ML)"/>
    <n v="18"/>
    <x v="7"/>
    <n v="388800"/>
  </r>
  <r>
    <x v="0"/>
    <x v="0"/>
    <x v="0"/>
    <x v="1"/>
    <x v="1"/>
    <x v="1"/>
    <x v="4"/>
    <x v="1"/>
    <x v="1"/>
    <x v="0"/>
    <x v="4"/>
    <x v="2"/>
    <s v="DROSTDY HOF 6X75CL RED CLARET "/>
    <n v="34"/>
    <x v="0"/>
    <n v="1020000"/>
  </r>
  <r>
    <x v="0"/>
    <x v="0"/>
    <x v="0"/>
    <x v="1"/>
    <x v="1"/>
    <x v="1"/>
    <x v="4"/>
    <x v="1"/>
    <x v="1"/>
    <x v="0"/>
    <x v="4"/>
    <x v="2"/>
    <s v="DROSTY HOF RED CLARET 12X375ML"/>
    <n v="8"/>
    <x v="0"/>
    <n v="272000"/>
  </r>
  <r>
    <x v="0"/>
    <x v="0"/>
    <x v="0"/>
    <x v="1"/>
    <x v="1"/>
    <x v="1"/>
    <x v="4"/>
    <x v="1"/>
    <x v="1"/>
    <x v="0"/>
    <x v="4"/>
    <x v="2"/>
    <s v="AMARULA CREAM 6X700ML"/>
    <n v="25"/>
    <x v="2"/>
    <n v="750000"/>
  </r>
  <r>
    <x v="0"/>
    <x v="0"/>
    <x v="0"/>
    <x v="1"/>
    <x v="1"/>
    <x v="1"/>
    <x v="4"/>
    <x v="1"/>
    <x v="1"/>
    <x v="0"/>
    <x v="4"/>
    <x v="2"/>
    <s v="CHAMDOR RED"/>
    <n v="541"/>
    <x v="4"/>
    <n v="14931600"/>
  </r>
  <r>
    <x v="0"/>
    <x v="0"/>
    <x v="0"/>
    <x v="1"/>
    <x v="1"/>
    <x v="1"/>
    <x v="4"/>
    <x v="1"/>
    <x v="1"/>
    <x v="0"/>
    <x v="4"/>
    <x v="2"/>
    <s v="CHAMDOR WHITE"/>
    <n v="42"/>
    <x v="4"/>
    <n v="1159200"/>
  </r>
  <r>
    <x v="0"/>
    <x v="0"/>
    <x v="0"/>
    <x v="1"/>
    <x v="1"/>
    <x v="1"/>
    <x v="4"/>
    <x v="1"/>
    <x v="1"/>
    <x v="0"/>
    <x v="4"/>
    <x v="2"/>
    <s v="4TH STREET RED 6X75CL"/>
    <n v="170"/>
    <x v="5"/>
    <n v="3672000"/>
  </r>
  <r>
    <x v="0"/>
    <x v="0"/>
    <x v="0"/>
    <x v="1"/>
    <x v="1"/>
    <x v="1"/>
    <x v="4"/>
    <x v="1"/>
    <x v="1"/>
    <x v="0"/>
    <x v="4"/>
    <x v="2"/>
    <s v="4TH STREET WHITE 6X75CL"/>
    <n v="21"/>
    <x v="5"/>
    <n v="453600"/>
  </r>
  <r>
    <x v="0"/>
    <x v="0"/>
    <x v="0"/>
    <x v="1"/>
    <x v="1"/>
    <x v="1"/>
    <x v="4"/>
    <x v="1"/>
    <x v="1"/>
    <x v="0"/>
    <x v="4"/>
    <x v="2"/>
    <s v="4TH STREET ROSE 6X75CL"/>
    <n v="49"/>
    <x v="5"/>
    <n v="1058400"/>
  </r>
  <r>
    <x v="0"/>
    <x v="0"/>
    <x v="0"/>
    <x v="1"/>
    <x v="1"/>
    <x v="1"/>
    <x v="4"/>
    <x v="1"/>
    <x v="1"/>
    <x v="0"/>
    <x v="4"/>
    <x v="2"/>
    <s v="4TH STREET SPARKLING RED"/>
    <n v="4"/>
    <x v="3"/>
    <n v="93600"/>
  </r>
  <r>
    <x v="0"/>
    <x v="0"/>
    <x v="0"/>
    <x v="1"/>
    <x v="1"/>
    <x v="1"/>
    <x v="4"/>
    <x v="1"/>
    <x v="1"/>
    <x v="0"/>
    <x v="4"/>
    <x v="2"/>
    <s v="4TH STREET 75CL NON ALCOHOLIC SWEET WINE"/>
    <n v="61"/>
    <x v="1"/>
    <n v="1171200"/>
  </r>
  <r>
    <x v="0"/>
    <x v="0"/>
    <x v="0"/>
    <x v="1"/>
    <x v="1"/>
    <x v="1"/>
    <x v="5"/>
    <x v="1"/>
    <x v="2"/>
    <x v="0"/>
    <x v="5"/>
    <x v="3"/>
    <s v="HUNTERS DRY 4X(6X330ML)"/>
    <n v="5"/>
    <x v="7"/>
    <n v="108000"/>
  </r>
  <r>
    <x v="0"/>
    <x v="0"/>
    <x v="0"/>
    <x v="1"/>
    <x v="1"/>
    <x v="1"/>
    <x v="5"/>
    <x v="1"/>
    <x v="2"/>
    <x v="0"/>
    <x v="5"/>
    <x v="3"/>
    <s v="CHAMDOR RED"/>
    <n v="120"/>
    <x v="4"/>
    <n v="3312000"/>
  </r>
  <r>
    <x v="0"/>
    <x v="0"/>
    <x v="0"/>
    <x v="1"/>
    <x v="1"/>
    <x v="1"/>
    <x v="5"/>
    <x v="1"/>
    <x v="2"/>
    <x v="0"/>
    <x v="5"/>
    <x v="3"/>
    <s v="CHAMDOR WHITE"/>
    <n v="2"/>
    <x v="4"/>
    <n v="55200"/>
  </r>
  <r>
    <x v="0"/>
    <x v="0"/>
    <x v="0"/>
    <x v="1"/>
    <x v="1"/>
    <x v="1"/>
    <x v="5"/>
    <x v="1"/>
    <x v="2"/>
    <x v="0"/>
    <x v="5"/>
    <x v="3"/>
    <s v="4TH STREET RED 6X75CL"/>
    <n v="20"/>
    <x v="5"/>
    <n v="432000"/>
  </r>
  <r>
    <x v="0"/>
    <x v="0"/>
    <x v="0"/>
    <x v="1"/>
    <x v="1"/>
    <x v="1"/>
    <x v="5"/>
    <x v="1"/>
    <x v="2"/>
    <x v="0"/>
    <x v="5"/>
    <x v="3"/>
    <s v="4TH STREET 75CL NON ALCOHOLIC SWEET WINE"/>
    <n v="60"/>
    <x v="1"/>
    <n v="1152000"/>
  </r>
  <r>
    <x v="0"/>
    <x v="0"/>
    <x v="0"/>
    <x v="1"/>
    <x v="1"/>
    <x v="1"/>
    <x v="6"/>
    <x v="1"/>
    <x v="3"/>
    <x v="0"/>
    <x v="6"/>
    <x v="4"/>
    <s v="HUNTERS DRY 4X(6X330ML)"/>
    <n v="9"/>
    <x v="7"/>
    <n v="194400"/>
  </r>
  <r>
    <x v="0"/>
    <x v="0"/>
    <x v="0"/>
    <x v="1"/>
    <x v="1"/>
    <x v="1"/>
    <x v="6"/>
    <x v="1"/>
    <x v="3"/>
    <x v="0"/>
    <x v="6"/>
    <x v="4"/>
    <s v="TWO OCEAN CAB/SAUV 6X75CL"/>
    <n v="25"/>
    <x v="10"/>
    <n v="750000"/>
  </r>
  <r>
    <x v="0"/>
    <x v="0"/>
    <x v="0"/>
    <x v="1"/>
    <x v="1"/>
    <x v="1"/>
    <x v="6"/>
    <x v="1"/>
    <x v="3"/>
    <x v="0"/>
    <x v="6"/>
    <x v="4"/>
    <s v="DROSTDY HOF 6X75CL RED CLARET "/>
    <n v="62"/>
    <x v="0"/>
    <n v="1860000"/>
  </r>
  <r>
    <x v="0"/>
    <x v="0"/>
    <x v="0"/>
    <x v="1"/>
    <x v="1"/>
    <x v="1"/>
    <x v="6"/>
    <x v="1"/>
    <x v="3"/>
    <x v="0"/>
    <x v="6"/>
    <x v="4"/>
    <s v="DROSTY HOF RED CLARET 12X375ML"/>
    <n v="55"/>
    <x v="0"/>
    <n v="1870000"/>
  </r>
  <r>
    <x v="0"/>
    <x v="0"/>
    <x v="0"/>
    <x v="1"/>
    <x v="1"/>
    <x v="1"/>
    <x v="6"/>
    <x v="1"/>
    <x v="3"/>
    <x v="0"/>
    <x v="6"/>
    <x v="4"/>
    <s v="AMARULA CREAM 12X375ML"/>
    <n v="10"/>
    <x v="2"/>
    <n v="434450"/>
  </r>
  <r>
    <x v="0"/>
    <x v="0"/>
    <x v="0"/>
    <x v="1"/>
    <x v="1"/>
    <x v="1"/>
    <x v="6"/>
    <x v="1"/>
    <x v="3"/>
    <x v="0"/>
    <x v="6"/>
    <x v="4"/>
    <s v="AMARULA CREAM 6X700ML"/>
    <n v="11"/>
    <x v="2"/>
    <n v="330000"/>
  </r>
  <r>
    <x v="0"/>
    <x v="0"/>
    <x v="0"/>
    <x v="1"/>
    <x v="1"/>
    <x v="1"/>
    <x v="6"/>
    <x v="1"/>
    <x v="3"/>
    <x v="0"/>
    <x v="6"/>
    <x v="4"/>
    <s v="BAIN'S WHISKY 6X75CL"/>
    <n v="3"/>
    <x v="8"/>
    <n v="240000"/>
  </r>
  <r>
    <x v="0"/>
    <x v="0"/>
    <x v="0"/>
    <x v="1"/>
    <x v="1"/>
    <x v="1"/>
    <x v="6"/>
    <x v="1"/>
    <x v="3"/>
    <x v="0"/>
    <x v="6"/>
    <x v="4"/>
    <s v="KNIGHT WHISKY 6X75CL"/>
    <n v="10"/>
    <x v="9"/>
    <n v="500000"/>
  </r>
  <r>
    <x v="0"/>
    <x v="0"/>
    <x v="0"/>
    <x v="1"/>
    <x v="1"/>
    <x v="1"/>
    <x v="6"/>
    <x v="1"/>
    <x v="3"/>
    <x v="0"/>
    <x v="6"/>
    <x v="4"/>
    <s v="SCOTTISH LEADER 6X75CL"/>
    <n v="5"/>
    <x v="11"/>
    <n v="300000"/>
  </r>
  <r>
    <x v="0"/>
    <x v="0"/>
    <x v="0"/>
    <x v="1"/>
    <x v="1"/>
    <x v="1"/>
    <x v="6"/>
    <x v="1"/>
    <x v="3"/>
    <x v="0"/>
    <x v="6"/>
    <x v="4"/>
    <s v="CHAMDOR RED"/>
    <n v="366"/>
    <x v="4"/>
    <n v="10101600"/>
  </r>
  <r>
    <x v="0"/>
    <x v="0"/>
    <x v="0"/>
    <x v="1"/>
    <x v="1"/>
    <x v="1"/>
    <x v="6"/>
    <x v="1"/>
    <x v="3"/>
    <x v="0"/>
    <x v="6"/>
    <x v="4"/>
    <s v="4TH STREET RED 6X75CL"/>
    <n v="89"/>
    <x v="5"/>
    <n v="1922400"/>
  </r>
  <r>
    <x v="0"/>
    <x v="0"/>
    <x v="0"/>
    <x v="1"/>
    <x v="1"/>
    <x v="1"/>
    <x v="6"/>
    <x v="1"/>
    <x v="3"/>
    <x v="0"/>
    <x v="6"/>
    <x v="4"/>
    <s v="4TH STREET 75CL NON ALCOHOLIC SWEET WINE"/>
    <n v="154"/>
    <x v="1"/>
    <n v="2956800"/>
  </r>
  <r>
    <x v="0"/>
    <x v="0"/>
    <x v="0"/>
    <x v="1"/>
    <x v="1"/>
    <x v="1"/>
    <x v="6"/>
    <x v="1"/>
    <x v="3"/>
    <x v="0"/>
    <x v="6"/>
    <x v="4"/>
    <s v="4TH STREET RED 12X37.5CL"/>
    <n v="36"/>
    <x v="5"/>
    <n v="777600"/>
  </r>
  <r>
    <x v="0"/>
    <x v="0"/>
    <x v="0"/>
    <x v="1"/>
    <x v="1"/>
    <x v="1"/>
    <x v="6"/>
    <x v="1"/>
    <x v="3"/>
    <x v="0"/>
    <x v="6"/>
    <x v="4"/>
    <s v="NEDERBURG WINE MASTER RANGE MERLOT  6X750ML"/>
    <n v="8"/>
    <x v="6"/>
    <n v="736000"/>
  </r>
  <r>
    <x v="0"/>
    <x v="0"/>
    <x v="0"/>
    <x v="1"/>
    <x v="1"/>
    <x v="1"/>
    <x v="7"/>
    <x v="1"/>
    <x v="3"/>
    <x v="0"/>
    <x v="7"/>
    <x v="4"/>
    <s v="HUNTERS DRY 4X(6X330ML)"/>
    <n v="29"/>
    <x v="7"/>
    <n v="626400"/>
  </r>
  <r>
    <x v="0"/>
    <x v="0"/>
    <x v="0"/>
    <x v="1"/>
    <x v="1"/>
    <x v="1"/>
    <x v="7"/>
    <x v="1"/>
    <x v="3"/>
    <x v="0"/>
    <x v="7"/>
    <x v="4"/>
    <s v="TWO OCEAN CAB/SAUV 6X75CL"/>
    <n v="22"/>
    <x v="10"/>
    <n v="660000"/>
  </r>
  <r>
    <x v="0"/>
    <x v="0"/>
    <x v="0"/>
    <x v="1"/>
    <x v="1"/>
    <x v="1"/>
    <x v="7"/>
    <x v="1"/>
    <x v="3"/>
    <x v="0"/>
    <x v="7"/>
    <x v="4"/>
    <s v="DROSTDY HOF 6X75CL RED CLARET "/>
    <n v="28"/>
    <x v="0"/>
    <n v="840000"/>
  </r>
  <r>
    <x v="0"/>
    <x v="0"/>
    <x v="0"/>
    <x v="1"/>
    <x v="1"/>
    <x v="1"/>
    <x v="7"/>
    <x v="1"/>
    <x v="3"/>
    <x v="0"/>
    <x v="7"/>
    <x v="4"/>
    <s v="DROSTY HOF RED CLARET 12X375ML"/>
    <n v="25"/>
    <x v="0"/>
    <n v="850000"/>
  </r>
  <r>
    <x v="0"/>
    <x v="0"/>
    <x v="0"/>
    <x v="1"/>
    <x v="1"/>
    <x v="1"/>
    <x v="7"/>
    <x v="1"/>
    <x v="3"/>
    <x v="0"/>
    <x v="7"/>
    <x v="4"/>
    <s v="AMARULA CREAM 12X375ML"/>
    <n v="17"/>
    <x v="2"/>
    <n v="738565"/>
  </r>
  <r>
    <x v="0"/>
    <x v="0"/>
    <x v="0"/>
    <x v="1"/>
    <x v="1"/>
    <x v="1"/>
    <x v="7"/>
    <x v="1"/>
    <x v="3"/>
    <x v="0"/>
    <x v="7"/>
    <x v="4"/>
    <s v="AMARULA CREAM 6X700ML"/>
    <n v="23"/>
    <x v="2"/>
    <n v="690000"/>
  </r>
  <r>
    <x v="0"/>
    <x v="0"/>
    <x v="0"/>
    <x v="1"/>
    <x v="1"/>
    <x v="1"/>
    <x v="7"/>
    <x v="1"/>
    <x v="3"/>
    <x v="0"/>
    <x v="7"/>
    <x v="4"/>
    <s v="BAIN'S WHISKY 6X75CL"/>
    <n v="5"/>
    <x v="8"/>
    <n v="400000"/>
  </r>
  <r>
    <x v="0"/>
    <x v="0"/>
    <x v="0"/>
    <x v="1"/>
    <x v="1"/>
    <x v="1"/>
    <x v="7"/>
    <x v="1"/>
    <x v="3"/>
    <x v="0"/>
    <x v="7"/>
    <x v="4"/>
    <s v="KNIGHT WHISKY 6X75CL"/>
    <n v="1"/>
    <x v="9"/>
    <n v="50000"/>
  </r>
  <r>
    <x v="0"/>
    <x v="0"/>
    <x v="0"/>
    <x v="1"/>
    <x v="1"/>
    <x v="1"/>
    <x v="7"/>
    <x v="1"/>
    <x v="3"/>
    <x v="0"/>
    <x v="7"/>
    <x v="4"/>
    <s v="SCOTTISH LEADER 6X75CL"/>
    <n v="2"/>
    <x v="11"/>
    <n v="120000"/>
  </r>
  <r>
    <x v="0"/>
    <x v="0"/>
    <x v="0"/>
    <x v="1"/>
    <x v="1"/>
    <x v="1"/>
    <x v="7"/>
    <x v="1"/>
    <x v="3"/>
    <x v="0"/>
    <x v="7"/>
    <x v="4"/>
    <s v="CHAMDOR RED"/>
    <n v="430"/>
    <x v="4"/>
    <n v="11868000"/>
  </r>
  <r>
    <x v="0"/>
    <x v="0"/>
    <x v="0"/>
    <x v="1"/>
    <x v="1"/>
    <x v="1"/>
    <x v="7"/>
    <x v="1"/>
    <x v="3"/>
    <x v="0"/>
    <x v="7"/>
    <x v="4"/>
    <s v="4TH STREET RED 6X75CL"/>
    <n v="70"/>
    <x v="5"/>
    <n v="1512000"/>
  </r>
  <r>
    <x v="0"/>
    <x v="0"/>
    <x v="0"/>
    <x v="1"/>
    <x v="1"/>
    <x v="1"/>
    <x v="7"/>
    <x v="1"/>
    <x v="3"/>
    <x v="0"/>
    <x v="7"/>
    <x v="4"/>
    <s v="4TH STREET 75CL NON ALCOHOLIC SWEET WINE"/>
    <n v="80"/>
    <x v="1"/>
    <n v="1536000"/>
  </r>
  <r>
    <x v="0"/>
    <x v="0"/>
    <x v="0"/>
    <x v="1"/>
    <x v="1"/>
    <x v="1"/>
    <x v="7"/>
    <x v="1"/>
    <x v="3"/>
    <x v="0"/>
    <x v="7"/>
    <x v="4"/>
    <s v="4TH STREET RED 12X37.5CL"/>
    <n v="32"/>
    <x v="5"/>
    <n v="691200"/>
  </r>
  <r>
    <x v="0"/>
    <x v="0"/>
    <x v="0"/>
    <x v="1"/>
    <x v="1"/>
    <x v="1"/>
    <x v="7"/>
    <x v="1"/>
    <x v="3"/>
    <x v="0"/>
    <x v="7"/>
    <x v="4"/>
    <s v="NEDERBURG WINE MASTER RANGE MERLOT  6X750ML"/>
    <n v="12"/>
    <x v="6"/>
    <n v="1104000"/>
  </r>
  <r>
    <x v="0"/>
    <x v="0"/>
    <x v="0"/>
    <x v="1"/>
    <x v="1"/>
    <x v="1"/>
    <x v="10"/>
    <x v="1"/>
    <x v="8"/>
    <x v="1"/>
    <x v="13"/>
    <x v="7"/>
    <s v="HUNTERS GOLD 4X(6X330ML)"/>
    <n v="4"/>
    <x v="7"/>
    <n v="86400"/>
  </r>
  <r>
    <x v="0"/>
    <x v="0"/>
    <x v="0"/>
    <x v="1"/>
    <x v="1"/>
    <x v="1"/>
    <x v="10"/>
    <x v="1"/>
    <x v="8"/>
    <x v="1"/>
    <x v="13"/>
    <x v="7"/>
    <s v="DROSTDY HOF 6X75CL RED CLARET "/>
    <n v="8"/>
    <x v="0"/>
    <n v="240000"/>
  </r>
  <r>
    <x v="0"/>
    <x v="0"/>
    <x v="0"/>
    <x v="1"/>
    <x v="1"/>
    <x v="1"/>
    <x v="10"/>
    <x v="1"/>
    <x v="8"/>
    <x v="1"/>
    <x v="13"/>
    <x v="7"/>
    <s v="DROSTY HOF RED CLARET 12X375ML"/>
    <n v="2"/>
    <x v="0"/>
    <n v="68000"/>
  </r>
  <r>
    <x v="0"/>
    <x v="0"/>
    <x v="0"/>
    <x v="1"/>
    <x v="1"/>
    <x v="1"/>
    <x v="10"/>
    <x v="1"/>
    <x v="8"/>
    <x v="1"/>
    <x v="13"/>
    <x v="7"/>
    <s v="CHAMDOR RED"/>
    <n v="68"/>
    <x v="4"/>
    <n v="1876800"/>
  </r>
  <r>
    <x v="0"/>
    <x v="0"/>
    <x v="0"/>
    <x v="1"/>
    <x v="1"/>
    <x v="1"/>
    <x v="10"/>
    <x v="1"/>
    <x v="8"/>
    <x v="1"/>
    <x v="13"/>
    <x v="7"/>
    <s v="CHAMDOR WHITE"/>
    <n v="14"/>
    <x v="4"/>
    <n v="386400"/>
  </r>
  <r>
    <x v="0"/>
    <x v="0"/>
    <x v="0"/>
    <x v="1"/>
    <x v="1"/>
    <x v="1"/>
    <x v="10"/>
    <x v="1"/>
    <x v="8"/>
    <x v="1"/>
    <x v="13"/>
    <x v="7"/>
    <s v="4TH STREET RED 6X75CL"/>
    <n v="67"/>
    <x v="5"/>
    <n v="1447200"/>
  </r>
  <r>
    <x v="0"/>
    <x v="0"/>
    <x v="0"/>
    <x v="1"/>
    <x v="1"/>
    <x v="1"/>
    <x v="10"/>
    <x v="1"/>
    <x v="8"/>
    <x v="1"/>
    <x v="13"/>
    <x v="7"/>
    <s v="4TH STREET 75CL NON ALCOHOLIC SWEET WINE"/>
    <n v="12"/>
    <x v="1"/>
    <n v="230400"/>
  </r>
  <r>
    <x v="0"/>
    <x v="0"/>
    <x v="0"/>
    <x v="1"/>
    <x v="1"/>
    <x v="1"/>
    <x v="10"/>
    <x v="1"/>
    <x v="9"/>
    <x v="1"/>
    <x v="14"/>
    <x v="7"/>
    <s v="DROSTDY HOF 6X75CL RED CLARET "/>
    <n v="2"/>
    <x v="0"/>
    <n v="60000"/>
  </r>
  <r>
    <x v="0"/>
    <x v="0"/>
    <x v="0"/>
    <x v="1"/>
    <x v="1"/>
    <x v="1"/>
    <x v="10"/>
    <x v="1"/>
    <x v="9"/>
    <x v="1"/>
    <x v="14"/>
    <x v="7"/>
    <s v="CHAMDOR RED"/>
    <n v="37"/>
    <x v="4"/>
    <n v="1021200"/>
  </r>
  <r>
    <x v="0"/>
    <x v="0"/>
    <x v="0"/>
    <x v="1"/>
    <x v="1"/>
    <x v="1"/>
    <x v="10"/>
    <x v="1"/>
    <x v="9"/>
    <x v="1"/>
    <x v="14"/>
    <x v="7"/>
    <s v="CHAMDOR WHITE"/>
    <n v="5"/>
    <x v="4"/>
    <n v="138000"/>
  </r>
  <r>
    <x v="0"/>
    <x v="0"/>
    <x v="0"/>
    <x v="1"/>
    <x v="1"/>
    <x v="1"/>
    <x v="10"/>
    <x v="1"/>
    <x v="9"/>
    <x v="1"/>
    <x v="14"/>
    <x v="7"/>
    <s v="4TH STREET RED 6X75CL"/>
    <n v="22"/>
    <x v="5"/>
    <n v="475200"/>
  </r>
  <r>
    <x v="0"/>
    <x v="0"/>
    <x v="0"/>
    <x v="1"/>
    <x v="1"/>
    <x v="1"/>
    <x v="10"/>
    <x v="1"/>
    <x v="9"/>
    <x v="1"/>
    <x v="14"/>
    <x v="7"/>
    <s v="4TH STREET 75CL NON ALCOHOLIC SWEET WINE"/>
    <n v="5"/>
    <x v="1"/>
    <n v="96000"/>
  </r>
  <r>
    <x v="0"/>
    <x v="0"/>
    <x v="0"/>
    <x v="1"/>
    <x v="1"/>
    <x v="1"/>
    <x v="11"/>
    <x v="1"/>
    <x v="10"/>
    <x v="1"/>
    <x v="15"/>
    <x v="2"/>
    <s v="HUNTERS DRY 4X(6X330ML)"/>
    <n v="7"/>
    <x v="7"/>
    <n v="151200"/>
  </r>
  <r>
    <x v="0"/>
    <x v="0"/>
    <x v="0"/>
    <x v="1"/>
    <x v="1"/>
    <x v="1"/>
    <x v="11"/>
    <x v="1"/>
    <x v="10"/>
    <x v="1"/>
    <x v="15"/>
    <x v="2"/>
    <s v="DROSTDY HOF 6X75CL RED CLARET "/>
    <n v="9"/>
    <x v="0"/>
    <n v="270000"/>
  </r>
  <r>
    <x v="0"/>
    <x v="0"/>
    <x v="0"/>
    <x v="1"/>
    <x v="1"/>
    <x v="1"/>
    <x v="11"/>
    <x v="1"/>
    <x v="10"/>
    <x v="1"/>
    <x v="15"/>
    <x v="2"/>
    <s v="DROSTY HOF RED CLARET 12X375ML"/>
    <n v="5"/>
    <x v="0"/>
    <n v="170000"/>
  </r>
  <r>
    <x v="0"/>
    <x v="0"/>
    <x v="0"/>
    <x v="1"/>
    <x v="1"/>
    <x v="1"/>
    <x v="11"/>
    <x v="1"/>
    <x v="10"/>
    <x v="1"/>
    <x v="15"/>
    <x v="2"/>
    <s v="AMARULA CREAM 6X700ML"/>
    <n v="9"/>
    <x v="2"/>
    <n v="270000"/>
  </r>
  <r>
    <x v="0"/>
    <x v="0"/>
    <x v="0"/>
    <x v="1"/>
    <x v="1"/>
    <x v="1"/>
    <x v="11"/>
    <x v="1"/>
    <x v="10"/>
    <x v="1"/>
    <x v="15"/>
    <x v="2"/>
    <s v="CHAMDOR RED"/>
    <n v="363"/>
    <x v="4"/>
    <n v="10018800"/>
  </r>
  <r>
    <x v="0"/>
    <x v="0"/>
    <x v="0"/>
    <x v="1"/>
    <x v="1"/>
    <x v="1"/>
    <x v="11"/>
    <x v="1"/>
    <x v="10"/>
    <x v="1"/>
    <x v="15"/>
    <x v="2"/>
    <s v="CHAMDOR WHITE"/>
    <n v="18"/>
    <x v="4"/>
    <n v="496800"/>
  </r>
  <r>
    <x v="0"/>
    <x v="0"/>
    <x v="0"/>
    <x v="1"/>
    <x v="1"/>
    <x v="1"/>
    <x v="11"/>
    <x v="1"/>
    <x v="10"/>
    <x v="1"/>
    <x v="15"/>
    <x v="2"/>
    <s v="4TH STREET RED 6X75CL"/>
    <n v="38"/>
    <x v="5"/>
    <n v="820800"/>
  </r>
  <r>
    <x v="0"/>
    <x v="0"/>
    <x v="0"/>
    <x v="1"/>
    <x v="1"/>
    <x v="1"/>
    <x v="11"/>
    <x v="1"/>
    <x v="10"/>
    <x v="1"/>
    <x v="15"/>
    <x v="2"/>
    <s v="4TH STREET WHITE 6X75CL"/>
    <n v="7"/>
    <x v="5"/>
    <n v="151200"/>
  </r>
  <r>
    <x v="0"/>
    <x v="0"/>
    <x v="0"/>
    <x v="1"/>
    <x v="1"/>
    <x v="1"/>
    <x v="11"/>
    <x v="1"/>
    <x v="10"/>
    <x v="1"/>
    <x v="15"/>
    <x v="2"/>
    <s v="4TH STREET ROSE 6X75CL"/>
    <n v="15"/>
    <x v="5"/>
    <n v="324000"/>
  </r>
  <r>
    <x v="0"/>
    <x v="0"/>
    <x v="0"/>
    <x v="1"/>
    <x v="1"/>
    <x v="1"/>
    <x v="11"/>
    <x v="1"/>
    <x v="10"/>
    <x v="1"/>
    <x v="15"/>
    <x v="2"/>
    <s v="4TH STREET SPARKLING RED"/>
    <n v="1"/>
    <x v="3"/>
    <n v="23400"/>
  </r>
  <r>
    <x v="0"/>
    <x v="0"/>
    <x v="0"/>
    <x v="1"/>
    <x v="1"/>
    <x v="1"/>
    <x v="11"/>
    <x v="1"/>
    <x v="10"/>
    <x v="1"/>
    <x v="15"/>
    <x v="2"/>
    <s v="4TH STREET 75CL NON ALCOHOLIC SWEET WINE"/>
    <n v="21"/>
    <x v="1"/>
    <n v="403200"/>
  </r>
  <r>
    <x v="0"/>
    <x v="0"/>
    <x v="0"/>
    <x v="1"/>
    <x v="1"/>
    <x v="1"/>
    <x v="11"/>
    <x v="1"/>
    <x v="10"/>
    <x v="1"/>
    <x v="15"/>
    <x v="2"/>
    <s v="NEDERBURG WINE MASTER RANGE BARONNE  6X750ML"/>
    <n v="1"/>
    <x v="6"/>
    <n v="90000"/>
  </r>
  <r>
    <x v="0"/>
    <x v="0"/>
    <x v="0"/>
    <x v="1"/>
    <x v="1"/>
    <x v="1"/>
    <x v="12"/>
    <x v="1"/>
    <x v="11"/>
    <x v="1"/>
    <x v="16"/>
    <x v="8"/>
    <s v="HUNTERS DRY 4X(6X330ML)"/>
    <n v="5"/>
    <x v="7"/>
    <n v="108000"/>
  </r>
  <r>
    <x v="0"/>
    <x v="0"/>
    <x v="0"/>
    <x v="1"/>
    <x v="1"/>
    <x v="1"/>
    <x v="12"/>
    <x v="1"/>
    <x v="11"/>
    <x v="1"/>
    <x v="16"/>
    <x v="8"/>
    <s v="TWO OCEAN SHIRAZ 6X75CL"/>
    <n v="3"/>
    <x v="10"/>
    <n v="90000"/>
  </r>
  <r>
    <x v="0"/>
    <x v="0"/>
    <x v="0"/>
    <x v="1"/>
    <x v="1"/>
    <x v="1"/>
    <x v="12"/>
    <x v="1"/>
    <x v="11"/>
    <x v="1"/>
    <x v="16"/>
    <x v="8"/>
    <s v="DROSTDY HOF 6X75CL RED CLARET "/>
    <n v="8"/>
    <x v="0"/>
    <n v="240000"/>
  </r>
  <r>
    <x v="0"/>
    <x v="0"/>
    <x v="0"/>
    <x v="1"/>
    <x v="1"/>
    <x v="1"/>
    <x v="12"/>
    <x v="1"/>
    <x v="11"/>
    <x v="1"/>
    <x v="16"/>
    <x v="8"/>
    <s v="DROSTY HOF RED CLARET 12X375ML"/>
    <n v="3"/>
    <x v="0"/>
    <n v="102000"/>
  </r>
  <r>
    <x v="0"/>
    <x v="0"/>
    <x v="0"/>
    <x v="1"/>
    <x v="1"/>
    <x v="1"/>
    <x v="12"/>
    <x v="1"/>
    <x v="11"/>
    <x v="1"/>
    <x v="16"/>
    <x v="8"/>
    <s v="AMARULA CREAM 6X700ML"/>
    <n v="20"/>
    <x v="2"/>
    <n v="600000"/>
  </r>
  <r>
    <x v="0"/>
    <x v="0"/>
    <x v="0"/>
    <x v="1"/>
    <x v="1"/>
    <x v="1"/>
    <x v="12"/>
    <x v="1"/>
    <x v="11"/>
    <x v="1"/>
    <x v="16"/>
    <x v="8"/>
    <s v="BAIN'S WHISKY 6X75CL"/>
    <n v="3"/>
    <x v="8"/>
    <n v="240000"/>
  </r>
  <r>
    <x v="0"/>
    <x v="0"/>
    <x v="0"/>
    <x v="1"/>
    <x v="1"/>
    <x v="1"/>
    <x v="12"/>
    <x v="1"/>
    <x v="11"/>
    <x v="1"/>
    <x v="16"/>
    <x v="8"/>
    <s v="CHAMDOR RED"/>
    <n v="120"/>
    <x v="4"/>
    <n v="3312000"/>
  </r>
  <r>
    <x v="0"/>
    <x v="0"/>
    <x v="0"/>
    <x v="1"/>
    <x v="1"/>
    <x v="1"/>
    <x v="12"/>
    <x v="1"/>
    <x v="11"/>
    <x v="1"/>
    <x v="16"/>
    <x v="8"/>
    <s v="CHAMDOR WHITE"/>
    <n v="30"/>
    <x v="4"/>
    <n v="828000"/>
  </r>
  <r>
    <x v="0"/>
    <x v="0"/>
    <x v="0"/>
    <x v="1"/>
    <x v="1"/>
    <x v="1"/>
    <x v="12"/>
    <x v="1"/>
    <x v="11"/>
    <x v="1"/>
    <x v="16"/>
    <x v="8"/>
    <s v="4TH STREET RED 6X75CL"/>
    <n v="18"/>
    <x v="5"/>
    <n v="388800"/>
  </r>
  <r>
    <x v="0"/>
    <x v="0"/>
    <x v="0"/>
    <x v="1"/>
    <x v="1"/>
    <x v="1"/>
    <x v="12"/>
    <x v="1"/>
    <x v="11"/>
    <x v="1"/>
    <x v="16"/>
    <x v="8"/>
    <s v="4TH STREET WHITE 6X75CL"/>
    <n v="10"/>
    <x v="5"/>
    <n v="216000"/>
  </r>
  <r>
    <x v="0"/>
    <x v="0"/>
    <x v="0"/>
    <x v="1"/>
    <x v="1"/>
    <x v="1"/>
    <x v="12"/>
    <x v="1"/>
    <x v="11"/>
    <x v="1"/>
    <x v="16"/>
    <x v="8"/>
    <s v="4TH STREET ROSE 6X75CL"/>
    <n v="9"/>
    <x v="5"/>
    <n v="194400"/>
  </r>
  <r>
    <x v="0"/>
    <x v="0"/>
    <x v="0"/>
    <x v="1"/>
    <x v="1"/>
    <x v="1"/>
    <x v="12"/>
    <x v="1"/>
    <x v="11"/>
    <x v="1"/>
    <x v="16"/>
    <x v="8"/>
    <s v="NEDERBURG WINE MASTER RANGE MERLOT  6X750ML"/>
    <n v="2"/>
    <x v="6"/>
    <n v="184000"/>
  </r>
  <r>
    <x v="0"/>
    <x v="0"/>
    <x v="0"/>
    <x v="1"/>
    <x v="1"/>
    <x v="1"/>
    <x v="12"/>
    <x v="1"/>
    <x v="11"/>
    <x v="1"/>
    <x v="16"/>
    <x v="8"/>
    <s v="NEDERBURG WINE MASTER RANGE PINOTAGE  6X750ML"/>
    <n v="1"/>
    <x v="6"/>
    <n v="92000"/>
  </r>
  <r>
    <x v="0"/>
    <x v="0"/>
    <x v="0"/>
    <x v="1"/>
    <x v="1"/>
    <x v="1"/>
    <x v="12"/>
    <x v="1"/>
    <x v="11"/>
    <x v="1"/>
    <x v="16"/>
    <x v="8"/>
    <s v="NEDERBURG WINE MASTER RANGE BARONNE  6X750ML"/>
    <n v="2"/>
    <x v="6"/>
    <n v="180000"/>
  </r>
  <r>
    <x v="0"/>
    <x v="0"/>
    <x v="0"/>
    <x v="1"/>
    <x v="1"/>
    <x v="1"/>
    <x v="12"/>
    <x v="1"/>
    <x v="11"/>
    <x v="1"/>
    <x v="16"/>
    <x v="8"/>
    <s v="NEDERBURG WINE MASTER RANGE CABERNET SAUVIGNON (BIG)  6X750ML"/>
    <n v="2"/>
    <x v="6"/>
    <n v="184000"/>
  </r>
  <r>
    <x v="0"/>
    <x v="0"/>
    <x v="0"/>
    <x v="1"/>
    <x v="1"/>
    <x v="1"/>
    <x v="13"/>
    <x v="1"/>
    <x v="12"/>
    <x v="0"/>
    <x v="17"/>
    <x v="9"/>
    <s v="HUNTERS DRY 4X(6X330ML)"/>
    <n v="8"/>
    <x v="7"/>
    <n v="172800"/>
  </r>
  <r>
    <x v="0"/>
    <x v="0"/>
    <x v="0"/>
    <x v="1"/>
    <x v="1"/>
    <x v="1"/>
    <x v="13"/>
    <x v="1"/>
    <x v="12"/>
    <x v="0"/>
    <x v="17"/>
    <x v="9"/>
    <s v="TWO OCEAN CAB/SAUV 6X75CL"/>
    <n v="4"/>
    <x v="10"/>
    <n v="120000"/>
  </r>
  <r>
    <x v="0"/>
    <x v="0"/>
    <x v="0"/>
    <x v="1"/>
    <x v="1"/>
    <x v="1"/>
    <x v="13"/>
    <x v="1"/>
    <x v="12"/>
    <x v="0"/>
    <x v="17"/>
    <x v="9"/>
    <s v="TWO OCEAN SHIRAZ 6X75CL"/>
    <n v="3"/>
    <x v="10"/>
    <n v="90000"/>
  </r>
  <r>
    <x v="0"/>
    <x v="0"/>
    <x v="0"/>
    <x v="1"/>
    <x v="1"/>
    <x v="1"/>
    <x v="13"/>
    <x v="1"/>
    <x v="12"/>
    <x v="0"/>
    <x v="17"/>
    <x v="9"/>
    <s v="DROSTDY HOF 6X75CL RED CLARET "/>
    <n v="21"/>
    <x v="0"/>
    <n v="630000"/>
  </r>
  <r>
    <x v="0"/>
    <x v="0"/>
    <x v="0"/>
    <x v="1"/>
    <x v="1"/>
    <x v="1"/>
    <x v="13"/>
    <x v="1"/>
    <x v="12"/>
    <x v="0"/>
    <x v="17"/>
    <x v="9"/>
    <s v="DROSTY HOF RED CLARET 12X375ML"/>
    <n v="1"/>
    <x v="0"/>
    <n v="34000"/>
  </r>
  <r>
    <x v="0"/>
    <x v="0"/>
    <x v="0"/>
    <x v="1"/>
    <x v="1"/>
    <x v="1"/>
    <x v="13"/>
    <x v="1"/>
    <x v="12"/>
    <x v="0"/>
    <x v="17"/>
    <x v="9"/>
    <s v="AMARULA CREAM 6X700ML"/>
    <n v="4"/>
    <x v="2"/>
    <n v="120000"/>
  </r>
  <r>
    <x v="0"/>
    <x v="0"/>
    <x v="0"/>
    <x v="1"/>
    <x v="1"/>
    <x v="1"/>
    <x v="13"/>
    <x v="1"/>
    <x v="12"/>
    <x v="0"/>
    <x v="17"/>
    <x v="9"/>
    <s v="BAIN'S WHISKY 6X75CL"/>
    <n v="4"/>
    <x v="8"/>
    <n v="320000"/>
  </r>
  <r>
    <x v="0"/>
    <x v="0"/>
    <x v="0"/>
    <x v="1"/>
    <x v="1"/>
    <x v="1"/>
    <x v="13"/>
    <x v="1"/>
    <x v="12"/>
    <x v="0"/>
    <x v="17"/>
    <x v="9"/>
    <s v="CHAMDOR RED"/>
    <n v="83"/>
    <x v="4"/>
    <n v="2290800"/>
  </r>
  <r>
    <x v="0"/>
    <x v="0"/>
    <x v="0"/>
    <x v="1"/>
    <x v="1"/>
    <x v="1"/>
    <x v="13"/>
    <x v="1"/>
    <x v="12"/>
    <x v="0"/>
    <x v="17"/>
    <x v="9"/>
    <s v="CHAMDOR WHITE"/>
    <n v="5"/>
    <x v="4"/>
    <n v="138000"/>
  </r>
  <r>
    <x v="0"/>
    <x v="0"/>
    <x v="0"/>
    <x v="1"/>
    <x v="1"/>
    <x v="1"/>
    <x v="13"/>
    <x v="1"/>
    <x v="12"/>
    <x v="0"/>
    <x v="17"/>
    <x v="9"/>
    <s v="4TH STREET RED 6X75CL"/>
    <n v="57"/>
    <x v="5"/>
    <n v="1231200"/>
  </r>
  <r>
    <x v="0"/>
    <x v="0"/>
    <x v="0"/>
    <x v="1"/>
    <x v="1"/>
    <x v="1"/>
    <x v="13"/>
    <x v="1"/>
    <x v="12"/>
    <x v="0"/>
    <x v="17"/>
    <x v="9"/>
    <s v="4TH STREET WHITE 6X75CL"/>
    <n v="12"/>
    <x v="5"/>
    <n v="259200"/>
  </r>
  <r>
    <x v="0"/>
    <x v="0"/>
    <x v="0"/>
    <x v="1"/>
    <x v="1"/>
    <x v="1"/>
    <x v="13"/>
    <x v="1"/>
    <x v="12"/>
    <x v="0"/>
    <x v="17"/>
    <x v="9"/>
    <s v="4TH STREET ROSE 6X75CL"/>
    <n v="15"/>
    <x v="5"/>
    <n v="324000"/>
  </r>
  <r>
    <x v="0"/>
    <x v="0"/>
    <x v="0"/>
    <x v="1"/>
    <x v="1"/>
    <x v="1"/>
    <x v="13"/>
    <x v="1"/>
    <x v="12"/>
    <x v="0"/>
    <x v="17"/>
    <x v="9"/>
    <s v="4TH STREET 75CL NON ALCOHOLIC SWEET WINE"/>
    <n v="68"/>
    <x v="1"/>
    <n v="1305600"/>
  </r>
  <r>
    <x v="0"/>
    <x v="0"/>
    <x v="0"/>
    <x v="1"/>
    <x v="1"/>
    <x v="1"/>
    <x v="13"/>
    <x v="1"/>
    <x v="12"/>
    <x v="0"/>
    <x v="17"/>
    <x v="9"/>
    <s v="NEDERBURG WINE MASTER RANGE CURVEE BRUT  6X750ML"/>
    <n v="1"/>
    <x v="6"/>
    <n v="81000"/>
  </r>
  <r>
    <x v="0"/>
    <x v="0"/>
    <x v="0"/>
    <x v="1"/>
    <x v="1"/>
    <x v="1"/>
    <x v="13"/>
    <x v="1"/>
    <x v="12"/>
    <x v="1"/>
    <x v="18"/>
    <x v="9"/>
    <s v="HUNTERS DRY 4X(6X330ML)"/>
    <n v="1"/>
    <x v="7"/>
    <n v="21600"/>
  </r>
  <r>
    <x v="0"/>
    <x v="0"/>
    <x v="0"/>
    <x v="1"/>
    <x v="1"/>
    <x v="1"/>
    <x v="13"/>
    <x v="1"/>
    <x v="12"/>
    <x v="1"/>
    <x v="18"/>
    <x v="9"/>
    <s v="DROSTDY HOF 6X75CL RED CLARET "/>
    <n v="5"/>
    <x v="0"/>
    <n v="150000"/>
  </r>
  <r>
    <x v="0"/>
    <x v="0"/>
    <x v="0"/>
    <x v="1"/>
    <x v="1"/>
    <x v="1"/>
    <x v="13"/>
    <x v="1"/>
    <x v="12"/>
    <x v="1"/>
    <x v="18"/>
    <x v="9"/>
    <s v="CHAMDOR RED"/>
    <n v="75"/>
    <x v="4"/>
    <n v="2070000"/>
  </r>
  <r>
    <x v="0"/>
    <x v="0"/>
    <x v="0"/>
    <x v="1"/>
    <x v="1"/>
    <x v="1"/>
    <x v="13"/>
    <x v="1"/>
    <x v="12"/>
    <x v="1"/>
    <x v="18"/>
    <x v="9"/>
    <s v="CHAMDOR WHITE"/>
    <n v="10"/>
    <x v="4"/>
    <n v="276000"/>
  </r>
  <r>
    <x v="0"/>
    <x v="0"/>
    <x v="0"/>
    <x v="1"/>
    <x v="1"/>
    <x v="1"/>
    <x v="13"/>
    <x v="1"/>
    <x v="12"/>
    <x v="1"/>
    <x v="18"/>
    <x v="9"/>
    <s v="4TH STREET RED 6X75CL"/>
    <n v="37"/>
    <x v="5"/>
    <n v="799200"/>
  </r>
  <r>
    <x v="0"/>
    <x v="0"/>
    <x v="0"/>
    <x v="1"/>
    <x v="1"/>
    <x v="1"/>
    <x v="13"/>
    <x v="1"/>
    <x v="12"/>
    <x v="1"/>
    <x v="18"/>
    <x v="9"/>
    <s v="4TH STREET WHITE 6X75CL"/>
    <n v="4"/>
    <x v="5"/>
    <n v="86400"/>
  </r>
  <r>
    <x v="0"/>
    <x v="0"/>
    <x v="0"/>
    <x v="1"/>
    <x v="1"/>
    <x v="1"/>
    <x v="13"/>
    <x v="1"/>
    <x v="12"/>
    <x v="1"/>
    <x v="18"/>
    <x v="9"/>
    <s v="4TH STREET ROSE 6X75CL"/>
    <n v="2"/>
    <x v="5"/>
    <n v="43200"/>
  </r>
  <r>
    <x v="0"/>
    <x v="0"/>
    <x v="0"/>
    <x v="1"/>
    <x v="1"/>
    <x v="1"/>
    <x v="13"/>
    <x v="1"/>
    <x v="12"/>
    <x v="1"/>
    <x v="18"/>
    <x v="9"/>
    <s v="4TH STREET 75CL NON ALCOHOLIC SWEET WINE"/>
    <n v="15"/>
    <x v="1"/>
    <n v="288000"/>
  </r>
  <r>
    <x v="0"/>
    <x v="0"/>
    <x v="0"/>
    <x v="1"/>
    <x v="1"/>
    <x v="1"/>
    <x v="13"/>
    <x v="1"/>
    <x v="12"/>
    <x v="1"/>
    <x v="18"/>
    <x v="9"/>
    <s v="NEDERBURG WINE MASTER RANGE PINOTAGE  6X750ML"/>
    <n v="9"/>
    <x v="6"/>
    <n v="828000"/>
  </r>
  <r>
    <x v="0"/>
    <x v="0"/>
    <x v="0"/>
    <x v="1"/>
    <x v="1"/>
    <x v="1"/>
    <x v="13"/>
    <x v="1"/>
    <x v="12"/>
    <x v="1"/>
    <x v="18"/>
    <x v="9"/>
    <s v="NEDERBURG WINE MASTER RANGE CABERNET SAUVIGNON (SMALL)  24X250ML"/>
    <n v="2"/>
    <x v="6"/>
    <n v="141000"/>
  </r>
  <r>
    <x v="0"/>
    <x v="0"/>
    <x v="0"/>
    <x v="1"/>
    <x v="1"/>
    <x v="1"/>
    <x v="13"/>
    <x v="1"/>
    <x v="12"/>
    <x v="1"/>
    <x v="18"/>
    <x v="9"/>
    <s v="NEDERBURG WINE MASTER RANGE CABERNET SAUVIGNON (BIG)  6X750ML"/>
    <n v="10"/>
    <x v="6"/>
    <n v="920000"/>
  </r>
  <r>
    <x v="0"/>
    <x v="0"/>
    <x v="0"/>
    <x v="1"/>
    <x v="1"/>
    <x v="1"/>
    <x v="14"/>
    <x v="1"/>
    <x v="13"/>
    <x v="0"/>
    <x v="19"/>
    <x v="10"/>
    <s v="DROSTDY HOF 6X75CL RED CLARET "/>
    <n v="36"/>
    <x v="0"/>
    <n v="1080000"/>
  </r>
  <r>
    <x v="0"/>
    <x v="0"/>
    <x v="0"/>
    <x v="1"/>
    <x v="1"/>
    <x v="1"/>
    <x v="14"/>
    <x v="1"/>
    <x v="13"/>
    <x v="0"/>
    <x v="19"/>
    <x v="10"/>
    <s v="CHAMDOR RED"/>
    <n v="364"/>
    <x v="4"/>
    <n v="10046400"/>
  </r>
  <r>
    <x v="0"/>
    <x v="0"/>
    <x v="0"/>
    <x v="1"/>
    <x v="1"/>
    <x v="1"/>
    <x v="14"/>
    <x v="1"/>
    <x v="13"/>
    <x v="0"/>
    <x v="19"/>
    <x v="10"/>
    <s v="CHAMDOR WHITE"/>
    <n v="10"/>
    <x v="4"/>
    <n v="276000"/>
  </r>
  <r>
    <x v="0"/>
    <x v="0"/>
    <x v="0"/>
    <x v="1"/>
    <x v="1"/>
    <x v="1"/>
    <x v="14"/>
    <x v="1"/>
    <x v="13"/>
    <x v="0"/>
    <x v="19"/>
    <x v="10"/>
    <s v="4TH STREET RED 6X75CL"/>
    <n v="74"/>
    <x v="5"/>
    <n v="1598400"/>
  </r>
  <r>
    <x v="0"/>
    <x v="0"/>
    <x v="0"/>
    <x v="1"/>
    <x v="1"/>
    <x v="1"/>
    <x v="14"/>
    <x v="1"/>
    <x v="13"/>
    <x v="0"/>
    <x v="19"/>
    <x v="10"/>
    <s v="4TH STREET SPARKLING RED"/>
    <n v="25"/>
    <x v="3"/>
    <n v="585000"/>
  </r>
  <r>
    <x v="0"/>
    <x v="0"/>
    <x v="0"/>
    <x v="1"/>
    <x v="1"/>
    <x v="1"/>
    <x v="14"/>
    <x v="1"/>
    <x v="13"/>
    <x v="0"/>
    <x v="19"/>
    <x v="10"/>
    <s v="4TH STREET 75CL NON ALCOHOLIC SWEET WINE"/>
    <n v="59"/>
    <x v="1"/>
    <n v="1132800"/>
  </r>
  <r>
    <x v="0"/>
    <x v="0"/>
    <x v="0"/>
    <x v="1"/>
    <x v="1"/>
    <x v="1"/>
    <x v="14"/>
    <x v="1"/>
    <x v="13"/>
    <x v="1"/>
    <x v="20"/>
    <x v="10"/>
    <s v="CHAMDOR RED"/>
    <n v="144"/>
    <x v="4"/>
    <n v="3974400"/>
  </r>
  <r>
    <x v="0"/>
    <x v="0"/>
    <x v="0"/>
    <x v="1"/>
    <x v="1"/>
    <x v="1"/>
    <x v="14"/>
    <x v="1"/>
    <x v="13"/>
    <x v="1"/>
    <x v="20"/>
    <x v="10"/>
    <s v="4TH STREET RED 6X75CL"/>
    <n v="73"/>
    <x v="5"/>
    <n v="1576800"/>
  </r>
  <r>
    <x v="0"/>
    <x v="0"/>
    <x v="0"/>
    <x v="1"/>
    <x v="1"/>
    <x v="1"/>
    <x v="16"/>
    <x v="3"/>
    <x v="16"/>
    <x v="1"/>
    <x v="28"/>
    <x v="13"/>
    <s v="HUNTERS DRY 4X(6X330ML)"/>
    <n v="80"/>
    <x v="7"/>
    <n v="1728000"/>
  </r>
  <r>
    <x v="0"/>
    <x v="0"/>
    <x v="0"/>
    <x v="1"/>
    <x v="1"/>
    <x v="1"/>
    <x v="16"/>
    <x v="3"/>
    <x v="16"/>
    <x v="1"/>
    <x v="28"/>
    <x v="13"/>
    <s v="TWO OCEAN SHIRAZ 6X75CL"/>
    <n v="16"/>
    <x v="10"/>
    <n v="480000"/>
  </r>
  <r>
    <x v="0"/>
    <x v="0"/>
    <x v="0"/>
    <x v="1"/>
    <x v="1"/>
    <x v="1"/>
    <x v="16"/>
    <x v="3"/>
    <x v="16"/>
    <x v="1"/>
    <x v="28"/>
    <x v="13"/>
    <s v="BAIN'S WHISKY 6X75CL"/>
    <n v="1"/>
    <x v="8"/>
    <n v="80000"/>
  </r>
  <r>
    <x v="0"/>
    <x v="0"/>
    <x v="0"/>
    <x v="1"/>
    <x v="1"/>
    <x v="1"/>
    <x v="16"/>
    <x v="3"/>
    <x v="16"/>
    <x v="1"/>
    <x v="28"/>
    <x v="13"/>
    <s v="CHAMDOR RED"/>
    <n v="120"/>
    <x v="4"/>
    <n v="3312000"/>
  </r>
  <r>
    <x v="0"/>
    <x v="0"/>
    <x v="0"/>
    <x v="1"/>
    <x v="1"/>
    <x v="1"/>
    <x v="16"/>
    <x v="3"/>
    <x v="16"/>
    <x v="1"/>
    <x v="28"/>
    <x v="13"/>
    <s v="4TH STREET RED 6X75CL"/>
    <n v="167"/>
    <x v="5"/>
    <n v="3607200"/>
  </r>
  <r>
    <x v="0"/>
    <x v="0"/>
    <x v="0"/>
    <x v="1"/>
    <x v="1"/>
    <x v="1"/>
    <x v="16"/>
    <x v="3"/>
    <x v="16"/>
    <x v="1"/>
    <x v="28"/>
    <x v="13"/>
    <s v="4TH STREET SPARKLING RED"/>
    <n v="30"/>
    <x v="3"/>
    <n v="702000"/>
  </r>
  <r>
    <x v="0"/>
    <x v="0"/>
    <x v="0"/>
    <x v="1"/>
    <x v="1"/>
    <x v="1"/>
    <x v="16"/>
    <x v="3"/>
    <x v="16"/>
    <x v="1"/>
    <x v="28"/>
    <x v="13"/>
    <s v="4TH STREET 75CL NON ALCOHOLIC SWEET WINE"/>
    <n v="45"/>
    <x v="1"/>
    <n v="864000"/>
  </r>
  <r>
    <x v="0"/>
    <x v="0"/>
    <x v="0"/>
    <x v="1"/>
    <x v="1"/>
    <x v="1"/>
    <x v="16"/>
    <x v="3"/>
    <x v="16"/>
    <x v="1"/>
    <x v="28"/>
    <x v="13"/>
    <s v="NEDERBURG WINE MASTER RANGE MERLOT  6X750ML"/>
    <n v="2"/>
    <x v="6"/>
    <n v="184000"/>
  </r>
  <r>
    <x v="0"/>
    <x v="0"/>
    <x v="0"/>
    <x v="1"/>
    <x v="1"/>
    <x v="1"/>
    <x v="1"/>
    <x v="3"/>
    <x v="14"/>
    <x v="0"/>
    <x v="21"/>
    <x v="11"/>
    <s v="HUNTERS DRY 4X(6X330ML)"/>
    <n v="10"/>
    <x v="7"/>
    <n v="216000"/>
  </r>
  <r>
    <x v="0"/>
    <x v="0"/>
    <x v="0"/>
    <x v="1"/>
    <x v="1"/>
    <x v="1"/>
    <x v="1"/>
    <x v="3"/>
    <x v="14"/>
    <x v="0"/>
    <x v="21"/>
    <x v="11"/>
    <s v="DROSTDY HOF 6X75CL RED CLARET "/>
    <n v="30"/>
    <x v="0"/>
    <n v="900000"/>
  </r>
  <r>
    <x v="0"/>
    <x v="0"/>
    <x v="0"/>
    <x v="1"/>
    <x v="1"/>
    <x v="1"/>
    <x v="1"/>
    <x v="3"/>
    <x v="14"/>
    <x v="0"/>
    <x v="21"/>
    <x v="11"/>
    <s v="AMARULA CREAM 6X700ML"/>
    <n v="10"/>
    <x v="2"/>
    <n v="300000"/>
  </r>
  <r>
    <x v="0"/>
    <x v="0"/>
    <x v="0"/>
    <x v="1"/>
    <x v="1"/>
    <x v="1"/>
    <x v="1"/>
    <x v="3"/>
    <x v="14"/>
    <x v="0"/>
    <x v="21"/>
    <x v="11"/>
    <s v="BAIN'S WHISKY 6X75CL"/>
    <n v="4"/>
    <x v="8"/>
    <n v="320000"/>
  </r>
  <r>
    <x v="0"/>
    <x v="0"/>
    <x v="0"/>
    <x v="1"/>
    <x v="1"/>
    <x v="1"/>
    <x v="1"/>
    <x v="3"/>
    <x v="14"/>
    <x v="0"/>
    <x v="21"/>
    <x v="11"/>
    <s v="CHAMDOR RED"/>
    <n v="124"/>
    <x v="4"/>
    <n v="3422400"/>
  </r>
  <r>
    <x v="0"/>
    <x v="0"/>
    <x v="0"/>
    <x v="1"/>
    <x v="1"/>
    <x v="1"/>
    <x v="1"/>
    <x v="3"/>
    <x v="14"/>
    <x v="0"/>
    <x v="21"/>
    <x v="11"/>
    <s v="CHAMDOR WHITE"/>
    <n v="40"/>
    <x v="4"/>
    <n v="1104000"/>
  </r>
  <r>
    <x v="0"/>
    <x v="0"/>
    <x v="0"/>
    <x v="1"/>
    <x v="1"/>
    <x v="1"/>
    <x v="1"/>
    <x v="3"/>
    <x v="14"/>
    <x v="0"/>
    <x v="21"/>
    <x v="11"/>
    <s v="4TH STREET RED 6X75CL"/>
    <n v="180"/>
    <x v="5"/>
    <n v="3888000"/>
  </r>
  <r>
    <x v="0"/>
    <x v="0"/>
    <x v="0"/>
    <x v="1"/>
    <x v="1"/>
    <x v="1"/>
    <x v="1"/>
    <x v="3"/>
    <x v="14"/>
    <x v="0"/>
    <x v="21"/>
    <x v="11"/>
    <s v="4TH STREET WHITE 6X75CL"/>
    <n v="20"/>
    <x v="5"/>
    <n v="432000"/>
  </r>
  <r>
    <x v="0"/>
    <x v="0"/>
    <x v="0"/>
    <x v="1"/>
    <x v="1"/>
    <x v="1"/>
    <x v="1"/>
    <x v="3"/>
    <x v="14"/>
    <x v="0"/>
    <x v="21"/>
    <x v="11"/>
    <s v="4TH STREET ROSE 6X75CL"/>
    <n v="36"/>
    <x v="5"/>
    <n v="777600"/>
  </r>
  <r>
    <x v="0"/>
    <x v="0"/>
    <x v="0"/>
    <x v="1"/>
    <x v="1"/>
    <x v="1"/>
    <x v="1"/>
    <x v="3"/>
    <x v="14"/>
    <x v="0"/>
    <x v="21"/>
    <x v="11"/>
    <s v="4TH STREET 75CL NON ALCOHOLIC SWEET WINE"/>
    <n v="26"/>
    <x v="1"/>
    <n v="499200"/>
  </r>
  <r>
    <x v="0"/>
    <x v="0"/>
    <x v="0"/>
    <x v="1"/>
    <x v="1"/>
    <x v="1"/>
    <x v="1"/>
    <x v="3"/>
    <x v="14"/>
    <x v="0"/>
    <x v="21"/>
    <x v="11"/>
    <s v="NEDERBURG WINE MASTER RANGE MERLOT  6X750ML"/>
    <n v="24"/>
    <x v="6"/>
    <n v="2208000"/>
  </r>
  <r>
    <x v="0"/>
    <x v="0"/>
    <x v="0"/>
    <x v="1"/>
    <x v="1"/>
    <x v="1"/>
    <x v="1"/>
    <x v="3"/>
    <x v="14"/>
    <x v="0"/>
    <x v="22"/>
    <x v="11"/>
    <s v="DROSTDY HOF 6X75CL RED CLARET "/>
    <n v="21"/>
    <x v="0"/>
    <n v="630000"/>
  </r>
  <r>
    <x v="0"/>
    <x v="0"/>
    <x v="0"/>
    <x v="1"/>
    <x v="1"/>
    <x v="1"/>
    <x v="1"/>
    <x v="3"/>
    <x v="14"/>
    <x v="0"/>
    <x v="22"/>
    <x v="11"/>
    <s v="DROSTY HOF RED CLARET 12X375ML"/>
    <n v="30"/>
    <x v="0"/>
    <n v="1020000"/>
  </r>
  <r>
    <x v="0"/>
    <x v="0"/>
    <x v="0"/>
    <x v="1"/>
    <x v="1"/>
    <x v="1"/>
    <x v="1"/>
    <x v="3"/>
    <x v="14"/>
    <x v="0"/>
    <x v="22"/>
    <x v="11"/>
    <s v="AMARULA CREAM 6X700ML"/>
    <n v="20"/>
    <x v="2"/>
    <n v="600000"/>
  </r>
  <r>
    <x v="0"/>
    <x v="0"/>
    <x v="0"/>
    <x v="1"/>
    <x v="1"/>
    <x v="1"/>
    <x v="1"/>
    <x v="3"/>
    <x v="14"/>
    <x v="0"/>
    <x v="22"/>
    <x v="11"/>
    <s v="CHAMDOR RED"/>
    <n v="104"/>
    <x v="4"/>
    <n v="2870400"/>
  </r>
  <r>
    <x v="0"/>
    <x v="0"/>
    <x v="0"/>
    <x v="1"/>
    <x v="1"/>
    <x v="1"/>
    <x v="1"/>
    <x v="3"/>
    <x v="14"/>
    <x v="0"/>
    <x v="22"/>
    <x v="11"/>
    <s v="4TH STREET RED 6X75CL"/>
    <n v="135"/>
    <x v="5"/>
    <n v="2916000"/>
  </r>
  <r>
    <x v="0"/>
    <x v="0"/>
    <x v="0"/>
    <x v="1"/>
    <x v="1"/>
    <x v="1"/>
    <x v="1"/>
    <x v="3"/>
    <x v="14"/>
    <x v="0"/>
    <x v="22"/>
    <x v="11"/>
    <s v="4TH STREET WHITE 6X75CL"/>
    <n v="20"/>
    <x v="5"/>
    <n v="432000"/>
  </r>
  <r>
    <x v="0"/>
    <x v="0"/>
    <x v="0"/>
    <x v="1"/>
    <x v="1"/>
    <x v="1"/>
    <x v="1"/>
    <x v="3"/>
    <x v="14"/>
    <x v="0"/>
    <x v="22"/>
    <x v="11"/>
    <s v="4TH STREET ROSE 6X75CL"/>
    <n v="55"/>
    <x v="5"/>
    <n v="1188000"/>
  </r>
  <r>
    <x v="0"/>
    <x v="0"/>
    <x v="0"/>
    <x v="1"/>
    <x v="1"/>
    <x v="1"/>
    <x v="1"/>
    <x v="3"/>
    <x v="14"/>
    <x v="0"/>
    <x v="22"/>
    <x v="11"/>
    <s v="4TH STREET 75CL NON ALCOHOLIC SWEET WINE"/>
    <n v="20"/>
    <x v="1"/>
    <n v="384000"/>
  </r>
  <r>
    <x v="0"/>
    <x v="0"/>
    <x v="0"/>
    <x v="1"/>
    <x v="1"/>
    <x v="1"/>
    <x v="15"/>
    <x v="3"/>
    <x v="15"/>
    <x v="1"/>
    <x v="23"/>
    <x v="12"/>
    <s v="AMARULA CREAM 6X700ML"/>
    <n v="1"/>
    <x v="2"/>
    <n v="30000"/>
  </r>
  <r>
    <x v="0"/>
    <x v="0"/>
    <x v="0"/>
    <x v="1"/>
    <x v="1"/>
    <x v="1"/>
    <x v="15"/>
    <x v="3"/>
    <x v="15"/>
    <x v="1"/>
    <x v="23"/>
    <x v="12"/>
    <s v="CHAMDOR RED"/>
    <n v="45"/>
    <x v="4"/>
    <n v="1242000"/>
  </r>
  <r>
    <x v="0"/>
    <x v="0"/>
    <x v="0"/>
    <x v="1"/>
    <x v="1"/>
    <x v="1"/>
    <x v="15"/>
    <x v="3"/>
    <x v="15"/>
    <x v="1"/>
    <x v="23"/>
    <x v="12"/>
    <s v="4TH STREET RED 6X75CL"/>
    <n v="34"/>
    <x v="5"/>
    <n v="734400"/>
  </r>
  <r>
    <x v="0"/>
    <x v="0"/>
    <x v="0"/>
    <x v="1"/>
    <x v="1"/>
    <x v="1"/>
    <x v="15"/>
    <x v="3"/>
    <x v="15"/>
    <x v="1"/>
    <x v="23"/>
    <x v="12"/>
    <s v="4TH STREET 75CL NON ALCOHOLIC SWEET WINE"/>
    <n v="20"/>
    <x v="1"/>
    <n v="384000"/>
  </r>
  <r>
    <x v="0"/>
    <x v="0"/>
    <x v="0"/>
    <x v="1"/>
    <x v="1"/>
    <x v="1"/>
    <x v="15"/>
    <x v="3"/>
    <x v="15"/>
    <x v="1"/>
    <x v="24"/>
    <x v="12"/>
    <s v="AMARULA CREAM 6X700ML"/>
    <n v="5"/>
    <x v="2"/>
    <n v="150000"/>
  </r>
  <r>
    <x v="0"/>
    <x v="0"/>
    <x v="0"/>
    <x v="1"/>
    <x v="1"/>
    <x v="1"/>
    <x v="15"/>
    <x v="3"/>
    <x v="15"/>
    <x v="1"/>
    <x v="24"/>
    <x v="12"/>
    <s v="BAIN'S WHISKY 6X75CL"/>
    <n v="3"/>
    <x v="8"/>
    <n v="240000"/>
  </r>
  <r>
    <x v="0"/>
    <x v="0"/>
    <x v="0"/>
    <x v="1"/>
    <x v="1"/>
    <x v="1"/>
    <x v="15"/>
    <x v="3"/>
    <x v="15"/>
    <x v="1"/>
    <x v="24"/>
    <x v="12"/>
    <s v="CHAMDOR RED"/>
    <n v="129"/>
    <x v="4"/>
    <n v="3560400"/>
  </r>
  <r>
    <x v="0"/>
    <x v="0"/>
    <x v="0"/>
    <x v="1"/>
    <x v="1"/>
    <x v="1"/>
    <x v="15"/>
    <x v="3"/>
    <x v="15"/>
    <x v="1"/>
    <x v="24"/>
    <x v="12"/>
    <s v="CHAMDOR WHITE"/>
    <n v="21"/>
    <x v="4"/>
    <n v="579600"/>
  </r>
  <r>
    <x v="0"/>
    <x v="0"/>
    <x v="0"/>
    <x v="1"/>
    <x v="1"/>
    <x v="1"/>
    <x v="15"/>
    <x v="3"/>
    <x v="15"/>
    <x v="1"/>
    <x v="24"/>
    <x v="12"/>
    <s v="4TH STREET RED 6X75CL"/>
    <n v="65"/>
    <x v="5"/>
    <n v="1404000"/>
  </r>
  <r>
    <x v="0"/>
    <x v="0"/>
    <x v="0"/>
    <x v="1"/>
    <x v="1"/>
    <x v="1"/>
    <x v="15"/>
    <x v="3"/>
    <x v="15"/>
    <x v="1"/>
    <x v="24"/>
    <x v="12"/>
    <s v="4TH STREET 75CL NON ALCOHOLIC SWEET WINE"/>
    <n v="42"/>
    <x v="1"/>
    <n v="806400"/>
  </r>
  <r>
    <x v="0"/>
    <x v="0"/>
    <x v="0"/>
    <x v="1"/>
    <x v="1"/>
    <x v="1"/>
    <x v="15"/>
    <x v="3"/>
    <x v="15"/>
    <x v="1"/>
    <x v="25"/>
    <x v="12"/>
    <s v="CHAMDOR RED"/>
    <n v="64"/>
    <x v="4"/>
    <n v="1766400"/>
  </r>
  <r>
    <x v="0"/>
    <x v="0"/>
    <x v="0"/>
    <x v="1"/>
    <x v="1"/>
    <x v="1"/>
    <x v="15"/>
    <x v="3"/>
    <x v="15"/>
    <x v="1"/>
    <x v="25"/>
    <x v="12"/>
    <s v="4TH STREET RED 6X75CL"/>
    <n v="53"/>
    <x v="5"/>
    <n v="1144800"/>
  </r>
  <r>
    <x v="0"/>
    <x v="0"/>
    <x v="0"/>
    <x v="1"/>
    <x v="1"/>
    <x v="1"/>
    <x v="16"/>
    <x v="3"/>
    <x v="16"/>
    <x v="1"/>
    <x v="26"/>
    <x v="13"/>
    <s v="HUNTERS DRY 4X(6X330ML)"/>
    <n v="70"/>
    <x v="7"/>
    <n v="1512000"/>
  </r>
  <r>
    <x v="0"/>
    <x v="0"/>
    <x v="0"/>
    <x v="1"/>
    <x v="1"/>
    <x v="1"/>
    <x v="16"/>
    <x v="3"/>
    <x v="16"/>
    <x v="1"/>
    <x v="26"/>
    <x v="13"/>
    <s v="TWO OCEAN SHIRAZ 6X75CL"/>
    <n v="5"/>
    <x v="10"/>
    <n v="150000"/>
  </r>
  <r>
    <x v="0"/>
    <x v="0"/>
    <x v="0"/>
    <x v="1"/>
    <x v="1"/>
    <x v="1"/>
    <x v="16"/>
    <x v="3"/>
    <x v="16"/>
    <x v="1"/>
    <x v="26"/>
    <x v="13"/>
    <s v="CHAMDOR RED"/>
    <n v="95"/>
    <x v="4"/>
    <n v="2622000"/>
  </r>
  <r>
    <x v="0"/>
    <x v="0"/>
    <x v="0"/>
    <x v="1"/>
    <x v="1"/>
    <x v="1"/>
    <x v="16"/>
    <x v="3"/>
    <x v="16"/>
    <x v="1"/>
    <x v="26"/>
    <x v="13"/>
    <s v="4TH STREET RED 6X75CL"/>
    <n v="160"/>
    <x v="5"/>
    <n v="3456000"/>
  </r>
  <r>
    <x v="0"/>
    <x v="0"/>
    <x v="0"/>
    <x v="1"/>
    <x v="1"/>
    <x v="1"/>
    <x v="16"/>
    <x v="3"/>
    <x v="16"/>
    <x v="1"/>
    <x v="26"/>
    <x v="13"/>
    <s v="4TH STREET SPARKLING RED"/>
    <n v="40"/>
    <x v="3"/>
    <n v="936000"/>
  </r>
  <r>
    <x v="0"/>
    <x v="0"/>
    <x v="0"/>
    <x v="1"/>
    <x v="1"/>
    <x v="1"/>
    <x v="16"/>
    <x v="3"/>
    <x v="16"/>
    <x v="1"/>
    <x v="26"/>
    <x v="13"/>
    <s v="4TH STREET 75CL NON ALCOHOLIC SWEET WINE"/>
    <n v="33"/>
    <x v="1"/>
    <n v="633600"/>
  </r>
  <r>
    <x v="0"/>
    <x v="0"/>
    <x v="0"/>
    <x v="1"/>
    <x v="1"/>
    <x v="1"/>
    <x v="16"/>
    <x v="3"/>
    <x v="16"/>
    <x v="1"/>
    <x v="26"/>
    <x v="13"/>
    <s v="NEDERBURG WINE MASTER RANGE MERLOT  6X750ML"/>
    <n v="10"/>
    <x v="6"/>
    <n v="920000"/>
  </r>
  <r>
    <x v="0"/>
    <x v="0"/>
    <x v="0"/>
    <x v="1"/>
    <x v="1"/>
    <x v="1"/>
    <x v="15"/>
    <x v="3"/>
    <x v="17"/>
    <x v="1"/>
    <x v="27"/>
    <x v="12"/>
    <s v="HUNTERS DRY 4X(6X330ML)"/>
    <n v="20"/>
    <x v="7"/>
    <n v="432000"/>
  </r>
  <r>
    <x v="0"/>
    <x v="0"/>
    <x v="0"/>
    <x v="1"/>
    <x v="1"/>
    <x v="1"/>
    <x v="15"/>
    <x v="3"/>
    <x v="17"/>
    <x v="1"/>
    <x v="27"/>
    <x v="12"/>
    <s v="CHAMDOR RED"/>
    <n v="63"/>
    <x v="4"/>
    <n v="1738800"/>
  </r>
  <r>
    <x v="0"/>
    <x v="0"/>
    <x v="0"/>
    <x v="1"/>
    <x v="1"/>
    <x v="1"/>
    <x v="15"/>
    <x v="3"/>
    <x v="17"/>
    <x v="1"/>
    <x v="27"/>
    <x v="12"/>
    <s v="4TH STREET RED 6X75CL"/>
    <n v="38"/>
    <x v="5"/>
    <n v="820800"/>
  </r>
  <r>
    <x v="0"/>
    <x v="0"/>
    <x v="0"/>
    <x v="1"/>
    <x v="1"/>
    <x v="1"/>
    <x v="15"/>
    <x v="3"/>
    <x v="17"/>
    <x v="1"/>
    <x v="27"/>
    <x v="12"/>
    <s v="4TH STREET 75CL NON ALCOHOLIC SWEET WINE"/>
    <n v="37"/>
    <x v="1"/>
    <n v="710400"/>
  </r>
  <r>
    <x v="0"/>
    <x v="0"/>
    <x v="0"/>
    <x v="2"/>
    <x v="2"/>
    <x v="2"/>
    <x v="4"/>
    <x v="1"/>
    <x v="1"/>
    <x v="0"/>
    <x v="4"/>
    <x v="2"/>
    <s v="HUNTERS DRY 4X(6X330ML)"/>
    <n v="26"/>
    <x v="7"/>
    <n v="561600"/>
  </r>
  <r>
    <x v="0"/>
    <x v="0"/>
    <x v="0"/>
    <x v="2"/>
    <x v="2"/>
    <x v="2"/>
    <x v="4"/>
    <x v="1"/>
    <x v="1"/>
    <x v="0"/>
    <x v="4"/>
    <x v="2"/>
    <s v="TWO OCEAN SHIRAZ 6X75CL"/>
    <n v="2"/>
    <x v="10"/>
    <n v="60000"/>
  </r>
  <r>
    <x v="0"/>
    <x v="0"/>
    <x v="0"/>
    <x v="2"/>
    <x v="2"/>
    <x v="2"/>
    <x v="4"/>
    <x v="1"/>
    <x v="1"/>
    <x v="0"/>
    <x v="4"/>
    <x v="2"/>
    <s v="DROSTDY HOF 6X75CL RED CLARET "/>
    <n v="20"/>
    <x v="0"/>
    <n v="600000"/>
  </r>
  <r>
    <x v="0"/>
    <x v="0"/>
    <x v="0"/>
    <x v="2"/>
    <x v="2"/>
    <x v="2"/>
    <x v="4"/>
    <x v="1"/>
    <x v="1"/>
    <x v="0"/>
    <x v="4"/>
    <x v="2"/>
    <s v="DROSTY HOF RED CLARET 12X375ML"/>
    <n v="10"/>
    <x v="0"/>
    <n v="340000"/>
  </r>
  <r>
    <x v="0"/>
    <x v="0"/>
    <x v="0"/>
    <x v="2"/>
    <x v="2"/>
    <x v="2"/>
    <x v="4"/>
    <x v="1"/>
    <x v="1"/>
    <x v="0"/>
    <x v="4"/>
    <x v="2"/>
    <s v="AMARULA CREAM 6X700ML"/>
    <n v="38"/>
    <x v="2"/>
    <n v="1140000"/>
  </r>
  <r>
    <x v="0"/>
    <x v="0"/>
    <x v="0"/>
    <x v="2"/>
    <x v="2"/>
    <x v="2"/>
    <x v="4"/>
    <x v="1"/>
    <x v="1"/>
    <x v="0"/>
    <x v="4"/>
    <x v="2"/>
    <s v="CHAMDOR RED"/>
    <n v="581"/>
    <x v="4"/>
    <n v="16035600"/>
  </r>
  <r>
    <x v="0"/>
    <x v="0"/>
    <x v="0"/>
    <x v="2"/>
    <x v="2"/>
    <x v="2"/>
    <x v="4"/>
    <x v="1"/>
    <x v="1"/>
    <x v="0"/>
    <x v="4"/>
    <x v="2"/>
    <s v="CHAMDOR WHITE"/>
    <n v="48"/>
    <x v="4"/>
    <n v="1324800"/>
  </r>
  <r>
    <x v="0"/>
    <x v="0"/>
    <x v="0"/>
    <x v="2"/>
    <x v="2"/>
    <x v="2"/>
    <x v="4"/>
    <x v="1"/>
    <x v="1"/>
    <x v="0"/>
    <x v="4"/>
    <x v="2"/>
    <s v="4TH STREET RED 6X75CL"/>
    <n v="86"/>
    <x v="5"/>
    <n v="1857600"/>
  </r>
  <r>
    <x v="0"/>
    <x v="0"/>
    <x v="0"/>
    <x v="2"/>
    <x v="2"/>
    <x v="2"/>
    <x v="4"/>
    <x v="1"/>
    <x v="1"/>
    <x v="0"/>
    <x v="4"/>
    <x v="2"/>
    <s v="4TH STREET WHITE 6X75CL"/>
    <n v="10"/>
    <x v="5"/>
    <n v="216000"/>
  </r>
  <r>
    <x v="0"/>
    <x v="0"/>
    <x v="0"/>
    <x v="2"/>
    <x v="2"/>
    <x v="2"/>
    <x v="4"/>
    <x v="1"/>
    <x v="1"/>
    <x v="0"/>
    <x v="4"/>
    <x v="2"/>
    <s v="4TH STREET ROSE 6X75CL"/>
    <n v="21"/>
    <x v="5"/>
    <n v="453600"/>
  </r>
  <r>
    <x v="0"/>
    <x v="0"/>
    <x v="0"/>
    <x v="2"/>
    <x v="2"/>
    <x v="2"/>
    <x v="4"/>
    <x v="1"/>
    <x v="1"/>
    <x v="0"/>
    <x v="4"/>
    <x v="2"/>
    <s v="4TH STREET SPARKLING RED"/>
    <n v="4"/>
    <x v="3"/>
    <n v="93600"/>
  </r>
  <r>
    <x v="0"/>
    <x v="0"/>
    <x v="0"/>
    <x v="2"/>
    <x v="2"/>
    <x v="2"/>
    <x v="4"/>
    <x v="1"/>
    <x v="1"/>
    <x v="0"/>
    <x v="4"/>
    <x v="2"/>
    <s v="4TH STREET 75CL NON ALCOHOLIC SWEET WINE"/>
    <n v="32"/>
    <x v="1"/>
    <n v="614400"/>
  </r>
  <r>
    <x v="0"/>
    <x v="0"/>
    <x v="0"/>
    <x v="2"/>
    <x v="2"/>
    <x v="2"/>
    <x v="5"/>
    <x v="1"/>
    <x v="2"/>
    <x v="0"/>
    <x v="5"/>
    <x v="3"/>
    <s v="HUNTERS DRY 4X(6X330ML)"/>
    <n v="10"/>
    <x v="7"/>
    <n v="216000"/>
  </r>
  <r>
    <x v="0"/>
    <x v="0"/>
    <x v="0"/>
    <x v="2"/>
    <x v="2"/>
    <x v="2"/>
    <x v="5"/>
    <x v="1"/>
    <x v="2"/>
    <x v="0"/>
    <x v="5"/>
    <x v="3"/>
    <s v="AMARULA CREAM 6X700ML"/>
    <n v="4"/>
    <x v="2"/>
    <n v="120000"/>
  </r>
  <r>
    <x v="0"/>
    <x v="0"/>
    <x v="0"/>
    <x v="2"/>
    <x v="2"/>
    <x v="2"/>
    <x v="5"/>
    <x v="1"/>
    <x v="2"/>
    <x v="0"/>
    <x v="5"/>
    <x v="3"/>
    <s v="BAIN'S WHISKY 6X75CL"/>
    <n v="2"/>
    <x v="8"/>
    <n v="160000"/>
  </r>
  <r>
    <x v="0"/>
    <x v="0"/>
    <x v="0"/>
    <x v="2"/>
    <x v="2"/>
    <x v="2"/>
    <x v="5"/>
    <x v="1"/>
    <x v="2"/>
    <x v="0"/>
    <x v="5"/>
    <x v="3"/>
    <s v="CHAMDOR RED"/>
    <n v="80"/>
    <x v="4"/>
    <n v="2208000"/>
  </r>
  <r>
    <x v="0"/>
    <x v="0"/>
    <x v="0"/>
    <x v="2"/>
    <x v="2"/>
    <x v="2"/>
    <x v="5"/>
    <x v="1"/>
    <x v="2"/>
    <x v="0"/>
    <x v="5"/>
    <x v="3"/>
    <s v="4TH STREET RED 6X75CL"/>
    <n v="20"/>
    <x v="5"/>
    <n v="432000"/>
  </r>
  <r>
    <x v="0"/>
    <x v="0"/>
    <x v="0"/>
    <x v="2"/>
    <x v="2"/>
    <x v="2"/>
    <x v="6"/>
    <x v="1"/>
    <x v="3"/>
    <x v="0"/>
    <x v="6"/>
    <x v="4"/>
    <s v="HUNTERS DRY 4X(6X330ML)"/>
    <n v="10"/>
    <x v="7"/>
    <n v="216000"/>
  </r>
  <r>
    <x v="0"/>
    <x v="0"/>
    <x v="0"/>
    <x v="2"/>
    <x v="2"/>
    <x v="2"/>
    <x v="6"/>
    <x v="1"/>
    <x v="3"/>
    <x v="0"/>
    <x v="6"/>
    <x v="4"/>
    <s v="TWO OCEAN CAB/SAUV 6X75CL"/>
    <n v="20"/>
    <x v="10"/>
    <n v="600000"/>
  </r>
  <r>
    <x v="0"/>
    <x v="0"/>
    <x v="0"/>
    <x v="2"/>
    <x v="2"/>
    <x v="2"/>
    <x v="6"/>
    <x v="1"/>
    <x v="3"/>
    <x v="0"/>
    <x v="6"/>
    <x v="4"/>
    <s v="DROSTDY HOF 6X75CL RED CLARET "/>
    <n v="40"/>
    <x v="0"/>
    <n v="1200000"/>
  </r>
  <r>
    <x v="0"/>
    <x v="0"/>
    <x v="0"/>
    <x v="2"/>
    <x v="2"/>
    <x v="2"/>
    <x v="6"/>
    <x v="1"/>
    <x v="3"/>
    <x v="0"/>
    <x v="6"/>
    <x v="4"/>
    <s v="DROSTY HOF RED CLARET 12X375ML"/>
    <n v="35"/>
    <x v="0"/>
    <n v="1190000"/>
  </r>
  <r>
    <x v="0"/>
    <x v="0"/>
    <x v="0"/>
    <x v="2"/>
    <x v="2"/>
    <x v="2"/>
    <x v="6"/>
    <x v="1"/>
    <x v="3"/>
    <x v="0"/>
    <x v="6"/>
    <x v="4"/>
    <s v="AMARULA CREAM 12X375ML"/>
    <n v="9"/>
    <x v="2"/>
    <n v="391005"/>
  </r>
  <r>
    <x v="0"/>
    <x v="0"/>
    <x v="0"/>
    <x v="2"/>
    <x v="2"/>
    <x v="2"/>
    <x v="6"/>
    <x v="1"/>
    <x v="3"/>
    <x v="0"/>
    <x v="6"/>
    <x v="4"/>
    <s v="AMARULA CREAM 6X700ML"/>
    <n v="10"/>
    <x v="2"/>
    <n v="300000"/>
  </r>
  <r>
    <x v="0"/>
    <x v="0"/>
    <x v="0"/>
    <x v="2"/>
    <x v="2"/>
    <x v="2"/>
    <x v="6"/>
    <x v="1"/>
    <x v="3"/>
    <x v="0"/>
    <x v="6"/>
    <x v="4"/>
    <s v="BAIN'S WHISKY 6X75CL"/>
    <n v="10"/>
    <x v="8"/>
    <n v="800000"/>
  </r>
  <r>
    <x v="0"/>
    <x v="0"/>
    <x v="0"/>
    <x v="2"/>
    <x v="2"/>
    <x v="2"/>
    <x v="6"/>
    <x v="1"/>
    <x v="3"/>
    <x v="0"/>
    <x v="6"/>
    <x v="4"/>
    <s v="KNIGHT WHISKY 6X75CL"/>
    <n v="5"/>
    <x v="9"/>
    <n v="250000"/>
  </r>
  <r>
    <x v="0"/>
    <x v="0"/>
    <x v="0"/>
    <x v="2"/>
    <x v="2"/>
    <x v="2"/>
    <x v="6"/>
    <x v="1"/>
    <x v="3"/>
    <x v="0"/>
    <x v="6"/>
    <x v="4"/>
    <s v="SCOTTISH LEADER 6X75CL"/>
    <n v="6"/>
    <x v="11"/>
    <n v="360000"/>
  </r>
  <r>
    <x v="0"/>
    <x v="0"/>
    <x v="0"/>
    <x v="2"/>
    <x v="2"/>
    <x v="2"/>
    <x v="6"/>
    <x v="1"/>
    <x v="3"/>
    <x v="0"/>
    <x v="6"/>
    <x v="4"/>
    <s v="CHAMDOR RED"/>
    <n v="394"/>
    <x v="4"/>
    <n v="10874400"/>
  </r>
  <r>
    <x v="0"/>
    <x v="0"/>
    <x v="0"/>
    <x v="2"/>
    <x v="2"/>
    <x v="2"/>
    <x v="6"/>
    <x v="1"/>
    <x v="3"/>
    <x v="0"/>
    <x v="6"/>
    <x v="4"/>
    <s v="4TH STREET RED 6X75CL"/>
    <n v="74"/>
    <x v="5"/>
    <n v="1598400"/>
  </r>
  <r>
    <x v="0"/>
    <x v="0"/>
    <x v="0"/>
    <x v="2"/>
    <x v="2"/>
    <x v="2"/>
    <x v="6"/>
    <x v="1"/>
    <x v="3"/>
    <x v="0"/>
    <x v="6"/>
    <x v="4"/>
    <s v="4TH STREET 75CL NON ALCOHOLIC SWEET WINE"/>
    <n v="120"/>
    <x v="1"/>
    <n v="2304000"/>
  </r>
  <r>
    <x v="0"/>
    <x v="0"/>
    <x v="0"/>
    <x v="2"/>
    <x v="2"/>
    <x v="2"/>
    <x v="6"/>
    <x v="1"/>
    <x v="3"/>
    <x v="0"/>
    <x v="6"/>
    <x v="4"/>
    <s v="4TH STREET RED 12X37.5CL"/>
    <n v="20"/>
    <x v="5"/>
    <n v="432000"/>
  </r>
  <r>
    <x v="0"/>
    <x v="0"/>
    <x v="0"/>
    <x v="2"/>
    <x v="2"/>
    <x v="2"/>
    <x v="6"/>
    <x v="1"/>
    <x v="3"/>
    <x v="0"/>
    <x v="6"/>
    <x v="4"/>
    <s v="NEDERBURG WINE MASTER RANGE MERLOT  6X750ML"/>
    <n v="8"/>
    <x v="6"/>
    <n v="736000"/>
  </r>
  <r>
    <x v="0"/>
    <x v="0"/>
    <x v="0"/>
    <x v="2"/>
    <x v="2"/>
    <x v="2"/>
    <x v="7"/>
    <x v="1"/>
    <x v="3"/>
    <x v="0"/>
    <x v="7"/>
    <x v="4"/>
    <s v="HUNTERS DRY 4X(6X330ML)"/>
    <n v="5"/>
    <x v="7"/>
    <n v="108000"/>
  </r>
  <r>
    <x v="0"/>
    <x v="0"/>
    <x v="0"/>
    <x v="2"/>
    <x v="2"/>
    <x v="2"/>
    <x v="7"/>
    <x v="1"/>
    <x v="3"/>
    <x v="0"/>
    <x v="7"/>
    <x v="4"/>
    <s v="TWO OCEAN CAB/SAUV 6X75CL"/>
    <n v="10"/>
    <x v="10"/>
    <n v="300000"/>
  </r>
  <r>
    <x v="0"/>
    <x v="0"/>
    <x v="0"/>
    <x v="2"/>
    <x v="2"/>
    <x v="2"/>
    <x v="7"/>
    <x v="1"/>
    <x v="3"/>
    <x v="0"/>
    <x v="7"/>
    <x v="4"/>
    <s v="DROSTDY HOF 6X75CL RED CLARET "/>
    <n v="20"/>
    <x v="0"/>
    <n v="600000"/>
  </r>
  <r>
    <x v="0"/>
    <x v="0"/>
    <x v="0"/>
    <x v="2"/>
    <x v="2"/>
    <x v="2"/>
    <x v="7"/>
    <x v="1"/>
    <x v="3"/>
    <x v="0"/>
    <x v="7"/>
    <x v="4"/>
    <s v="DROSTY HOF RED CLARET 12X375ML"/>
    <n v="22"/>
    <x v="0"/>
    <n v="748000"/>
  </r>
  <r>
    <x v="0"/>
    <x v="0"/>
    <x v="0"/>
    <x v="2"/>
    <x v="2"/>
    <x v="2"/>
    <x v="7"/>
    <x v="1"/>
    <x v="3"/>
    <x v="0"/>
    <x v="7"/>
    <x v="4"/>
    <s v="AMARULA CREAM 12X375ML"/>
    <n v="9"/>
    <x v="2"/>
    <n v="391005"/>
  </r>
  <r>
    <x v="0"/>
    <x v="0"/>
    <x v="0"/>
    <x v="2"/>
    <x v="2"/>
    <x v="2"/>
    <x v="7"/>
    <x v="1"/>
    <x v="3"/>
    <x v="0"/>
    <x v="7"/>
    <x v="4"/>
    <s v="AMARULA CREAM 6X700ML"/>
    <n v="15"/>
    <x v="2"/>
    <n v="450000"/>
  </r>
  <r>
    <x v="0"/>
    <x v="0"/>
    <x v="0"/>
    <x v="2"/>
    <x v="2"/>
    <x v="2"/>
    <x v="7"/>
    <x v="1"/>
    <x v="3"/>
    <x v="0"/>
    <x v="7"/>
    <x v="4"/>
    <s v="BAIN'S WHISKY 6X75CL"/>
    <n v="5"/>
    <x v="8"/>
    <n v="400000"/>
  </r>
  <r>
    <x v="0"/>
    <x v="0"/>
    <x v="0"/>
    <x v="2"/>
    <x v="2"/>
    <x v="2"/>
    <x v="7"/>
    <x v="1"/>
    <x v="3"/>
    <x v="0"/>
    <x v="7"/>
    <x v="4"/>
    <s v="KNIGHT WHISKY 6X75CL"/>
    <n v="4"/>
    <x v="9"/>
    <n v="200000"/>
  </r>
  <r>
    <x v="0"/>
    <x v="0"/>
    <x v="0"/>
    <x v="2"/>
    <x v="2"/>
    <x v="2"/>
    <x v="7"/>
    <x v="1"/>
    <x v="3"/>
    <x v="0"/>
    <x v="7"/>
    <x v="4"/>
    <s v="SCOTTISH LEADER 6X75CL"/>
    <n v="2"/>
    <x v="11"/>
    <n v="120000"/>
  </r>
  <r>
    <x v="0"/>
    <x v="0"/>
    <x v="0"/>
    <x v="2"/>
    <x v="2"/>
    <x v="2"/>
    <x v="7"/>
    <x v="1"/>
    <x v="3"/>
    <x v="0"/>
    <x v="7"/>
    <x v="4"/>
    <s v="CHAMDOR RED"/>
    <n v="458"/>
    <x v="4"/>
    <n v="12640800"/>
  </r>
  <r>
    <x v="0"/>
    <x v="0"/>
    <x v="0"/>
    <x v="2"/>
    <x v="2"/>
    <x v="2"/>
    <x v="7"/>
    <x v="1"/>
    <x v="3"/>
    <x v="0"/>
    <x v="7"/>
    <x v="4"/>
    <s v="4TH STREET RED 6X75CL"/>
    <n v="45"/>
    <x v="5"/>
    <n v="972000"/>
  </r>
  <r>
    <x v="0"/>
    <x v="0"/>
    <x v="0"/>
    <x v="2"/>
    <x v="2"/>
    <x v="2"/>
    <x v="7"/>
    <x v="1"/>
    <x v="3"/>
    <x v="0"/>
    <x v="7"/>
    <x v="4"/>
    <s v="4TH STREET 75CL NON ALCOHOLIC SWEET WINE"/>
    <n v="99"/>
    <x v="1"/>
    <n v="1900800"/>
  </r>
  <r>
    <x v="0"/>
    <x v="0"/>
    <x v="0"/>
    <x v="2"/>
    <x v="2"/>
    <x v="2"/>
    <x v="7"/>
    <x v="1"/>
    <x v="3"/>
    <x v="0"/>
    <x v="7"/>
    <x v="4"/>
    <s v="4TH STREET RED 12X37.5CL"/>
    <n v="125"/>
    <x v="5"/>
    <n v="2700000"/>
  </r>
  <r>
    <x v="0"/>
    <x v="0"/>
    <x v="0"/>
    <x v="2"/>
    <x v="2"/>
    <x v="2"/>
    <x v="7"/>
    <x v="1"/>
    <x v="3"/>
    <x v="0"/>
    <x v="7"/>
    <x v="4"/>
    <s v="NEDERBURG WINE MASTER RANGE MERLOT  6X750ML"/>
    <n v="7"/>
    <x v="6"/>
    <n v="644000"/>
  </r>
  <r>
    <x v="0"/>
    <x v="0"/>
    <x v="0"/>
    <x v="2"/>
    <x v="2"/>
    <x v="2"/>
    <x v="10"/>
    <x v="1"/>
    <x v="8"/>
    <x v="1"/>
    <x v="13"/>
    <x v="7"/>
    <s v="DROSTDY HOF 6X75CL RED CLARET "/>
    <n v="7"/>
    <x v="0"/>
    <n v="210000"/>
  </r>
  <r>
    <x v="0"/>
    <x v="0"/>
    <x v="0"/>
    <x v="2"/>
    <x v="2"/>
    <x v="2"/>
    <x v="10"/>
    <x v="1"/>
    <x v="8"/>
    <x v="1"/>
    <x v="13"/>
    <x v="7"/>
    <s v="DROSTY HOF RED CLARET 12X375ML"/>
    <n v="2"/>
    <x v="0"/>
    <n v="68000"/>
  </r>
  <r>
    <x v="0"/>
    <x v="0"/>
    <x v="0"/>
    <x v="2"/>
    <x v="2"/>
    <x v="2"/>
    <x v="10"/>
    <x v="1"/>
    <x v="8"/>
    <x v="1"/>
    <x v="13"/>
    <x v="7"/>
    <s v="AMARULA CREAM 12X375ML"/>
    <n v="3"/>
    <x v="2"/>
    <n v="130335"/>
  </r>
  <r>
    <x v="0"/>
    <x v="0"/>
    <x v="0"/>
    <x v="2"/>
    <x v="2"/>
    <x v="2"/>
    <x v="10"/>
    <x v="1"/>
    <x v="8"/>
    <x v="1"/>
    <x v="13"/>
    <x v="7"/>
    <s v="AMARULA CREAM 6X700ML"/>
    <n v="10"/>
    <x v="2"/>
    <n v="300000"/>
  </r>
  <r>
    <x v="0"/>
    <x v="0"/>
    <x v="0"/>
    <x v="2"/>
    <x v="2"/>
    <x v="2"/>
    <x v="10"/>
    <x v="1"/>
    <x v="8"/>
    <x v="1"/>
    <x v="13"/>
    <x v="7"/>
    <s v="CHAMDOR RED"/>
    <n v="59"/>
    <x v="4"/>
    <n v="1628400"/>
  </r>
  <r>
    <x v="0"/>
    <x v="0"/>
    <x v="0"/>
    <x v="2"/>
    <x v="2"/>
    <x v="2"/>
    <x v="10"/>
    <x v="1"/>
    <x v="8"/>
    <x v="1"/>
    <x v="13"/>
    <x v="7"/>
    <s v="CHAMDOR WHITE"/>
    <n v="2"/>
    <x v="4"/>
    <n v="55200"/>
  </r>
  <r>
    <x v="0"/>
    <x v="0"/>
    <x v="0"/>
    <x v="2"/>
    <x v="2"/>
    <x v="2"/>
    <x v="10"/>
    <x v="1"/>
    <x v="8"/>
    <x v="1"/>
    <x v="13"/>
    <x v="7"/>
    <s v="4TH STREET RED 6X75CL"/>
    <n v="50"/>
    <x v="5"/>
    <n v="1080000"/>
  </r>
  <r>
    <x v="0"/>
    <x v="0"/>
    <x v="0"/>
    <x v="2"/>
    <x v="2"/>
    <x v="2"/>
    <x v="10"/>
    <x v="1"/>
    <x v="8"/>
    <x v="1"/>
    <x v="13"/>
    <x v="7"/>
    <s v="4TH STREET 75CL NON ALCOHOLIC SWEET WINE"/>
    <n v="10"/>
    <x v="1"/>
    <n v="192000"/>
  </r>
  <r>
    <x v="0"/>
    <x v="0"/>
    <x v="0"/>
    <x v="2"/>
    <x v="2"/>
    <x v="2"/>
    <x v="10"/>
    <x v="1"/>
    <x v="9"/>
    <x v="1"/>
    <x v="14"/>
    <x v="7"/>
    <s v="HUNTERS GOLD 4X(6X330ML)"/>
    <n v="5"/>
    <x v="7"/>
    <n v="108000"/>
  </r>
  <r>
    <x v="0"/>
    <x v="0"/>
    <x v="0"/>
    <x v="2"/>
    <x v="2"/>
    <x v="2"/>
    <x v="10"/>
    <x v="1"/>
    <x v="9"/>
    <x v="1"/>
    <x v="14"/>
    <x v="7"/>
    <s v="DROSTDY HOF 6X75CL RED CLARET "/>
    <n v="6"/>
    <x v="0"/>
    <n v="180000"/>
  </r>
  <r>
    <x v="0"/>
    <x v="0"/>
    <x v="0"/>
    <x v="2"/>
    <x v="2"/>
    <x v="2"/>
    <x v="10"/>
    <x v="1"/>
    <x v="9"/>
    <x v="1"/>
    <x v="14"/>
    <x v="7"/>
    <s v="CHAMDOR RED"/>
    <n v="48"/>
    <x v="4"/>
    <n v="1324800"/>
  </r>
  <r>
    <x v="0"/>
    <x v="0"/>
    <x v="0"/>
    <x v="2"/>
    <x v="2"/>
    <x v="2"/>
    <x v="10"/>
    <x v="1"/>
    <x v="9"/>
    <x v="1"/>
    <x v="14"/>
    <x v="7"/>
    <s v="4TH STREET RED 6X75CL"/>
    <n v="39"/>
    <x v="5"/>
    <n v="842400"/>
  </r>
  <r>
    <x v="0"/>
    <x v="0"/>
    <x v="0"/>
    <x v="2"/>
    <x v="2"/>
    <x v="2"/>
    <x v="10"/>
    <x v="1"/>
    <x v="9"/>
    <x v="1"/>
    <x v="14"/>
    <x v="7"/>
    <s v="4TH STREET 75CL NON ALCOHOLIC SWEET WINE"/>
    <n v="7"/>
    <x v="1"/>
    <n v="134400"/>
  </r>
  <r>
    <x v="0"/>
    <x v="0"/>
    <x v="0"/>
    <x v="2"/>
    <x v="2"/>
    <x v="2"/>
    <x v="11"/>
    <x v="1"/>
    <x v="10"/>
    <x v="1"/>
    <x v="15"/>
    <x v="2"/>
    <s v="HUNTERS DRY 4X(6X330ML)"/>
    <n v="8"/>
    <x v="7"/>
    <n v="172800"/>
  </r>
  <r>
    <x v="0"/>
    <x v="0"/>
    <x v="0"/>
    <x v="2"/>
    <x v="2"/>
    <x v="2"/>
    <x v="11"/>
    <x v="1"/>
    <x v="10"/>
    <x v="1"/>
    <x v="15"/>
    <x v="2"/>
    <s v="DROSTDY HOF 6X75CL RED CLARET "/>
    <n v="8"/>
    <x v="0"/>
    <n v="240000"/>
  </r>
  <r>
    <x v="0"/>
    <x v="0"/>
    <x v="0"/>
    <x v="2"/>
    <x v="2"/>
    <x v="2"/>
    <x v="11"/>
    <x v="1"/>
    <x v="10"/>
    <x v="1"/>
    <x v="15"/>
    <x v="2"/>
    <s v="DROSTY HOF RED CLARET 12X375ML"/>
    <n v="10"/>
    <x v="0"/>
    <n v="340000"/>
  </r>
  <r>
    <x v="0"/>
    <x v="0"/>
    <x v="0"/>
    <x v="2"/>
    <x v="2"/>
    <x v="2"/>
    <x v="11"/>
    <x v="1"/>
    <x v="10"/>
    <x v="1"/>
    <x v="15"/>
    <x v="2"/>
    <s v="AMARULA CREAM 6X700ML"/>
    <n v="7"/>
    <x v="2"/>
    <n v="210000"/>
  </r>
  <r>
    <x v="0"/>
    <x v="0"/>
    <x v="0"/>
    <x v="2"/>
    <x v="2"/>
    <x v="2"/>
    <x v="11"/>
    <x v="1"/>
    <x v="10"/>
    <x v="1"/>
    <x v="15"/>
    <x v="2"/>
    <s v="CHAMDOR RED"/>
    <n v="168"/>
    <x v="4"/>
    <n v="4636800"/>
  </r>
  <r>
    <x v="0"/>
    <x v="0"/>
    <x v="0"/>
    <x v="2"/>
    <x v="2"/>
    <x v="2"/>
    <x v="11"/>
    <x v="1"/>
    <x v="10"/>
    <x v="1"/>
    <x v="15"/>
    <x v="2"/>
    <s v="CHAMDOR WHITE"/>
    <n v="43"/>
    <x v="4"/>
    <n v="1186800"/>
  </r>
  <r>
    <x v="0"/>
    <x v="0"/>
    <x v="0"/>
    <x v="2"/>
    <x v="2"/>
    <x v="2"/>
    <x v="11"/>
    <x v="1"/>
    <x v="10"/>
    <x v="1"/>
    <x v="15"/>
    <x v="2"/>
    <s v="4TH STREET RED 6X75CL"/>
    <n v="84"/>
    <x v="5"/>
    <n v="1814400"/>
  </r>
  <r>
    <x v="0"/>
    <x v="0"/>
    <x v="0"/>
    <x v="2"/>
    <x v="2"/>
    <x v="2"/>
    <x v="11"/>
    <x v="1"/>
    <x v="10"/>
    <x v="1"/>
    <x v="15"/>
    <x v="2"/>
    <s v="4TH STREET WHITE 6X75CL"/>
    <n v="8"/>
    <x v="5"/>
    <n v="172800"/>
  </r>
  <r>
    <x v="0"/>
    <x v="0"/>
    <x v="0"/>
    <x v="2"/>
    <x v="2"/>
    <x v="2"/>
    <x v="11"/>
    <x v="1"/>
    <x v="10"/>
    <x v="1"/>
    <x v="15"/>
    <x v="2"/>
    <s v="4TH STREET ROSE 6X75CL"/>
    <n v="41"/>
    <x v="5"/>
    <n v="885600"/>
  </r>
  <r>
    <x v="0"/>
    <x v="0"/>
    <x v="0"/>
    <x v="2"/>
    <x v="2"/>
    <x v="2"/>
    <x v="11"/>
    <x v="1"/>
    <x v="10"/>
    <x v="1"/>
    <x v="15"/>
    <x v="2"/>
    <s v="4TH STREET 75CL NON ALCOHOLIC SWEET WINE"/>
    <n v="23"/>
    <x v="1"/>
    <n v="441600"/>
  </r>
  <r>
    <x v="0"/>
    <x v="0"/>
    <x v="0"/>
    <x v="2"/>
    <x v="2"/>
    <x v="2"/>
    <x v="11"/>
    <x v="1"/>
    <x v="10"/>
    <x v="1"/>
    <x v="15"/>
    <x v="2"/>
    <s v="NEDERBURG WINE MASTER RANGE SHIRAZ  6X750ML"/>
    <n v="3"/>
    <x v="6"/>
    <n v="276000"/>
  </r>
  <r>
    <x v="0"/>
    <x v="0"/>
    <x v="0"/>
    <x v="2"/>
    <x v="2"/>
    <x v="2"/>
    <x v="12"/>
    <x v="1"/>
    <x v="11"/>
    <x v="1"/>
    <x v="16"/>
    <x v="8"/>
    <s v="HUNTERS DRY 4X(6X330ML)"/>
    <n v="5"/>
    <x v="7"/>
    <n v="108000"/>
  </r>
  <r>
    <x v="0"/>
    <x v="0"/>
    <x v="0"/>
    <x v="2"/>
    <x v="2"/>
    <x v="2"/>
    <x v="12"/>
    <x v="1"/>
    <x v="11"/>
    <x v="1"/>
    <x v="16"/>
    <x v="8"/>
    <s v="TWO OCEAN SHIRAZ 6X75CL"/>
    <n v="3"/>
    <x v="10"/>
    <n v="90000"/>
  </r>
  <r>
    <x v="0"/>
    <x v="0"/>
    <x v="0"/>
    <x v="2"/>
    <x v="2"/>
    <x v="2"/>
    <x v="12"/>
    <x v="1"/>
    <x v="11"/>
    <x v="1"/>
    <x v="16"/>
    <x v="8"/>
    <s v="DROSTDY HOF 6X75CL RED CLARET "/>
    <n v="8"/>
    <x v="0"/>
    <n v="240000"/>
  </r>
  <r>
    <x v="0"/>
    <x v="0"/>
    <x v="0"/>
    <x v="2"/>
    <x v="2"/>
    <x v="2"/>
    <x v="12"/>
    <x v="1"/>
    <x v="11"/>
    <x v="1"/>
    <x v="16"/>
    <x v="8"/>
    <s v="DROSTY HOF RED CLARET 12X375ML"/>
    <n v="3"/>
    <x v="0"/>
    <n v="102000"/>
  </r>
  <r>
    <x v="0"/>
    <x v="0"/>
    <x v="0"/>
    <x v="2"/>
    <x v="2"/>
    <x v="2"/>
    <x v="12"/>
    <x v="1"/>
    <x v="11"/>
    <x v="1"/>
    <x v="16"/>
    <x v="8"/>
    <s v="AMARULA CREAM 6X700ML"/>
    <n v="20"/>
    <x v="2"/>
    <n v="600000"/>
  </r>
  <r>
    <x v="0"/>
    <x v="0"/>
    <x v="0"/>
    <x v="2"/>
    <x v="2"/>
    <x v="2"/>
    <x v="12"/>
    <x v="1"/>
    <x v="11"/>
    <x v="1"/>
    <x v="16"/>
    <x v="8"/>
    <s v="BAIN'S WHISKY 6X75CL"/>
    <n v="3"/>
    <x v="8"/>
    <n v="240000"/>
  </r>
  <r>
    <x v="0"/>
    <x v="0"/>
    <x v="0"/>
    <x v="2"/>
    <x v="2"/>
    <x v="2"/>
    <x v="12"/>
    <x v="1"/>
    <x v="11"/>
    <x v="1"/>
    <x v="16"/>
    <x v="8"/>
    <s v="CHAMDOR RED"/>
    <n v="120"/>
    <x v="4"/>
    <n v="3312000"/>
  </r>
  <r>
    <x v="0"/>
    <x v="0"/>
    <x v="0"/>
    <x v="2"/>
    <x v="2"/>
    <x v="2"/>
    <x v="12"/>
    <x v="1"/>
    <x v="11"/>
    <x v="1"/>
    <x v="16"/>
    <x v="8"/>
    <s v="CHAMDOR WHITE"/>
    <n v="30"/>
    <x v="4"/>
    <n v="828000"/>
  </r>
  <r>
    <x v="0"/>
    <x v="0"/>
    <x v="0"/>
    <x v="2"/>
    <x v="2"/>
    <x v="2"/>
    <x v="12"/>
    <x v="1"/>
    <x v="11"/>
    <x v="1"/>
    <x v="16"/>
    <x v="8"/>
    <s v="4TH STREET RED 6X75CL"/>
    <n v="18"/>
    <x v="5"/>
    <n v="388800"/>
  </r>
  <r>
    <x v="0"/>
    <x v="0"/>
    <x v="0"/>
    <x v="2"/>
    <x v="2"/>
    <x v="2"/>
    <x v="12"/>
    <x v="1"/>
    <x v="11"/>
    <x v="1"/>
    <x v="16"/>
    <x v="8"/>
    <s v="4TH STREET WHITE 6X75CL"/>
    <n v="10"/>
    <x v="5"/>
    <n v="216000"/>
  </r>
  <r>
    <x v="0"/>
    <x v="0"/>
    <x v="0"/>
    <x v="2"/>
    <x v="2"/>
    <x v="2"/>
    <x v="12"/>
    <x v="1"/>
    <x v="11"/>
    <x v="1"/>
    <x v="16"/>
    <x v="8"/>
    <s v="4TH STREET ROSE 6X75CL"/>
    <n v="9"/>
    <x v="5"/>
    <n v="194400"/>
  </r>
  <r>
    <x v="0"/>
    <x v="0"/>
    <x v="0"/>
    <x v="2"/>
    <x v="2"/>
    <x v="2"/>
    <x v="12"/>
    <x v="1"/>
    <x v="11"/>
    <x v="1"/>
    <x v="16"/>
    <x v="8"/>
    <s v="NEDERBURG WINE MASTER RANGE MERLOT  6X750ML"/>
    <n v="2"/>
    <x v="6"/>
    <n v="184000"/>
  </r>
  <r>
    <x v="0"/>
    <x v="0"/>
    <x v="0"/>
    <x v="2"/>
    <x v="2"/>
    <x v="2"/>
    <x v="12"/>
    <x v="1"/>
    <x v="11"/>
    <x v="1"/>
    <x v="16"/>
    <x v="8"/>
    <s v="NEDERBURG WINE MASTER RANGE PINOTAGE  6X750ML"/>
    <n v="1"/>
    <x v="6"/>
    <n v="92000"/>
  </r>
  <r>
    <x v="0"/>
    <x v="0"/>
    <x v="0"/>
    <x v="2"/>
    <x v="2"/>
    <x v="2"/>
    <x v="12"/>
    <x v="1"/>
    <x v="11"/>
    <x v="1"/>
    <x v="16"/>
    <x v="8"/>
    <s v="NEDERBURG WINE MASTER RANGE BARONNE  6X750ML"/>
    <n v="2"/>
    <x v="6"/>
    <n v="180000"/>
  </r>
  <r>
    <x v="0"/>
    <x v="0"/>
    <x v="0"/>
    <x v="2"/>
    <x v="2"/>
    <x v="2"/>
    <x v="12"/>
    <x v="1"/>
    <x v="11"/>
    <x v="1"/>
    <x v="16"/>
    <x v="8"/>
    <s v="NEDERBURG WINE MASTER RANGE CABERNET SAUVIGNON (BIG)  6X750ML"/>
    <n v="2"/>
    <x v="6"/>
    <n v="184000"/>
  </r>
  <r>
    <x v="0"/>
    <x v="0"/>
    <x v="0"/>
    <x v="2"/>
    <x v="2"/>
    <x v="2"/>
    <x v="13"/>
    <x v="1"/>
    <x v="12"/>
    <x v="0"/>
    <x v="17"/>
    <x v="9"/>
    <s v="HUNTERS DRY 4X(6X330ML)"/>
    <n v="4"/>
    <x v="7"/>
    <n v="86400"/>
  </r>
  <r>
    <x v="0"/>
    <x v="0"/>
    <x v="0"/>
    <x v="2"/>
    <x v="2"/>
    <x v="2"/>
    <x v="13"/>
    <x v="1"/>
    <x v="12"/>
    <x v="0"/>
    <x v="17"/>
    <x v="9"/>
    <s v="TWO OCEAN SHIRAZ 6X75CL"/>
    <n v="3"/>
    <x v="10"/>
    <n v="90000"/>
  </r>
  <r>
    <x v="0"/>
    <x v="0"/>
    <x v="0"/>
    <x v="2"/>
    <x v="2"/>
    <x v="2"/>
    <x v="13"/>
    <x v="1"/>
    <x v="12"/>
    <x v="0"/>
    <x v="17"/>
    <x v="9"/>
    <s v="DROSTDY HOF 6X75CL RED CLARET "/>
    <n v="38"/>
    <x v="0"/>
    <n v="1140000"/>
  </r>
  <r>
    <x v="0"/>
    <x v="0"/>
    <x v="0"/>
    <x v="2"/>
    <x v="2"/>
    <x v="2"/>
    <x v="13"/>
    <x v="1"/>
    <x v="12"/>
    <x v="0"/>
    <x v="17"/>
    <x v="9"/>
    <s v="DROSTY HOF RED CLARET 12X375ML"/>
    <n v="20"/>
    <x v="0"/>
    <n v="680000"/>
  </r>
  <r>
    <x v="0"/>
    <x v="0"/>
    <x v="0"/>
    <x v="2"/>
    <x v="2"/>
    <x v="2"/>
    <x v="13"/>
    <x v="1"/>
    <x v="12"/>
    <x v="0"/>
    <x v="17"/>
    <x v="9"/>
    <s v="AMARULA CREAM 12X375ML"/>
    <n v="5"/>
    <x v="2"/>
    <n v="217225"/>
  </r>
  <r>
    <x v="0"/>
    <x v="0"/>
    <x v="0"/>
    <x v="2"/>
    <x v="2"/>
    <x v="2"/>
    <x v="13"/>
    <x v="1"/>
    <x v="12"/>
    <x v="0"/>
    <x v="17"/>
    <x v="9"/>
    <s v="AMARULA CREAM 6X700ML"/>
    <n v="7"/>
    <x v="2"/>
    <n v="210000"/>
  </r>
  <r>
    <x v="0"/>
    <x v="0"/>
    <x v="0"/>
    <x v="2"/>
    <x v="2"/>
    <x v="2"/>
    <x v="13"/>
    <x v="1"/>
    <x v="12"/>
    <x v="0"/>
    <x v="17"/>
    <x v="9"/>
    <s v="BAIN'S WHISKY 6X75CL"/>
    <n v="2"/>
    <x v="8"/>
    <n v="160000"/>
  </r>
  <r>
    <x v="0"/>
    <x v="0"/>
    <x v="0"/>
    <x v="2"/>
    <x v="2"/>
    <x v="2"/>
    <x v="13"/>
    <x v="1"/>
    <x v="12"/>
    <x v="0"/>
    <x v="17"/>
    <x v="9"/>
    <s v="CHAMDOR RED"/>
    <n v="92"/>
    <x v="4"/>
    <n v="2539200"/>
  </r>
  <r>
    <x v="0"/>
    <x v="0"/>
    <x v="0"/>
    <x v="2"/>
    <x v="2"/>
    <x v="2"/>
    <x v="13"/>
    <x v="1"/>
    <x v="12"/>
    <x v="0"/>
    <x v="17"/>
    <x v="9"/>
    <s v="CHAMDOR WHITE"/>
    <n v="5"/>
    <x v="4"/>
    <n v="138000"/>
  </r>
  <r>
    <x v="0"/>
    <x v="0"/>
    <x v="0"/>
    <x v="2"/>
    <x v="2"/>
    <x v="2"/>
    <x v="13"/>
    <x v="1"/>
    <x v="12"/>
    <x v="0"/>
    <x v="17"/>
    <x v="9"/>
    <s v="4TH STREET RED 6X75CL"/>
    <n v="44"/>
    <x v="5"/>
    <n v="950400"/>
  </r>
  <r>
    <x v="0"/>
    <x v="0"/>
    <x v="0"/>
    <x v="2"/>
    <x v="2"/>
    <x v="2"/>
    <x v="13"/>
    <x v="1"/>
    <x v="12"/>
    <x v="0"/>
    <x v="17"/>
    <x v="9"/>
    <s v="4TH STREET WHITE 6X75CL"/>
    <n v="12"/>
    <x v="5"/>
    <n v="259200"/>
  </r>
  <r>
    <x v="0"/>
    <x v="0"/>
    <x v="0"/>
    <x v="2"/>
    <x v="2"/>
    <x v="2"/>
    <x v="13"/>
    <x v="1"/>
    <x v="12"/>
    <x v="0"/>
    <x v="17"/>
    <x v="9"/>
    <s v="4TH STREET ROSE 6X75CL"/>
    <n v="15"/>
    <x v="5"/>
    <n v="324000"/>
  </r>
  <r>
    <x v="0"/>
    <x v="0"/>
    <x v="0"/>
    <x v="2"/>
    <x v="2"/>
    <x v="2"/>
    <x v="13"/>
    <x v="1"/>
    <x v="12"/>
    <x v="0"/>
    <x v="17"/>
    <x v="9"/>
    <s v="4TH STREET 75CL NON ALCOHOLIC SWEET WINE"/>
    <n v="57"/>
    <x v="1"/>
    <n v="1094400"/>
  </r>
  <r>
    <x v="0"/>
    <x v="0"/>
    <x v="0"/>
    <x v="2"/>
    <x v="2"/>
    <x v="2"/>
    <x v="13"/>
    <x v="1"/>
    <x v="12"/>
    <x v="0"/>
    <x v="17"/>
    <x v="9"/>
    <s v="NEDERBURG WINE MASTER RANGE SHIRAZ  6X750ML"/>
    <n v="10"/>
    <x v="6"/>
    <n v="920000"/>
  </r>
  <r>
    <x v="0"/>
    <x v="0"/>
    <x v="0"/>
    <x v="2"/>
    <x v="2"/>
    <x v="2"/>
    <x v="13"/>
    <x v="1"/>
    <x v="12"/>
    <x v="0"/>
    <x v="17"/>
    <x v="9"/>
    <s v="NEDERBURG WINE MASTER RANGE PINOTAGE  6X750ML"/>
    <n v="2"/>
    <x v="6"/>
    <n v="184000"/>
  </r>
  <r>
    <x v="0"/>
    <x v="0"/>
    <x v="0"/>
    <x v="2"/>
    <x v="2"/>
    <x v="2"/>
    <x v="13"/>
    <x v="1"/>
    <x v="12"/>
    <x v="0"/>
    <x v="17"/>
    <x v="9"/>
    <s v="NEDERBURG WINE MASTER RANGE CABERNET SAUVIGNON (BIG)  6X750ML"/>
    <n v="10"/>
    <x v="6"/>
    <n v="920000"/>
  </r>
  <r>
    <x v="0"/>
    <x v="0"/>
    <x v="0"/>
    <x v="2"/>
    <x v="2"/>
    <x v="2"/>
    <x v="13"/>
    <x v="1"/>
    <x v="12"/>
    <x v="0"/>
    <x v="17"/>
    <x v="9"/>
    <s v="NEDERBURG WINE MASTER RANGE CURVEE BRUT  6X750ML"/>
    <n v="1"/>
    <x v="6"/>
    <n v="81000"/>
  </r>
  <r>
    <x v="0"/>
    <x v="0"/>
    <x v="0"/>
    <x v="2"/>
    <x v="2"/>
    <x v="2"/>
    <x v="13"/>
    <x v="1"/>
    <x v="12"/>
    <x v="0"/>
    <x v="17"/>
    <x v="9"/>
    <s v="NEDERBURG FOUNDATION RANGE DUET  6X750ML"/>
    <n v="4"/>
    <x v="6"/>
    <n v="324000"/>
  </r>
  <r>
    <x v="0"/>
    <x v="0"/>
    <x v="0"/>
    <x v="2"/>
    <x v="2"/>
    <x v="2"/>
    <x v="13"/>
    <x v="1"/>
    <x v="12"/>
    <x v="1"/>
    <x v="18"/>
    <x v="9"/>
    <s v="HUNTERS DRY 4X(6X330ML)"/>
    <n v="1"/>
    <x v="7"/>
    <n v="21600"/>
  </r>
  <r>
    <x v="0"/>
    <x v="0"/>
    <x v="0"/>
    <x v="2"/>
    <x v="2"/>
    <x v="2"/>
    <x v="13"/>
    <x v="1"/>
    <x v="12"/>
    <x v="1"/>
    <x v="18"/>
    <x v="9"/>
    <s v="DROSTDY HOF 6X75CL RED CLARET "/>
    <n v="3"/>
    <x v="0"/>
    <n v="90000"/>
  </r>
  <r>
    <x v="0"/>
    <x v="0"/>
    <x v="0"/>
    <x v="2"/>
    <x v="2"/>
    <x v="2"/>
    <x v="13"/>
    <x v="1"/>
    <x v="12"/>
    <x v="1"/>
    <x v="18"/>
    <x v="9"/>
    <s v="DROSTY HOF RED CLARET 12X375ML"/>
    <n v="2"/>
    <x v="0"/>
    <n v="68000"/>
  </r>
  <r>
    <x v="0"/>
    <x v="0"/>
    <x v="0"/>
    <x v="2"/>
    <x v="2"/>
    <x v="2"/>
    <x v="13"/>
    <x v="1"/>
    <x v="12"/>
    <x v="1"/>
    <x v="18"/>
    <x v="9"/>
    <s v="CHAMDOR RED"/>
    <n v="69"/>
    <x v="4"/>
    <n v="1904400"/>
  </r>
  <r>
    <x v="0"/>
    <x v="0"/>
    <x v="0"/>
    <x v="2"/>
    <x v="2"/>
    <x v="2"/>
    <x v="13"/>
    <x v="1"/>
    <x v="12"/>
    <x v="1"/>
    <x v="18"/>
    <x v="9"/>
    <s v="CHAMDOR WHITE"/>
    <n v="10"/>
    <x v="4"/>
    <n v="276000"/>
  </r>
  <r>
    <x v="0"/>
    <x v="0"/>
    <x v="0"/>
    <x v="2"/>
    <x v="2"/>
    <x v="2"/>
    <x v="13"/>
    <x v="1"/>
    <x v="12"/>
    <x v="1"/>
    <x v="18"/>
    <x v="9"/>
    <s v="4TH STREET RED 6X75CL"/>
    <n v="27"/>
    <x v="5"/>
    <n v="583200"/>
  </r>
  <r>
    <x v="0"/>
    <x v="0"/>
    <x v="0"/>
    <x v="2"/>
    <x v="2"/>
    <x v="2"/>
    <x v="13"/>
    <x v="1"/>
    <x v="12"/>
    <x v="1"/>
    <x v="18"/>
    <x v="9"/>
    <s v="4TH STREET WHITE 6X75CL"/>
    <n v="4"/>
    <x v="5"/>
    <n v="86400"/>
  </r>
  <r>
    <x v="0"/>
    <x v="0"/>
    <x v="0"/>
    <x v="2"/>
    <x v="2"/>
    <x v="2"/>
    <x v="13"/>
    <x v="1"/>
    <x v="12"/>
    <x v="1"/>
    <x v="18"/>
    <x v="9"/>
    <s v="4TH STREET ROSE 6X75CL"/>
    <n v="2"/>
    <x v="5"/>
    <n v="43200"/>
  </r>
  <r>
    <x v="0"/>
    <x v="0"/>
    <x v="0"/>
    <x v="2"/>
    <x v="2"/>
    <x v="2"/>
    <x v="13"/>
    <x v="1"/>
    <x v="12"/>
    <x v="1"/>
    <x v="18"/>
    <x v="9"/>
    <s v="4TH STREET 75CL NON ALCOHOLIC SWEET WINE"/>
    <n v="22"/>
    <x v="1"/>
    <n v="422400"/>
  </r>
  <r>
    <x v="0"/>
    <x v="0"/>
    <x v="0"/>
    <x v="2"/>
    <x v="2"/>
    <x v="2"/>
    <x v="14"/>
    <x v="1"/>
    <x v="13"/>
    <x v="0"/>
    <x v="19"/>
    <x v="10"/>
    <s v="DROSTDY HOF 6X75CL RED CLARET "/>
    <n v="35"/>
    <x v="0"/>
    <n v="1050000"/>
  </r>
  <r>
    <x v="0"/>
    <x v="0"/>
    <x v="0"/>
    <x v="2"/>
    <x v="2"/>
    <x v="2"/>
    <x v="14"/>
    <x v="1"/>
    <x v="13"/>
    <x v="0"/>
    <x v="19"/>
    <x v="10"/>
    <s v="CHAMDOR RED"/>
    <n v="336"/>
    <x v="4"/>
    <n v="9273600"/>
  </r>
  <r>
    <x v="0"/>
    <x v="0"/>
    <x v="0"/>
    <x v="2"/>
    <x v="2"/>
    <x v="2"/>
    <x v="14"/>
    <x v="1"/>
    <x v="13"/>
    <x v="0"/>
    <x v="19"/>
    <x v="10"/>
    <s v="4TH STREET RED 6X75CL"/>
    <n v="69"/>
    <x v="5"/>
    <n v="1490400"/>
  </r>
  <r>
    <x v="0"/>
    <x v="0"/>
    <x v="0"/>
    <x v="2"/>
    <x v="2"/>
    <x v="2"/>
    <x v="14"/>
    <x v="1"/>
    <x v="13"/>
    <x v="0"/>
    <x v="19"/>
    <x v="10"/>
    <s v="4TH STREET SPARKLING RED"/>
    <n v="34"/>
    <x v="3"/>
    <n v="795600"/>
  </r>
  <r>
    <x v="0"/>
    <x v="0"/>
    <x v="0"/>
    <x v="2"/>
    <x v="2"/>
    <x v="2"/>
    <x v="14"/>
    <x v="1"/>
    <x v="13"/>
    <x v="0"/>
    <x v="19"/>
    <x v="10"/>
    <s v="4TH STREET 75CL NON ALCOHOLIC SWEET WINE"/>
    <n v="46"/>
    <x v="1"/>
    <n v="883200"/>
  </r>
  <r>
    <x v="0"/>
    <x v="0"/>
    <x v="0"/>
    <x v="2"/>
    <x v="2"/>
    <x v="2"/>
    <x v="14"/>
    <x v="1"/>
    <x v="13"/>
    <x v="1"/>
    <x v="20"/>
    <x v="10"/>
    <s v="DROSTDY HOF 6X75CL RED CLARET "/>
    <n v="4"/>
    <x v="0"/>
    <n v="120000"/>
  </r>
  <r>
    <x v="0"/>
    <x v="0"/>
    <x v="0"/>
    <x v="2"/>
    <x v="2"/>
    <x v="2"/>
    <x v="14"/>
    <x v="1"/>
    <x v="13"/>
    <x v="1"/>
    <x v="20"/>
    <x v="10"/>
    <s v="CHAMDOR RED"/>
    <n v="117"/>
    <x v="4"/>
    <n v="3229200"/>
  </r>
  <r>
    <x v="0"/>
    <x v="0"/>
    <x v="0"/>
    <x v="2"/>
    <x v="2"/>
    <x v="2"/>
    <x v="14"/>
    <x v="1"/>
    <x v="13"/>
    <x v="1"/>
    <x v="20"/>
    <x v="10"/>
    <s v="4TH STREET RED 6X75CL"/>
    <n v="74"/>
    <x v="5"/>
    <n v="1598400"/>
  </r>
  <r>
    <x v="0"/>
    <x v="0"/>
    <x v="0"/>
    <x v="2"/>
    <x v="2"/>
    <x v="2"/>
    <x v="0"/>
    <x v="0"/>
    <x v="0"/>
    <x v="0"/>
    <x v="0"/>
    <x v="0"/>
    <s v="HUNTERS DRY 4X(6X330ML)"/>
    <n v="6"/>
    <x v="7"/>
    <n v="129600"/>
  </r>
  <r>
    <x v="0"/>
    <x v="0"/>
    <x v="0"/>
    <x v="2"/>
    <x v="2"/>
    <x v="2"/>
    <x v="0"/>
    <x v="0"/>
    <x v="0"/>
    <x v="0"/>
    <x v="0"/>
    <x v="0"/>
    <s v="HUNTERS GOLD 4X(6X330ML)"/>
    <n v="5"/>
    <x v="7"/>
    <n v="108000"/>
  </r>
  <r>
    <x v="0"/>
    <x v="0"/>
    <x v="0"/>
    <x v="2"/>
    <x v="2"/>
    <x v="2"/>
    <x v="0"/>
    <x v="0"/>
    <x v="0"/>
    <x v="0"/>
    <x v="0"/>
    <x v="0"/>
    <s v="DROSTDY HOF 6X75CL RED CLARET "/>
    <n v="60"/>
    <x v="0"/>
    <n v="1800000"/>
  </r>
  <r>
    <x v="0"/>
    <x v="0"/>
    <x v="0"/>
    <x v="2"/>
    <x v="2"/>
    <x v="2"/>
    <x v="0"/>
    <x v="0"/>
    <x v="0"/>
    <x v="0"/>
    <x v="0"/>
    <x v="0"/>
    <s v="DROSTY HOF RED CLARET 12X375ML"/>
    <n v="10"/>
    <x v="0"/>
    <n v="340000"/>
  </r>
  <r>
    <x v="0"/>
    <x v="0"/>
    <x v="0"/>
    <x v="2"/>
    <x v="2"/>
    <x v="2"/>
    <x v="0"/>
    <x v="0"/>
    <x v="0"/>
    <x v="0"/>
    <x v="0"/>
    <x v="0"/>
    <s v="AMARULA CREAM 6X700ML"/>
    <n v="8"/>
    <x v="2"/>
    <n v="240000"/>
  </r>
  <r>
    <x v="0"/>
    <x v="0"/>
    <x v="0"/>
    <x v="2"/>
    <x v="2"/>
    <x v="2"/>
    <x v="0"/>
    <x v="0"/>
    <x v="0"/>
    <x v="0"/>
    <x v="0"/>
    <x v="0"/>
    <s v="CHAMDOR RED"/>
    <n v="100"/>
    <x v="4"/>
    <n v="2760000"/>
  </r>
  <r>
    <x v="0"/>
    <x v="0"/>
    <x v="0"/>
    <x v="2"/>
    <x v="2"/>
    <x v="2"/>
    <x v="0"/>
    <x v="0"/>
    <x v="0"/>
    <x v="0"/>
    <x v="0"/>
    <x v="0"/>
    <s v="4TH STREET RED 6X75CL"/>
    <n v="90"/>
    <x v="5"/>
    <n v="1944000"/>
  </r>
  <r>
    <x v="0"/>
    <x v="0"/>
    <x v="0"/>
    <x v="2"/>
    <x v="2"/>
    <x v="2"/>
    <x v="0"/>
    <x v="0"/>
    <x v="0"/>
    <x v="0"/>
    <x v="0"/>
    <x v="0"/>
    <s v="4TH STREET WHITE 6X75CL"/>
    <n v="10"/>
    <x v="5"/>
    <n v="216000"/>
  </r>
  <r>
    <x v="0"/>
    <x v="0"/>
    <x v="0"/>
    <x v="2"/>
    <x v="2"/>
    <x v="2"/>
    <x v="0"/>
    <x v="0"/>
    <x v="0"/>
    <x v="0"/>
    <x v="0"/>
    <x v="0"/>
    <s v="4TH STREET ROSE 6X75CL"/>
    <n v="7"/>
    <x v="5"/>
    <n v="151200"/>
  </r>
  <r>
    <x v="0"/>
    <x v="0"/>
    <x v="0"/>
    <x v="2"/>
    <x v="2"/>
    <x v="2"/>
    <x v="0"/>
    <x v="0"/>
    <x v="0"/>
    <x v="0"/>
    <x v="0"/>
    <x v="0"/>
    <s v="4TH STREET 75CL NON ALCOHOLIC SWEET WINE"/>
    <n v="20"/>
    <x v="1"/>
    <n v="384000"/>
  </r>
  <r>
    <x v="0"/>
    <x v="0"/>
    <x v="0"/>
    <x v="2"/>
    <x v="2"/>
    <x v="2"/>
    <x v="0"/>
    <x v="0"/>
    <x v="0"/>
    <x v="0"/>
    <x v="0"/>
    <x v="0"/>
    <s v="NEDERBURG WINE MASTER RANGE MERLOT  6X750ML"/>
    <n v="10"/>
    <x v="6"/>
    <n v="920000"/>
  </r>
  <r>
    <x v="0"/>
    <x v="0"/>
    <x v="0"/>
    <x v="2"/>
    <x v="2"/>
    <x v="2"/>
    <x v="1"/>
    <x v="0"/>
    <x v="0"/>
    <x v="0"/>
    <x v="1"/>
    <x v="1"/>
    <s v="HUNTERS DRY 4X(6X330ML)"/>
    <n v="10"/>
    <x v="7"/>
    <n v="216000"/>
  </r>
  <r>
    <x v="0"/>
    <x v="0"/>
    <x v="0"/>
    <x v="2"/>
    <x v="2"/>
    <x v="2"/>
    <x v="1"/>
    <x v="0"/>
    <x v="0"/>
    <x v="0"/>
    <x v="1"/>
    <x v="1"/>
    <s v="HUNTERS GOLD 4X(6X330ML)"/>
    <n v="20"/>
    <x v="7"/>
    <n v="432000"/>
  </r>
  <r>
    <x v="0"/>
    <x v="0"/>
    <x v="0"/>
    <x v="2"/>
    <x v="2"/>
    <x v="2"/>
    <x v="1"/>
    <x v="0"/>
    <x v="0"/>
    <x v="0"/>
    <x v="1"/>
    <x v="1"/>
    <s v="DROSTDY HOF 6X75CL RED CLARET "/>
    <n v="60"/>
    <x v="0"/>
    <n v="1800000"/>
  </r>
  <r>
    <x v="0"/>
    <x v="0"/>
    <x v="0"/>
    <x v="2"/>
    <x v="2"/>
    <x v="2"/>
    <x v="1"/>
    <x v="0"/>
    <x v="0"/>
    <x v="0"/>
    <x v="1"/>
    <x v="1"/>
    <s v="DROSTY HOF RED CLARET 12X375ML"/>
    <n v="20"/>
    <x v="0"/>
    <n v="680000"/>
  </r>
  <r>
    <x v="0"/>
    <x v="0"/>
    <x v="0"/>
    <x v="2"/>
    <x v="2"/>
    <x v="2"/>
    <x v="1"/>
    <x v="0"/>
    <x v="0"/>
    <x v="0"/>
    <x v="1"/>
    <x v="1"/>
    <s v="AMARULA CREAM 6X700ML"/>
    <n v="10"/>
    <x v="2"/>
    <n v="300000"/>
  </r>
  <r>
    <x v="0"/>
    <x v="0"/>
    <x v="0"/>
    <x v="2"/>
    <x v="2"/>
    <x v="2"/>
    <x v="1"/>
    <x v="0"/>
    <x v="0"/>
    <x v="0"/>
    <x v="1"/>
    <x v="1"/>
    <s v="BAIN'S WHISKY 6X75CL"/>
    <n v="5"/>
    <x v="8"/>
    <n v="400000"/>
  </r>
  <r>
    <x v="0"/>
    <x v="0"/>
    <x v="0"/>
    <x v="2"/>
    <x v="2"/>
    <x v="2"/>
    <x v="1"/>
    <x v="0"/>
    <x v="0"/>
    <x v="0"/>
    <x v="1"/>
    <x v="1"/>
    <s v="SCOTTISH LEADER 6X75CL"/>
    <n v="3"/>
    <x v="11"/>
    <n v="180000"/>
  </r>
  <r>
    <x v="0"/>
    <x v="0"/>
    <x v="0"/>
    <x v="2"/>
    <x v="2"/>
    <x v="2"/>
    <x v="1"/>
    <x v="0"/>
    <x v="0"/>
    <x v="0"/>
    <x v="1"/>
    <x v="1"/>
    <s v="CHAMDOR RED"/>
    <n v="230"/>
    <x v="4"/>
    <n v="6348000"/>
  </r>
  <r>
    <x v="0"/>
    <x v="0"/>
    <x v="0"/>
    <x v="2"/>
    <x v="2"/>
    <x v="2"/>
    <x v="1"/>
    <x v="0"/>
    <x v="0"/>
    <x v="0"/>
    <x v="1"/>
    <x v="1"/>
    <s v="4TH STREET RED 6X75CL"/>
    <n v="112"/>
    <x v="5"/>
    <n v="2419200"/>
  </r>
  <r>
    <x v="0"/>
    <x v="0"/>
    <x v="0"/>
    <x v="2"/>
    <x v="2"/>
    <x v="2"/>
    <x v="1"/>
    <x v="0"/>
    <x v="0"/>
    <x v="0"/>
    <x v="1"/>
    <x v="1"/>
    <s v="4TH STREET 75CL NON ALCOHOLIC SWEET WINE"/>
    <n v="100"/>
    <x v="1"/>
    <n v="1920000"/>
  </r>
  <r>
    <x v="0"/>
    <x v="0"/>
    <x v="0"/>
    <x v="2"/>
    <x v="2"/>
    <x v="2"/>
    <x v="1"/>
    <x v="0"/>
    <x v="0"/>
    <x v="0"/>
    <x v="1"/>
    <x v="1"/>
    <s v="NEDERBURG WINE MASTER RANGE MERLOT  6X750ML"/>
    <n v="25"/>
    <x v="6"/>
    <n v="2300000"/>
  </r>
  <r>
    <x v="0"/>
    <x v="0"/>
    <x v="0"/>
    <x v="2"/>
    <x v="2"/>
    <x v="2"/>
    <x v="3"/>
    <x v="0"/>
    <x v="0"/>
    <x v="1"/>
    <x v="9"/>
    <x v="1"/>
    <s v="DROSTDY HOF 6X75CL RED CLARET "/>
    <n v="2"/>
    <x v="0"/>
    <n v="60000"/>
  </r>
  <r>
    <x v="0"/>
    <x v="0"/>
    <x v="0"/>
    <x v="2"/>
    <x v="2"/>
    <x v="2"/>
    <x v="3"/>
    <x v="0"/>
    <x v="0"/>
    <x v="1"/>
    <x v="9"/>
    <x v="1"/>
    <s v="CHAMDOR RED"/>
    <n v="98"/>
    <x v="4"/>
    <n v="2704800"/>
  </r>
  <r>
    <x v="0"/>
    <x v="0"/>
    <x v="0"/>
    <x v="2"/>
    <x v="2"/>
    <x v="2"/>
    <x v="3"/>
    <x v="0"/>
    <x v="0"/>
    <x v="1"/>
    <x v="9"/>
    <x v="1"/>
    <s v="CHAMDOR WHITE"/>
    <n v="5"/>
    <x v="4"/>
    <n v="138000"/>
  </r>
  <r>
    <x v="0"/>
    <x v="0"/>
    <x v="0"/>
    <x v="2"/>
    <x v="2"/>
    <x v="2"/>
    <x v="3"/>
    <x v="0"/>
    <x v="0"/>
    <x v="1"/>
    <x v="9"/>
    <x v="1"/>
    <s v="4TH STREET RED 6X75CL"/>
    <n v="88"/>
    <x v="5"/>
    <n v="1900800"/>
  </r>
  <r>
    <x v="0"/>
    <x v="0"/>
    <x v="0"/>
    <x v="2"/>
    <x v="2"/>
    <x v="2"/>
    <x v="2"/>
    <x v="0"/>
    <x v="0"/>
    <x v="1"/>
    <x v="2"/>
    <x v="0"/>
    <s v="HUNTERS DRY 4X(6X330ML)"/>
    <n v="8"/>
    <x v="7"/>
    <n v="172800"/>
  </r>
  <r>
    <x v="0"/>
    <x v="0"/>
    <x v="0"/>
    <x v="2"/>
    <x v="2"/>
    <x v="2"/>
    <x v="2"/>
    <x v="0"/>
    <x v="0"/>
    <x v="1"/>
    <x v="2"/>
    <x v="0"/>
    <s v="HUNTERS GOLD 4X(6X330ML)"/>
    <n v="104"/>
    <x v="7"/>
    <n v="2246400"/>
  </r>
  <r>
    <x v="0"/>
    <x v="0"/>
    <x v="0"/>
    <x v="2"/>
    <x v="2"/>
    <x v="2"/>
    <x v="2"/>
    <x v="0"/>
    <x v="0"/>
    <x v="1"/>
    <x v="2"/>
    <x v="0"/>
    <s v="DROSTDY HOF 6X75CL RED CLARET "/>
    <n v="1"/>
    <x v="0"/>
    <n v="30000"/>
  </r>
  <r>
    <x v="0"/>
    <x v="0"/>
    <x v="0"/>
    <x v="2"/>
    <x v="2"/>
    <x v="2"/>
    <x v="2"/>
    <x v="0"/>
    <x v="0"/>
    <x v="1"/>
    <x v="2"/>
    <x v="0"/>
    <s v="AMARULA CREAM 6X700ML"/>
    <n v="10"/>
    <x v="2"/>
    <n v="300000"/>
  </r>
  <r>
    <x v="0"/>
    <x v="0"/>
    <x v="0"/>
    <x v="2"/>
    <x v="2"/>
    <x v="2"/>
    <x v="2"/>
    <x v="0"/>
    <x v="0"/>
    <x v="1"/>
    <x v="2"/>
    <x v="0"/>
    <s v="CHAMDOR RED"/>
    <n v="173"/>
    <x v="4"/>
    <n v="4774800"/>
  </r>
  <r>
    <x v="0"/>
    <x v="0"/>
    <x v="0"/>
    <x v="2"/>
    <x v="2"/>
    <x v="2"/>
    <x v="2"/>
    <x v="0"/>
    <x v="0"/>
    <x v="1"/>
    <x v="2"/>
    <x v="0"/>
    <s v="4TH STREET RED 6X75CL"/>
    <n v="83"/>
    <x v="5"/>
    <n v="1792800"/>
  </r>
  <r>
    <x v="0"/>
    <x v="0"/>
    <x v="0"/>
    <x v="2"/>
    <x v="2"/>
    <x v="2"/>
    <x v="2"/>
    <x v="0"/>
    <x v="0"/>
    <x v="1"/>
    <x v="2"/>
    <x v="0"/>
    <s v="4TH STREET WHITE 6X75CL"/>
    <n v="3"/>
    <x v="5"/>
    <n v="64800"/>
  </r>
  <r>
    <x v="0"/>
    <x v="0"/>
    <x v="0"/>
    <x v="2"/>
    <x v="2"/>
    <x v="2"/>
    <x v="2"/>
    <x v="0"/>
    <x v="0"/>
    <x v="1"/>
    <x v="2"/>
    <x v="0"/>
    <s v="4TH STREET 75CL NON ALCOHOLIC SWEET WINE"/>
    <n v="54"/>
    <x v="1"/>
    <n v="1036800"/>
  </r>
  <r>
    <x v="0"/>
    <x v="0"/>
    <x v="0"/>
    <x v="2"/>
    <x v="2"/>
    <x v="2"/>
    <x v="2"/>
    <x v="0"/>
    <x v="5"/>
    <x v="1"/>
    <x v="10"/>
    <x v="5"/>
    <s v="HUNTERS DRY 4X(6X330ML)"/>
    <n v="12"/>
    <x v="7"/>
    <n v="259200"/>
  </r>
  <r>
    <x v="0"/>
    <x v="0"/>
    <x v="0"/>
    <x v="2"/>
    <x v="2"/>
    <x v="2"/>
    <x v="2"/>
    <x v="0"/>
    <x v="5"/>
    <x v="1"/>
    <x v="10"/>
    <x v="5"/>
    <s v="CHAMDOR RED"/>
    <n v="145"/>
    <x v="4"/>
    <n v="4002000"/>
  </r>
  <r>
    <x v="0"/>
    <x v="0"/>
    <x v="0"/>
    <x v="2"/>
    <x v="2"/>
    <x v="2"/>
    <x v="2"/>
    <x v="0"/>
    <x v="5"/>
    <x v="1"/>
    <x v="10"/>
    <x v="5"/>
    <s v="4TH STREET RED 6X75CL"/>
    <n v="75"/>
    <x v="5"/>
    <n v="1620000"/>
  </r>
  <r>
    <x v="0"/>
    <x v="0"/>
    <x v="0"/>
    <x v="2"/>
    <x v="2"/>
    <x v="2"/>
    <x v="8"/>
    <x v="0"/>
    <x v="4"/>
    <x v="1"/>
    <x v="8"/>
    <x v="5"/>
    <s v="AMARULA CREAM 6X700ML"/>
    <n v="3"/>
    <x v="2"/>
    <n v="90000"/>
  </r>
  <r>
    <x v="0"/>
    <x v="0"/>
    <x v="0"/>
    <x v="2"/>
    <x v="2"/>
    <x v="2"/>
    <x v="8"/>
    <x v="0"/>
    <x v="4"/>
    <x v="1"/>
    <x v="8"/>
    <x v="5"/>
    <s v="CHAMDOR RED"/>
    <n v="56"/>
    <x v="4"/>
    <n v="1545600"/>
  </r>
  <r>
    <x v="0"/>
    <x v="0"/>
    <x v="0"/>
    <x v="2"/>
    <x v="2"/>
    <x v="2"/>
    <x v="8"/>
    <x v="0"/>
    <x v="4"/>
    <x v="1"/>
    <x v="8"/>
    <x v="5"/>
    <s v="4TH STREET RED 6X75CL"/>
    <n v="46"/>
    <x v="5"/>
    <n v="993600"/>
  </r>
  <r>
    <x v="0"/>
    <x v="0"/>
    <x v="0"/>
    <x v="2"/>
    <x v="2"/>
    <x v="2"/>
    <x v="8"/>
    <x v="0"/>
    <x v="4"/>
    <x v="1"/>
    <x v="8"/>
    <x v="5"/>
    <s v="4TH STREET 75CL NON ALCOHOLIC SWEET WINE"/>
    <n v="42"/>
    <x v="1"/>
    <n v="806400"/>
  </r>
  <r>
    <x v="0"/>
    <x v="0"/>
    <x v="0"/>
    <x v="2"/>
    <x v="2"/>
    <x v="2"/>
    <x v="3"/>
    <x v="0"/>
    <x v="0"/>
    <x v="1"/>
    <x v="3"/>
    <x v="1"/>
    <s v="DROSTDY HOF 6X75CL RED CLARET "/>
    <n v="13"/>
    <x v="0"/>
    <n v="390000"/>
  </r>
  <r>
    <x v="0"/>
    <x v="0"/>
    <x v="0"/>
    <x v="2"/>
    <x v="2"/>
    <x v="2"/>
    <x v="3"/>
    <x v="0"/>
    <x v="0"/>
    <x v="1"/>
    <x v="3"/>
    <x v="1"/>
    <s v="CHAMDOR RED"/>
    <n v="120"/>
    <x v="4"/>
    <n v="3312000"/>
  </r>
  <r>
    <x v="0"/>
    <x v="0"/>
    <x v="0"/>
    <x v="2"/>
    <x v="2"/>
    <x v="2"/>
    <x v="3"/>
    <x v="0"/>
    <x v="0"/>
    <x v="1"/>
    <x v="3"/>
    <x v="1"/>
    <s v="CHAMDOR WHITE"/>
    <n v="15"/>
    <x v="4"/>
    <n v="414000"/>
  </r>
  <r>
    <x v="0"/>
    <x v="0"/>
    <x v="0"/>
    <x v="2"/>
    <x v="2"/>
    <x v="2"/>
    <x v="3"/>
    <x v="0"/>
    <x v="0"/>
    <x v="1"/>
    <x v="3"/>
    <x v="1"/>
    <s v="4TH STREET RED 6X75CL"/>
    <n v="95"/>
    <x v="5"/>
    <n v="2052000"/>
  </r>
  <r>
    <x v="0"/>
    <x v="0"/>
    <x v="0"/>
    <x v="2"/>
    <x v="2"/>
    <x v="2"/>
    <x v="3"/>
    <x v="0"/>
    <x v="0"/>
    <x v="1"/>
    <x v="3"/>
    <x v="1"/>
    <s v="4TH STREET ROSE 6X75CL"/>
    <n v="10"/>
    <x v="5"/>
    <n v="216000"/>
  </r>
  <r>
    <x v="0"/>
    <x v="0"/>
    <x v="0"/>
    <x v="2"/>
    <x v="2"/>
    <x v="2"/>
    <x v="3"/>
    <x v="0"/>
    <x v="0"/>
    <x v="1"/>
    <x v="3"/>
    <x v="1"/>
    <s v="4TH STREET 75CL NON ALCOHOLIC SWEET WINE"/>
    <n v="13"/>
    <x v="1"/>
    <n v="249600"/>
  </r>
  <r>
    <x v="0"/>
    <x v="0"/>
    <x v="0"/>
    <x v="2"/>
    <x v="2"/>
    <x v="2"/>
    <x v="3"/>
    <x v="0"/>
    <x v="0"/>
    <x v="1"/>
    <x v="3"/>
    <x v="1"/>
    <s v="NEDERBURG WINE MASTER RANGE MERLOT  6X750ML"/>
    <n v="2"/>
    <x v="6"/>
    <n v="184000"/>
  </r>
  <r>
    <x v="0"/>
    <x v="0"/>
    <x v="0"/>
    <x v="2"/>
    <x v="2"/>
    <x v="2"/>
    <x v="3"/>
    <x v="0"/>
    <x v="0"/>
    <x v="1"/>
    <x v="3"/>
    <x v="1"/>
    <s v="NEDERBURG WINE MASTER RANGE SHIRAZ  6X750ML"/>
    <n v="2"/>
    <x v="6"/>
    <n v="184000"/>
  </r>
  <r>
    <x v="0"/>
    <x v="0"/>
    <x v="0"/>
    <x v="2"/>
    <x v="2"/>
    <x v="2"/>
    <x v="16"/>
    <x v="3"/>
    <x v="16"/>
    <x v="1"/>
    <x v="28"/>
    <x v="13"/>
    <s v="HUNTERS DRY 4X(6X330ML)"/>
    <n v="80"/>
    <x v="7"/>
    <n v="1728000"/>
  </r>
  <r>
    <x v="0"/>
    <x v="0"/>
    <x v="0"/>
    <x v="2"/>
    <x v="2"/>
    <x v="2"/>
    <x v="16"/>
    <x v="3"/>
    <x v="16"/>
    <x v="1"/>
    <x v="28"/>
    <x v="13"/>
    <s v="TWO OCEAN SHIRAZ 6X75CL"/>
    <n v="16"/>
    <x v="10"/>
    <n v="480000"/>
  </r>
  <r>
    <x v="0"/>
    <x v="0"/>
    <x v="0"/>
    <x v="2"/>
    <x v="2"/>
    <x v="2"/>
    <x v="16"/>
    <x v="3"/>
    <x v="16"/>
    <x v="1"/>
    <x v="28"/>
    <x v="13"/>
    <s v="BAIN'S WHISKY 6X75CL"/>
    <n v="1"/>
    <x v="8"/>
    <n v="80000"/>
  </r>
  <r>
    <x v="0"/>
    <x v="0"/>
    <x v="0"/>
    <x v="2"/>
    <x v="2"/>
    <x v="2"/>
    <x v="16"/>
    <x v="3"/>
    <x v="16"/>
    <x v="1"/>
    <x v="28"/>
    <x v="13"/>
    <s v="CHAMDOR RED"/>
    <n v="120"/>
    <x v="4"/>
    <n v="3312000"/>
  </r>
  <r>
    <x v="0"/>
    <x v="0"/>
    <x v="0"/>
    <x v="2"/>
    <x v="2"/>
    <x v="2"/>
    <x v="16"/>
    <x v="3"/>
    <x v="16"/>
    <x v="1"/>
    <x v="28"/>
    <x v="13"/>
    <s v="4TH STREET RED 6X75CL"/>
    <n v="167"/>
    <x v="5"/>
    <n v="3607200"/>
  </r>
  <r>
    <x v="0"/>
    <x v="0"/>
    <x v="0"/>
    <x v="2"/>
    <x v="2"/>
    <x v="2"/>
    <x v="16"/>
    <x v="3"/>
    <x v="16"/>
    <x v="1"/>
    <x v="28"/>
    <x v="13"/>
    <s v="4TH STREET SPARKLING RED"/>
    <n v="30"/>
    <x v="3"/>
    <n v="702000"/>
  </r>
  <r>
    <x v="0"/>
    <x v="0"/>
    <x v="0"/>
    <x v="2"/>
    <x v="2"/>
    <x v="2"/>
    <x v="16"/>
    <x v="3"/>
    <x v="16"/>
    <x v="1"/>
    <x v="28"/>
    <x v="13"/>
    <s v="4TH STREET 75CL NON ALCOHOLIC SWEET WINE"/>
    <n v="45"/>
    <x v="1"/>
    <n v="864000"/>
  </r>
  <r>
    <x v="0"/>
    <x v="0"/>
    <x v="0"/>
    <x v="2"/>
    <x v="2"/>
    <x v="2"/>
    <x v="16"/>
    <x v="3"/>
    <x v="16"/>
    <x v="1"/>
    <x v="28"/>
    <x v="13"/>
    <s v="NEDERBURG WINE MASTER RANGE MERLOT  6X750ML"/>
    <n v="2"/>
    <x v="6"/>
    <n v="184000"/>
  </r>
  <r>
    <x v="0"/>
    <x v="0"/>
    <x v="0"/>
    <x v="2"/>
    <x v="2"/>
    <x v="2"/>
    <x v="1"/>
    <x v="3"/>
    <x v="14"/>
    <x v="0"/>
    <x v="21"/>
    <x v="11"/>
    <s v="HUNTERS DRY 4X(6X330ML)"/>
    <n v="16"/>
    <x v="7"/>
    <n v="345600"/>
  </r>
  <r>
    <x v="0"/>
    <x v="0"/>
    <x v="0"/>
    <x v="2"/>
    <x v="2"/>
    <x v="2"/>
    <x v="1"/>
    <x v="3"/>
    <x v="14"/>
    <x v="0"/>
    <x v="21"/>
    <x v="11"/>
    <s v="DROSTDY HOF 6X75CL RED CLARET "/>
    <n v="30"/>
    <x v="0"/>
    <n v="900000"/>
  </r>
  <r>
    <x v="0"/>
    <x v="0"/>
    <x v="0"/>
    <x v="2"/>
    <x v="2"/>
    <x v="2"/>
    <x v="1"/>
    <x v="3"/>
    <x v="14"/>
    <x v="0"/>
    <x v="21"/>
    <x v="11"/>
    <s v="AMARULA CREAM 6X700ML"/>
    <n v="10"/>
    <x v="2"/>
    <n v="300000"/>
  </r>
  <r>
    <x v="0"/>
    <x v="0"/>
    <x v="0"/>
    <x v="2"/>
    <x v="2"/>
    <x v="2"/>
    <x v="1"/>
    <x v="3"/>
    <x v="14"/>
    <x v="0"/>
    <x v="21"/>
    <x v="11"/>
    <s v="BAIN'S WHISKY 6X75CL"/>
    <n v="2"/>
    <x v="8"/>
    <n v="160000"/>
  </r>
  <r>
    <x v="0"/>
    <x v="0"/>
    <x v="0"/>
    <x v="2"/>
    <x v="2"/>
    <x v="2"/>
    <x v="1"/>
    <x v="3"/>
    <x v="14"/>
    <x v="0"/>
    <x v="21"/>
    <x v="11"/>
    <s v="CHAMDOR RED"/>
    <n v="124"/>
    <x v="4"/>
    <n v="3422400"/>
  </r>
  <r>
    <x v="0"/>
    <x v="0"/>
    <x v="0"/>
    <x v="2"/>
    <x v="2"/>
    <x v="2"/>
    <x v="1"/>
    <x v="3"/>
    <x v="14"/>
    <x v="0"/>
    <x v="21"/>
    <x v="11"/>
    <s v="CHAMDOR WHITE"/>
    <n v="30"/>
    <x v="4"/>
    <n v="828000"/>
  </r>
  <r>
    <x v="0"/>
    <x v="0"/>
    <x v="0"/>
    <x v="2"/>
    <x v="2"/>
    <x v="2"/>
    <x v="1"/>
    <x v="3"/>
    <x v="14"/>
    <x v="0"/>
    <x v="21"/>
    <x v="11"/>
    <s v="4TH STREET RED 6X75CL"/>
    <n v="184"/>
    <x v="5"/>
    <n v="3974400"/>
  </r>
  <r>
    <x v="0"/>
    <x v="0"/>
    <x v="0"/>
    <x v="2"/>
    <x v="2"/>
    <x v="2"/>
    <x v="1"/>
    <x v="3"/>
    <x v="14"/>
    <x v="0"/>
    <x v="21"/>
    <x v="11"/>
    <s v="4TH STREET WHITE 6X75CL"/>
    <n v="52"/>
    <x v="5"/>
    <n v="1123200"/>
  </r>
  <r>
    <x v="0"/>
    <x v="0"/>
    <x v="0"/>
    <x v="2"/>
    <x v="2"/>
    <x v="2"/>
    <x v="1"/>
    <x v="3"/>
    <x v="14"/>
    <x v="0"/>
    <x v="21"/>
    <x v="11"/>
    <s v="4TH STREET ROSE 6X75CL"/>
    <n v="42"/>
    <x v="5"/>
    <n v="907200"/>
  </r>
  <r>
    <x v="0"/>
    <x v="0"/>
    <x v="0"/>
    <x v="2"/>
    <x v="2"/>
    <x v="2"/>
    <x v="1"/>
    <x v="3"/>
    <x v="14"/>
    <x v="0"/>
    <x v="21"/>
    <x v="11"/>
    <s v="4TH STREET 75CL NON ALCOHOLIC SWEET WINE"/>
    <n v="6"/>
    <x v="1"/>
    <n v="115200"/>
  </r>
  <r>
    <x v="0"/>
    <x v="0"/>
    <x v="0"/>
    <x v="2"/>
    <x v="2"/>
    <x v="2"/>
    <x v="1"/>
    <x v="3"/>
    <x v="14"/>
    <x v="0"/>
    <x v="21"/>
    <x v="11"/>
    <s v="NEDERBURG WINE MASTER RANGE MERLOT  6X750ML"/>
    <n v="24"/>
    <x v="6"/>
    <n v="2208000"/>
  </r>
  <r>
    <x v="0"/>
    <x v="0"/>
    <x v="0"/>
    <x v="2"/>
    <x v="2"/>
    <x v="2"/>
    <x v="1"/>
    <x v="3"/>
    <x v="14"/>
    <x v="0"/>
    <x v="22"/>
    <x v="11"/>
    <s v="DROSTDY HOF 6X75CL RED CLARET "/>
    <n v="8"/>
    <x v="0"/>
    <n v="240000"/>
  </r>
  <r>
    <x v="0"/>
    <x v="0"/>
    <x v="0"/>
    <x v="2"/>
    <x v="2"/>
    <x v="2"/>
    <x v="1"/>
    <x v="3"/>
    <x v="14"/>
    <x v="0"/>
    <x v="22"/>
    <x v="11"/>
    <s v="DROSTY HOF RED CLARET 12X375ML"/>
    <n v="12"/>
    <x v="0"/>
    <n v="408000"/>
  </r>
  <r>
    <x v="0"/>
    <x v="0"/>
    <x v="0"/>
    <x v="2"/>
    <x v="2"/>
    <x v="2"/>
    <x v="1"/>
    <x v="3"/>
    <x v="14"/>
    <x v="0"/>
    <x v="22"/>
    <x v="11"/>
    <s v="AMARULA CREAM 6X700ML"/>
    <n v="10"/>
    <x v="2"/>
    <n v="300000"/>
  </r>
  <r>
    <x v="0"/>
    <x v="0"/>
    <x v="0"/>
    <x v="2"/>
    <x v="2"/>
    <x v="2"/>
    <x v="1"/>
    <x v="3"/>
    <x v="14"/>
    <x v="0"/>
    <x v="22"/>
    <x v="11"/>
    <s v="CHAMDOR RED"/>
    <n v="45"/>
    <x v="4"/>
    <n v="1242000"/>
  </r>
  <r>
    <x v="0"/>
    <x v="0"/>
    <x v="0"/>
    <x v="2"/>
    <x v="2"/>
    <x v="2"/>
    <x v="1"/>
    <x v="3"/>
    <x v="14"/>
    <x v="0"/>
    <x v="22"/>
    <x v="11"/>
    <s v="4TH STREET RED 6X75CL"/>
    <n v="50"/>
    <x v="5"/>
    <n v="1080000"/>
  </r>
  <r>
    <x v="0"/>
    <x v="0"/>
    <x v="0"/>
    <x v="2"/>
    <x v="2"/>
    <x v="2"/>
    <x v="1"/>
    <x v="3"/>
    <x v="14"/>
    <x v="0"/>
    <x v="22"/>
    <x v="11"/>
    <s v="4TH STREET WHITE 6X75CL"/>
    <n v="10"/>
    <x v="5"/>
    <n v="216000"/>
  </r>
  <r>
    <x v="0"/>
    <x v="0"/>
    <x v="0"/>
    <x v="2"/>
    <x v="2"/>
    <x v="2"/>
    <x v="1"/>
    <x v="3"/>
    <x v="14"/>
    <x v="0"/>
    <x v="22"/>
    <x v="11"/>
    <s v="4TH STREET ROSE 6X75CL"/>
    <n v="20"/>
    <x v="5"/>
    <n v="432000"/>
  </r>
  <r>
    <x v="0"/>
    <x v="0"/>
    <x v="0"/>
    <x v="2"/>
    <x v="2"/>
    <x v="2"/>
    <x v="1"/>
    <x v="3"/>
    <x v="14"/>
    <x v="0"/>
    <x v="22"/>
    <x v="11"/>
    <s v="4TH STREET 75CL NON ALCOHOLIC SWEET WINE"/>
    <n v="10"/>
    <x v="1"/>
    <n v="192000"/>
  </r>
  <r>
    <x v="0"/>
    <x v="0"/>
    <x v="0"/>
    <x v="2"/>
    <x v="2"/>
    <x v="2"/>
    <x v="15"/>
    <x v="3"/>
    <x v="15"/>
    <x v="1"/>
    <x v="23"/>
    <x v="12"/>
    <s v="DROSTY HOF RED CLARET 12X375ML"/>
    <n v="5"/>
    <x v="0"/>
    <n v="170000"/>
  </r>
  <r>
    <x v="0"/>
    <x v="0"/>
    <x v="0"/>
    <x v="2"/>
    <x v="2"/>
    <x v="2"/>
    <x v="15"/>
    <x v="3"/>
    <x v="15"/>
    <x v="1"/>
    <x v="23"/>
    <x v="12"/>
    <s v="AMARULA CREAM 6X700ML"/>
    <n v="1"/>
    <x v="2"/>
    <n v="30000"/>
  </r>
  <r>
    <x v="0"/>
    <x v="0"/>
    <x v="0"/>
    <x v="2"/>
    <x v="2"/>
    <x v="2"/>
    <x v="15"/>
    <x v="3"/>
    <x v="15"/>
    <x v="1"/>
    <x v="23"/>
    <x v="12"/>
    <s v="CHAMDOR RED"/>
    <n v="45"/>
    <x v="4"/>
    <n v="1242000"/>
  </r>
  <r>
    <x v="0"/>
    <x v="0"/>
    <x v="0"/>
    <x v="2"/>
    <x v="2"/>
    <x v="2"/>
    <x v="15"/>
    <x v="3"/>
    <x v="15"/>
    <x v="1"/>
    <x v="23"/>
    <x v="12"/>
    <s v="4TH STREET RED 6X75CL"/>
    <n v="28"/>
    <x v="5"/>
    <n v="604800"/>
  </r>
  <r>
    <x v="0"/>
    <x v="0"/>
    <x v="0"/>
    <x v="2"/>
    <x v="2"/>
    <x v="2"/>
    <x v="15"/>
    <x v="3"/>
    <x v="15"/>
    <x v="1"/>
    <x v="23"/>
    <x v="12"/>
    <s v="4TH STREET 75CL NON ALCOHOLIC SWEET WINE"/>
    <n v="10"/>
    <x v="1"/>
    <n v="192000"/>
  </r>
  <r>
    <x v="0"/>
    <x v="0"/>
    <x v="0"/>
    <x v="2"/>
    <x v="2"/>
    <x v="2"/>
    <x v="15"/>
    <x v="3"/>
    <x v="15"/>
    <x v="1"/>
    <x v="24"/>
    <x v="12"/>
    <s v="HUNTERS DRY 4X(6X330ML)"/>
    <n v="5"/>
    <x v="7"/>
    <n v="108000"/>
  </r>
  <r>
    <x v="0"/>
    <x v="0"/>
    <x v="0"/>
    <x v="2"/>
    <x v="2"/>
    <x v="2"/>
    <x v="15"/>
    <x v="3"/>
    <x v="15"/>
    <x v="1"/>
    <x v="24"/>
    <x v="12"/>
    <s v="AMARULA CREAM 6X700ML"/>
    <n v="5"/>
    <x v="2"/>
    <n v="150000"/>
  </r>
  <r>
    <x v="0"/>
    <x v="0"/>
    <x v="0"/>
    <x v="2"/>
    <x v="2"/>
    <x v="2"/>
    <x v="15"/>
    <x v="3"/>
    <x v="15"/>
    <x v="1"/>
    <x v="24"/>
    <x v="12"/>
    <s v="BAIN'S WHISKY 6X75CL"/>
    <n v="3"/>
    <x v="8"/>
    <n v="240000"/>
  </r>
  <r>
    <x v="0"/>
    <x v="0"/>
    <x v="0"/>
    <x v="2"/>
    <x v="2"/>
    <x v="2"/>
    <x v="15"/>
    <x v="3"/>
    <x v="15"/>
    <x v="1"/>
    <x v="24"/>
    <x v="12"/>
    <s v="CHAMDOR RED"/>
    <n v="53"/>
    <x v="4"/>
    <n v="1462800"/>
  </r>
  <r>
    <x v="0"/>
    <x v="0"/>
    <x v="0"/>
    <x v="2"/>
    <x v="2"/>
    <x v="2"/>
    <x v="15"/>
    <x v="3"/>
    <x v="15"/>
    <x v="1"/>
    <x v="24"/>
    <x v="12"/>
    <s v="CHAMDOR WHITE"/>
    <n v="21"/>
    <x v="4"/>
    <n v="579600"/>
  </r>
  <r>
    <x v="0"/>
    <x v="0"/>
    <x v="0"/>
    <x v="2"/>
    <x v="2"/>
    <x v="2"/>
    <x v="15"/>
    <x v="3"/>
    <x v="15"/>
    <x v="1"/>
    <x v="24"/>
    <x v="12"/>
    <s v="4TH STREET RED 6X75CL"/>
    <n v="34"/>
    <x v="5"/>
    <n v="734400"/>
  </r>
  <r>
    <x v="0"/>
    <x v="0"/>
    <x v="0"/>
    <x v="2"/>
    <x v="2"/>
    <x v="2"/>
    <x v="15"/>
    <x v="3"/>
    <x v="15"/>
    <x v="1"/>
    <x v="24"/>
    <x v="12"/>
    <s v="4TH STREET 75CL NON ALCOHOLIC SWEET WINE"/>
    <n v="32"/>
    <x v="1"/>
    <n v="614400"/>
  </r>
  <r>
    <x v="0"/>
    <x v="0"/>
    <x v="0"/>
    <x v="2"/>
    <x v="2"/>
    <x v="2"/>
    <x v="15"/>
    <x v="3"/>
    <x v="15"/>
    <x v="1"/>
    <x v="25"/>
    <x v="12"/>
    <s v="CHAMDOR RED"/>
    <n v="40"/>
    <x v="4"/>
    <n v="1104000"/>
  </r>
  <r>
    <x v="0"/>
    <x v="0"/>
    <x v="0"/>
    <x v="2"/>
    <x v="2"/>
    <x v="2"/>
    <x v="15"/>
    <x v="3"/>
    <x v="15"/>
    <x v="1"/>
    <x v="25"/>
    <x v="12"/>
    <s v="4TH STREET RED 6X75CL"/>
    <n v="84"/>
    <x v="5"/>
    <n v="1814400"/>
  </r>
  <r>
    <x v="0"/>
    <x v="0"/>
    <x v="0"/>
    <x v="2"/>
    <x v="2"/>
    <x v="2"/>
    <x v="15"/>
    <x v="3"/>
    <x v="15"/>
    <x v="1"/>
    <x v="25"/>
    <x v="12"/>
    <s v="4TH STREET 75CL NON ALCOHOLIC SWEET WINE"/>
    <n v="54"/>
    <x v="1"/>
    <n v="1036800"/>
  </r>
  <r>
    <x v="0"/>
    <x v="0"/>
    <x v="0"/>
    <x v="2"/>
    <x v="2"/>
    <x v="2"/>
    <x v="16"/>
    <x v="3"/>
    <x v="16"/>
    <x v="1"/>
    <x v="26"/>
    <x v="13"/>
    <s v="HUNTERS DRY 4X(6X330ML)"/>
    <n v="70"/>
    <x v="7"/>
    <n v="1512000"/>
  </r>
  <r>
    <x v="0"/>
    <x v="0"/>
    <x v="0"/>
    <x v="2"/>
    <x v="2"/>
    <x v="2"/>
    <x v="16"/>
    <x v="3"/>
    <x v="16"/>
    <x v="1"/>
    <x v="26"/>
    <x v="13"/>
    <s v="TWO OCEAN SHIRAZ 6X75CL"/>
    <n v="5"/>
    <x v="10"/>
    <n v="150000"/>
  </r>
  <r>
    <x v="0"/>
    <x v="0"/>
    <x v="0"/>
    <x v="2"/>
    <x v="2"/>
    <x v="2"/>
    <x v="16"/>
    <x v="3"/>
    <x v="16"/>
    <x v="1"/>
    <x v="26"/>
    <x v="13"/>
    <s v="CHAMDOR RED"/>
    <n v="95"/>
    <x v="4"/>
    <n v="2622000"/>
  </r>
  <r>
    <x v="0"/>
    <x v="0"/>
    <x v="0"/>
    <x v="2"/>
    <x v="2"/>
    <x v="2"/>
    <x v="16"/>
    <x v="3"/>
    <x v="16"/>
    <x v="1"/>
    <x v="26"/>
    <x v="13"/>
    <s v="4TH STREET RED 6X75CL"/>
    <n v="160"/>
    <x v="5"/>
    <n v="3456000"/>
  </r>
  <r>
    <x v="0"/>
    <x v="0"/>
    <x v="0"/>
    <x v="2"/>
    <x v="2"/>
    <x v="2"/>
    <x v="16"/>
    <x v="3"/>
    <x v="16"/>
    <x v="1"/>
    <x v="26"/>
    <x v="13"/>
    <s v="4TH STREET SPARKLING RED"/>
    <n v="40"/>
    <x v="3"/>
    <n v="936000"/>
  </r>
  <r>
    <x v="0"/>
    <x v="0"/>
    <x v="0"/>
    <x v="2"/>
    <x v="2"/>
    <x v="2"/>
    <x v="16"/>
    <x v="3"/>
    <x v="16"/>
    <x v="1"/>
    <x v="26"/>
    <x v="13"/>
    <s v="4TH STREET 75CL NON ALCOHOLIC SWEET WINE"/>
    <n v="33"/>
    <x v="1"/>
    <n v="633600"/>
  </r>
  <r>
    <x v="0"/>
    <x v="0"/>
    <x v="0"/>
    <x v="2"/>
    <x v="2"/>
    <x v="2"/>
    <x v="16"/>
    <x v="3"/>
    <x v="16"/>
    <x v="1"/>
    <x v="26"/>
    <x v="13"/>
    <s v="NEDERBURG WINE MASTER RANGE MERLOT  6X750ML"/>
    <n v="10"/>
    <x v="6"/>
    <n v="920000"/>
  </r>
  <r>
    <x v="0"/>
    <x v="0"/>
    <x v="0"/>
    <x v="2"/>
    <x v="2"/>
    <x v="2"/>
    <x v="15"/>
    <x v="3"/>
    <x v="17"/>
    <x v="1"/>
    <x v="27"/>
    <x v="12"/>
    <s v="CHAMDOR RED"/>
    <n v="43"/>
    <x v="4"/>
    <n v="1186800"/>
  </r>
  <r>
    <x v="0"/>
    <x v="0"/>
    <x v="0"/>
    <x v="2"/>
    <x v="2"/>
    <x v="2"/>
    <x v="15"/>
    <x v="3"/>
    <x v="17"/>
    <x v="1"/>
    <x v="27"/>
    <x v="12"/>
    <s v="4TH STREET RED 6X75CL"/>
    <n v="43"/>
    <x v="5"/>
    <n v="928800"/>
  </r>
  <r>
    <x v="0"/>
    <x v="0"/>
    <x v="0"/>
    <x v="2"/>
    <x v="2"/>
    <x v="2"/>
    <x v="15"/>
    <x v="3"/>
    <x v="17"/>
    <x v="1"/>
    <x v="27"/>
    <x v="12"/>
    <s v="4TH STREET 75CL NON ALCOHOLIC SWEET WINE"/>
    <n v="37"/>
    <x v="1"/>
    <n v="710400"/>
  </r>
  <r>
    <x v="0"/>
    <x v="0"/>
    <x v="0"/>
    <x v="3"/>
    <x v="3"/>
    <x v="3"/>
    <x v="0"/>
    <x v="0"/>
    <x v="0"/>
    <x v="0"/>
    <x v="0"/>
    <x v="0"/>
    <s v="HUNTERS DRY 4X(6X330ML)"/>
    <n v="2"/>
    <x v="7"/>
    <n v="43200"/>
  </r>
  <r>
    <x v="0"/>
    <x v="0"/>
    <x v="0"/>
    <x v="3"/>
    <x v="3"/>
    <x v="3"/>
    <x v="0"/>
    <x v="0"/>
    <x v="0"/>
    <x v="0"/>
    <x v="0"/>
    <x v="0"/>
    <s v="HUNTERS GOLD 4X(6X330ML)"/>
    <n v="3"/>
    <x v="7"/>
    <n v="64800"/>
  </r>
  <r>
    <x v="0"/>
    <x v="0"/>
    <x v="0"/>
    <x v="3"/>
    <x v="3"/>
    <x v="3"/>
    <x v="0"/>
    <x v="0"/>
    <x v="0"/>
    <x v="0"/>
    <x v="0"/>
    <x v="0"/>
    <s v="DROSTDY HOF 6X75CL RED CLARET "/>
    <n v="50"/>
    <x v="0"/>
    <n v="1500000"/>
  </r>
  <r>
    <x v="0"/>
    <x v="0"/>
    <x v="0"/>
    <x v="3"/>
    <x v="3"/>
    <x v="3"/>
    <x v="0"/>
    <x v="0"/>
    <x v="0"/>
    <x v="0"/>
    <x v="0"/>
    <x v="0"/>
    <s v="DROSTY HOF RED CLARET 12X375ML"/>
    <n v="12"/>
    <x v="0"/>
    <n v="408000"/>
  </r>
  <r>
    <x v="0"/>
    <x v="0"/>
    <x v="0"/>
    <x v="3"/>
    <x v="3"/>
    <x v="3"/>
    <x v="0"/>
    <x v="0"/>
    <x v="0"/>
    <x v="0"/>
    <x v="0"/>
    <x v="0"/>
    <s v="CHAMDOR RED"/>
    <n v="90"/>
    <x v="4"/>
    <n v="2484000"/>
  </r>
  <r>
    <x v="0"/>
    <x v="0"/>
    <x v="0"/>
    <x v="3"/>
    <x v="3"/>
    <x v="3"/>
    <x v="0"/>
    <x v="0"/>
    <x v="0"/>
    <x v="0"/>
    <x v="0"/>
    <x v="0"/>
    <s v="4TH STREET RED 6X75CL"/>
    <n v="80"/>
    <x v="5"/>
    <n v="1728000"/>
  </r>
  <r>
    <x v="0"/>
    <x v="0"/>
    <x v="0"/>
    <x v="3"/>
    <x v="3"/>
    <x v="3"/>
    <x v="0"/>
    <x v="0"/>
    <x v="0"/>
    <x v="0"/>
    <x v="0"/>
    <x v="0"/>
    <s v="4TH STREET WHITE 6X75CL"/>
    <n v="8"/>
    <x v="5"/>
    <n v="172800"/>
  </r>
  <r>
    <x v="0"/>
    <x v="0"/>
    <x v="0"/>
    <x v="3"/>
    <x v="3"/>
    <x v="3"/>
    <x v="0"/>
    <x v="0"/>
    <x v="0"/>
    <x v="0"/>
    <x v="0"/>
    <x v="0"/>
    <s v="4TH STREET ROSE 6X75CL"/>
    <n v="8"/>
    <x v="5"/>
    <n v="172800"/>
  </r>
  <r>
    <x v="0"/>
    <x v="0"/>
    <x v="0"/>
    <x v="3"/>
    <x v="3"/>
    <x v="3"/>
    <x v="0"/>
    <x v="0"/>
    <x v="0"/>
    <x v="0"/>
    <x v="0"/>
    <x v="0"/>
    <s v="4TH STREET 75CL NON ALCOHOLIC SWEET WINE"/>
    <n v="25"/>
    <x v="1"/>
    <n v="480000"/>
  </r>
  <r>
    <x v="0"/>
    <x v="0"/>
    <x v="0"/>
    <x v="3"/>
    <x v="3"/>
    <x v="3"/>
    <x v="0"/>
    <x v="0"/>
    <x v="0"/>
    <x v="0"/>
    <x v="0"/>
    <x v="0"/>
    <s v="NEDERBURG WINE MASTER RANGE MERLOT  6X750ML"/>
    <n v="10"/>
    <x v="6"/>
    <n v="920000"/>
  </r>
  <r>
    <x v="0"/>
    <x v="0"/>
    <x v="0"/>
    <x v="3"/>
    <x v="3"/>
    <x v="3"/>
    <x v="1"/>
    <x v="0"/>
    <x v="0"/>
    <x v="0"/>
    <x v="1"/>
    <x v="1"/>
    <s v="HUNTERS DRY 4X(6X330ML)"/>
    <n v="6"/>
    <x v="7"/>
    <n v="129600"/>
  </r>
  <r>
    <x v="0"/>
    <x v="0"/>
    <x v="0"/>
    <x v="3"/>
    <x v="3"/>
    <x v="3"/>
    <x v="1"/>
    <x v="0"/>
    <x v="0"/>
    <x v="0"/>
    <x v="1"/>
    <x v="1"/>
    <s v="HUNTERS GOLD 4X(6X330ML)"/>
    <n v="10"/>
    <x v="7"/>
    <n v="216000"/>
  </r>
  <r>
    <x v="0"/>
    <x v="0"/>
    <x v="0"/>
    <x v="3"/>
    <x v="3"/>
    <x v="3"/>
    <x v="1"/>
    <x v="0"/>
    <x v="0"/>
    <x v="0"/>
    <x v="1"/>
    <x v="1"/>
    <s v="DROSTDY HOF 6X75CL RED CLARET "/>
    <n v="38"/>
    <x v="0"/>
    <n v="1140000"/>
  </r>
  <r>
    <x v="0"/>
    <x v="0"/>
    <x v="0"/>
    <x v="3"/>
    <x v="3"/>
    <x v="3"/>
    <x v="1"/>
    <x v="0"/>
    <x v="0"/>
    <x v="0"/>
    <x v="1"/>
    <x v="1"/>
    <s v="AMARULA CREAM 6X700ML"/>
    <n v="10"/>
    <x v="2"/>
    <n v="300000"/>
  </r>
  <r>
    <x v="0"/>
    <x v="0"/>
    <x v="0"/>
    <x v="3"/>
    <x v="3"/>
    <x v="3"/>
    <x v="1"/>
    <x v="0"/>
    <x v="0"/>
    <x v="0"/>
    <x v="1"/>
    <x v="1"/>
    <s v="CHAMDOR RED"/>
    <n v="148"/>
    <x v="4"/>
    <n v="4084800"/>
  </r>
  <r>
    <x v="0"/>
    <x v="0"/>
    <x v="0"/>
    <x v="3"/>
    <x v="3"/>
    <x v="3"/>
    <x v="1"/>
    <x v="0"/>
    <x v="0"/>
    <x v="0"/>
    <x v="1"/>
    <x v="1"/>
    <s v="4TH STREET RED 6X75CL"/>
    <n v="89"/>
    <x v="5"/>
    <n v="1922400"/>
  </r>
  <r>
    <x v="0"/>
    <x v="0"/>
    <x v="0"/>
    <x v="3"/>
    <x v="3"/>
    <x v="3"/>
    <x v="1"/>
    <x v="0"/>
    <x v="0"/>
    <x v="0"/>
    <x v="1"/>
    <x v="1"/>
    <s v="4TH STREET 75CL NON ALCOHOLIC SWEET WINE"/>
    <n v="43"/>
    <x v="1"/>
    <n v="825600"/>
  </r>
  <r>
    <x v="0"/>
    <x v="0"/>
    <x v="0"/>
    <x v="3"/>
    <x v="3"/>
    <x v="3"/>
    <x v="1"/>
    <x v="0"/>
    <x v="0"/>
    <x v="0"/>
    <x v="1"/>
    <x v="1"/>
    <s v="NEDERBURG WINE MASTER RANGE MERLOT  6X750ML"/>
    <n v="10"/>
    <x v="6"/>
    <n v="920000"/>
  </r>
  <r>
    <x v="0"/>
    <x v="0"/>
    <x v="0"/>
    <x v="3"/>
    <x v="3"/>
    <x v="3"/>
    <x v="3"/>
    <x v="0"/>
    <x v="0"/>
    <x v="1"/>
    <x v="9"/>
    <x v="1"/>
    <s v="HUNTERS DRY 4X(6X330ML)"/>
    <n v="7"/>
    <x v="7"/>
    <n v="151200"/>
  </r>
  <r>
    <x v="0"/>
    <x v="0"/>
    <x v="0"/>
    <x v="3"/>
    <x v="3"/>
    <x v="3"/>
    <x v="3"/>
    <x v="0"/>
    <x v="0"/>
    <x v="1"/>
    <x v="9"/>
    <x v="1"/>
    <s v="HUNTERS GOLD 4X(6X330ML)"/>
    <n v="5"/>
    <x v="7"/>
    <n v="108000"/>
  </r>
  <r>
    <x v="0"/>
    <x v="0"/>
    <x v="0"/>
    <x v="3"/>
    <x v="3"/>
    <x v="3"/>
    <x v="3"/>
    <x v="0"/>
    <x v="0"/>
    <x v="1"/>
    <x v="9"/>
    <x v="1"/>
    <s v="CHAMDOR RED"/>
    <n v="104"/>
    <x v="4"/>
    <n v="2870400"/>
  </r>
  <r>
    <x v="0"/>
    <x v="0"/>
    <x v="0"/>
    <x v="3"/>
    <x v="3"/>
    <x v="3"/>
    <x v="3"/>
    <x v="0"/>
    <x v="0"/>
    <x v="1"/>
    <x v="9"/>
    <x v="1"/>
    <s v="CHAMDOR WHITE"/>
    <n v="10"/>
    <x v="4"/>
    <n v="276000"/>
  </r>
  <r>
    <x v="0"/>
    <x v="0"/>
    <x v="0"/>
    <x v="3"/>
    <x v="3"/>
    <x v="3"/>
    <x v="3"/>
    <x v="0"/>
    <x v="0"/>
    <x v="1"/>
    <x v="9"/>
    <x v="1"/>
    <s v="4TH STREET RED 6X75CL"/>
    <n v="110"/>
    <x v="5"/>
    <n v="2376000"/>
  </r>
  <r>
    <x v="0"/>
    <x v="0"/>
    <x v="0"/>
    <x v="3"/>
    <x v="3"/>
    <x v="3"/>
    <x v="3"/>
    <x v="0"/>
    <x v="0"/>
    <x v="1"/>
    <x v="9"/>
    <x v="1"/>
    <s v="4TH STREET 75CL NON ALCOHOLIC SWEET WINE"/>
    <n v="8"/>
    <x v="1"/>
    <n v="153600"/>
  </r>
  <r>
    <x v="0"/>
    <x v="0"/>
    <x v="0"/>
    <x v="3"/>
    <x v="3"/>
    <x v="3"/>
    <x v="2"/>
    <x v="0"/>
    <x v="0"/>
    <x v="1"/>
    <x v="2"/>
    <x v="0"/>
    <s v="AMARULA CREAM 6X700ML"/>
    <n v="2"/>
    <x v="2"/>
    <n v="60000"/>
  </r>
  <r>
    <x v="0"/>
    <x v="0"/>
    <x v="0"/>
    <x v="3"/>
    <x v="3"/>
    <x v="3"/>
    <x v="2"/>
    <x v="0"/>
    <x v="0"/>
    <x v="1"/>
    <x v="2"/>
    <x v="0"/>
    <s v="CHAMDOR RED"/>
    <n v="107"/>
    <x v="4"/>
    <n v="2953200"/>
  </r>
  <r>
    <x v="0"/>
    <x v="0"/>
    <x v="0"/>
    <x v="3"/>
    <x v="3"/>
    <x v="3"/>
    <x v="2"/>
    <x v="0"/>
    <x v="0"/>
    <x v="1"/>
    <x v="2"/>
    <x v="0"/>
    <s v="4TH STREET RED 6X75CL"/>
    <n v="186"/>
    <x v="5"/>
    <n v="4017600"/>
  </r>
  <r>
    <x v="0"/>
    <x v="0"/>
    <x v="0"/>
    <x v="3"/>
    <x v="3"/>
    <x v="3"/>
    <x v="2"/>
    <x v="0"/>
    <x v="0"/>
    <x v="1"/>
    <x v="2"/>
    <x v="0"/>
    <s v="4TH STREET WHITE 6X75CL"/>
    <n v="8"/>
    <x v="5"/>
    <n v="172800"/>
  </r>
  <r>
    <x v="0"/>
    <x v="0"/>
    <x v="0"/>
    <x v="3"/>
    <x v="3"/>
    <x v="3"/>
    <x v="2"/>
    <x v="0"/>
    <x v="0"/>
    <x v="1"/>
    <x v="2"/>
    <x v="0"/>
    <s v="4TH STREET ROSE 6X75CL"/>
    <n v="8"/>
    <x v="5"/>
    <n v="172800"/>
  </r>
  <r>
    <x v="0"/>
    <x v="0"/>
    <x v="0"/>
    <x v="3"/>
    <x v="3"/>
    <x v="3"/>
    <x v="2"/>
    <x v="0"/>
    <x v="0"/>
    <x v="1"/>
    <x v="2"/>
    <x v="0"/>
    <s v="4TH STREET 75CL NON ALCOHOLIC SWEET WINE"/>
    <n v="6"/>
    <x v="1"/>
    <n v="115200"/>
  </r>
  <r>
    <x v="0"/>
    <x v="0"/>
    <x v="0"/>
    <x v="3"/>
    <x v="3"/>
    <x v="3"/>
    <x v="2"/>
    <x v="0"/>
    <x v="0"/>
    <x v="1"/>
    <x v="2"/>
    <x v="0"/>
    <s v="NEDERBURG WINE MASTER RANGE MERLOT  6X750ML"/>
    <n v="1"/>
    <x v="6"/>
    <n v="92000"/>
  </r>
  <r>
    <x v="0"/>
    <x v="0"/>
    <x v="0"/>
    <x v="3"/>
    <x v="3"/>
    <x v="3"/>
    <x v="2"/>
    <x v="0"/>
    <x v="5"/>
    <x v="1"/>
    <x v="10"/>
    <x v="5"/>
    <s v="HUNTERS DRY 4X(6X330ML)"/>
    <n v="6"/>
    <x v="7"/>
    <n v="129600"/>
  </r>
  <r>
    <x v="0"/>
    <x v="0"/>
    <x v="0"/>
    <x v="3"/>
    <x v="3"/>
    <x v="3"/>
    <x v="2"/>
    <x v="0"/>
    <x v="5"/>
    <x v="1"/>
    <x v="10"/>
    <x v="5"/>
    <s v="CHAMDOR RED"/>
    <n v="98"/>
    <x v="4"/>
    <n v="2704800"/>
  </r>
  <r>
    <x v="0"/>
    <x v="0"/>
    <x v="0"/>
    <x v="3"/>
    <x v="3"/>
    <x v="3"/>
    <x v="2"/>
    <x v="0"/>
    <x v="5"/>
    <x v="1"/>
    <x v="10"/>
    <x v="5"/>
    <s v="4TH STREET RED 6X75CL"/>
    <n v="60"/>
    <x v="5"/>
    <n v="1296000"/>
  </r>
  <r>
    <x v="0"/>
    <x v="0"/>
    <x v="0"/>
    <x v="3"/>
    <x v="3"/>
    <x v="3"/>
    <x v="8"/>
    <x v="0"/>
    <x v="4"/>
    <x v="1"/>
    <x v="8"/>
    <x v="5"/>
    <s v="AMARULA CREAM 6X700ML"/>
    <n v="2"/>
    <x v="2"/>
    <n v="60000"/>
  </r>
  <r>
    <x v="0"/>
    <x v="0"/>
    <x v="0"/>
    <x v="3"/>
    <x v="3"/>
    <x v="3"/>
    <x v="8"/>
    <x v="0"/>
    <x v="4"/>
    <x v="1"/>
    <x v="8"/>
    <x v="5"/>
    <s v="CHAMDOR RED"/>
    <n v="45"/>
    <x v="4"/>
    <n v="1242000"/>
  </r>
  <r>
    <x v="0"/>
    <x v="0"/>
    <x v="0"/>
    <x v="3"/>
    <x v="3"/>
    <x v="3"/>
    <x v="8"/>
    <x v="0"/>
    <x v="4"/>
    <x v="1"/>
    <x v="8"/>
    <x v="5"/>
    <s v="4TH STREET RED 6X75CL"/>
    <n v="47"/>
    <x v="5"/>
    <n v="1015200"/>
  </r>
  <r>
    <x v="0"/>
    <x v="0"/>
    <x v="0"/>
    <x v="3"/>
    <x v="3"/>
    <x v="3"/>
    <x v="8"/>
    <x v="0"/>
    <x v="4"/>
    <x v="1"/>
    <x v="8"/>
    <x v="5"/>
    <s v="4TH STREET 75CL NON ALCOHOLIC SWEET WINE"/>
    <n v="38"/>
    <x v="1"/>
    <n v="729600"/>
  </r>
  <r>
    <x v="0"/>
    <x v="0"/>
    <x v="0"/>
    <x v="3"/>
    <x v="3"/>
    <x v="3"/>
    <x v="3"/>
    <x v="0"/>
    <x v="0"/>
    <x v="1"/>
    <x v="3"/>
    <x v="1"/>
    <s v="HUNTERS DRY 4X(6X330ML)"/>
    <n v="5"/>
    <x v="7"/>
    <n v="108000"/>
  </r>
  <r>
    <x v="0"/>
    <x v="0"/>
    <x v="0"/>
    <x v="3"/>
    <x v="3"/>
    <x v="3"/>
    <x v="3"/>
    <x v="0"/>
    <x v="0"/>
    <x v="1"/>
    <x v="3"/>
    <x v="1"/>
    <s v="HUNTERS GOLD 4X(6X330ML)"/>
    <n v="5"/>
    <x v="7"/>
    <n v="108000"/>
  </r>
  <r>
    <x v="0"/>
    <x v="0"/>
    <x v="0"/>
    <x v="3"/>
    <x v="3"/>
    <x v="3"/>
    <x v="3"/>
    <x v="0"/>
    <x v="0"/>
    <x v="1"/>
    <x v="3"/>
    <x v="1"/>
    <s v="DROSTDY HOF 6X75CL RED CLARET "/>
    <n v="5"/>
    <x v="0"/>
    <n v="150000"/>
  </r>
  <r>
    <x v="0"/>
    <x v="0"/>
    <x v="0"/>
    <x v="3"/>
    <x v="3"/>
    <x v="3"/>
    <x v="3"/>
    <x v="0"/>
    <x v="0"/>
    <x v="1"/>
    <x v="3"/>
    <x v="1"/>
    <s v="CHAMDOR RED"/>
    <n v="150"/>
    <x v="4"/>
    <n v="4140000"/>
  </r>
  <r>
    <x v="0"/>
    <x v="0"/>
    <x v="0"/>
    <x v="3"/>
    <x v="3"/>
    <x v="3"/>
    <x v="3"/>
    <x v="0"/>
    <x v="0"/>
    <x v="1"/>
    <x v="3"/>
    <x v="1"/>
    <s v="CHAMDOR WHITE"/>
    <n v="15"/>
    <x v="4"/>
    <n v="414000"/>
  </r>
  <r>
    <x v="0"/>
    <x v="0"/>
    <x v="0"/>
    <x v="3"/>
    <x v="3"/>
    <x v="3"/>
    <x v="3"/>
    <x v="0"/>
    <x v="0"/>
    <x v="1"/>
    <x v="3"/>
    <x v="1"/>
    <s v="4TH STREET RED 6X75CL"/>
    <n v="40"/>
    <x v="5"/>
    <n v="864000"/>
  </r>
  <r>
    <x v="0"/>
    <x v="0"/>
    <x v="0"/>
    <x v="3"/>
    <x v="3"/>
    <x v="3"/>
    <x v="3"/>
    <x v="0"/>
    <x v="0"/>
    <x v="1"/>
    <x v="3"/>
    <x v="1"/>
    <s v="4TH STREET WHITE 6X75CL"/>
    <n v="5"/>
    <x v="5"/>
    <n v="108000"/>
  </r>
  <r>
    <x v="0"/>
    <x v="0"/>
    <x v="0"/>
    <x v="3"/>
    <x v="3"/>
    <x v="3"/>
    <x v="3"/>
    <x v="0"/>
    <x v="0"/>
    <x v="1"/>
    <x v="3"/>
    <x v="1"/>
    <s v="4TH STREET ROSE 6X75CL"/>
    <n v="13"/>
    <x v="5"/>
    <n v="280800"/>
  </r>
  <r>
    <x v="0"/>
    <x v="0"/>
    <x v="0"/>
    <x v="3"/>
    <x v="3"/>
    <x v="3"/>
    <x v="3"/>
    <x v="0"/>
    <x v="0"/>
    <x v="1"/>
    <x v="3"/>
    <x v="1"/>
    <s v="4TH STREET 75CL NON ALCOHOLIC SWEET WINE"/>
    <n v="15"/>
    <x v="1"/>
    <n v="288000"/>
  </r>
  <r>
    <x v="0"/>
    <x v="0"/>
    <x v="0"/>
    <x v="3"/>
    <x v="3"/>
    <x v="3"/>
    <x v="9"/>
    <x v="2"/>
    <x v="6"/>
    <x v="2"/>
    <x v="11"/>
    <x v="6"/>
    <s v="HUNTERS DRY 4X(6X330ML)"/>
    <n v="2"/>
    <x v="7"/>
    <n v="43200"/>
  </r>
  <r>
    <x v="0"/>
    <x v="0"/>
    <x v="0"/>
    <x v="3"/>
    <x v="3"/>
    <x v="3"/>
    <x v="9"/>
    <x v="2"/>
    <x v="6"/>
    <x v="2"/>
    <x v="11"/>
    <x v="6"/>
    <s v="CHAMDOR RED"/>
    <n v="15"/>
    <x v="4"/>
    <n v="414000"/>
  </r>
  <r>
    <x v="0"/>
    <x v="0"/>
    <x v="0"/>
    <x v="3"/>
    <x v="3"/>
    <x v="3"/>
    <x v="9"/>
    <x v="2"/>
    <x v="6"/>
    <x v="2"/>
    <x v="11"/>
    <x v="6"/>
    <s v="4TH STREET WHITE 6X75CL"/>
    <n v="2"/>
    <x v="5"/>
    <n v="43200"/>
  </r>
  <r>
    <x v="0"/>
    <x v="0"/>
    <x v="0"/>
    <x v="3"/>
    <x v="3"/>
    <x v="3"/>
    <x v="9"/>
    <x v="2"/>
    <x v="6"/>
    <x v="2"/>
    <x v="11"/>
    <x v="6"/>
    <s v="4TH STREET ROSE 6X75CL"/>
    <n v="2"/>
    <x v="5"/>
    <n v="43200"/>
  </r>
  <r>
    <x v="0"/>
    <x v="0"/>
    <x v="0"/>
    <x v="3"/>
    <x v="3"/>
    <x v="3"/>
    <x v="9"/>
    <x v="2"/>
    <x v="7"/>
    <x v="2"/>
    <x v="12"/>
    <x v="6"/>
    <s v="DROSTDY HOF 6X75CL RED CLARET "/>
    <n v="10"/>
    <x v="0"/>
    <n v="300000"/>
  </r>
  <r>
    <x v="0"/>
    <x v="0"/>
    <x v="0"/>
    <x v="3"/>
    <x v="3"/>
    <x v="3"/>
    <x v="9"/>
    <x v="2"/>
    <x v="7"/>
    <x v="2"/>
    <x v="12"/>
    <x v="6"/>
    <s v="DROSTY HOF RED CLARET 12X375ML"/>
    <n v="10"/>
    <x v="0"/>
    <n v="340000"/>
  </r>
  <r>
    <x v="0"/>
    <x v="0"/>
    <x v="0"/>
    <x v="3"/>
    <x v="3"/>
    <x v="3"/>
    <x v="9"/>
    <x v="2"/>
    <x v="7"/>
    <x v="2"/>
    <x v="12"/>
    <x v="6"/>
    <s v="BAIN'S WHISKY 6X75CL"/>
    <n v="2"/>
    <x v="8"/>
    <n v="160000"/>
  </r>
  <r>
    <x v="0"/>
    <x v="0"/>
    <x v="0"/>
    <x v="3"/>
    <x v="3"/>
    <x v="3"/>
    <x v="16"/>
    <x v="3"/>
    <x v="16"/>
    <x v="1"/>
    <x v="28"/>
    <x v="13"/>
    <s v="HUNTERS DRY 4X(6X330ML)"/>
    <n v="32"/>
    <x v="7"/>
    <n v="691200"/>
  </r>
  <r>
    <x v="0"/>
    <x v="0"/>
    <x v="0"/>
    <x v="3"/>
    <x v="3"/>
    <x v="3"/>
    <x v="16"/>
    <x v="3"/>
    <x v="16"/>
    <x v="1"/>
    <x v="28"/>
    <x v="13"/>
    <s v="TWO OCEAN SHIRAZ 6X75CL"/>
    <n v="16"/>
    <x v="10"/>
    <n v="480000"/>
  </r>
  <r>
    <x v="0"/>
    <x v="0"/>
    <x v="0"/>
    <x v="3"/>
    <x v="3"/>
    <x v="3"/>
    <x v="16"/>
    <x v="3"/>
    <x v="16"/>
    <x v="1"/>
    <x v="28"/>
    <x v="13"/>
    <s v="CHAMDOR RED"/>
    <n v="105"/>
    <x v="4"/>
    <n v="2898000"/>
  </r>
  <r>
    <x v="0"/>
    <x v="0"/>
    <x v="0"/>
    <x v="3"/>
    <x v="3"/>
    <x v="3"/>
    <x v="16"/>
    <x v="3"/>
    <x v="16"/>
    <x v="1"/>
    <x v="28"/>
    <x v="13"/>
    <s v="4TH STREET RED 6X75CL"/>
    <n v="120"/>
    <x v="5"/>
    <n v="2592000"/>
  </r>
  <r>
    <x v="0"/>
    <x v="0"/>
    <x v="0"/>
    <x v="3"/>
    <x v="3"/>
    <x v="3"/>
    <x v="16"/>
    <x v="3"/>
    <x v="16"/>
    <x v="1"/>
    <x v="28"/>
    <x v="13"/>
    <s v="4TH STREET SPARKLING RED"/>
    <n v="42"/>
    <x v="3"/>
    <n v="982800"/>
  </r>
  <r>
    <x v="0"/>
    <x v="0"/>
    <x v="0"/>
    <x v="3"/>
    <x v="3"/>
    <x v="3"/>
    <x v="16"/>
    <x v="3"/>
    <x v="16"/>
    <x v="1"/>
    <x v="28"/>
    <x v="13"/>
    <s v="4TH STREET 75CL NON ALCOHOLIC SWEET WINE"/>
    <n v="83"/>
    <x v="1"/>
    <n v="1593600"/>
  </r>
  <r>
    <x v="0"/>
    <x v="0"/>
    <x v="0"/>
    <x v="3"/>
    <x v="3"/>
    <x v="3"/>
    <x v="1"/>
    <x v="3"/>
    <x v="14"/>
    <x v="0"/>
    <x v="21"/>
    <x v="11"/>
    <s v="HUNTERS DRY 4X(6X330ML)"/>
    <n v="10"/>
    <x v="7"/>
    <n v="216000"/>
  </r>
  <r>
    <x v="0"/>
    <x v="0"/>
    <x v="0"/>
    <x v="3"/>
    <x v="3"/>
    <x v="3"/>
    <x v="1"/>
    <x v="3"/>
    <x v="14"/>
    <x v="0"/>
    <x v="21"/>
    <x v="11"/>
    <s v="DROSTDY HOF 6X75CL RED CLARET "/>
    <n v="30"/>
    <x v="0"/>
    <n v="900000"/>
  </r>
  <r>
    <x v="0"/>
    <x v="0"/>
    <x v="0"/>
    <x v="3"/>
    <x v="3"/>
    <x v="3"/>
    <x v="1"/>
    <x v="3"/>
    <x v="14"/>
    <x v="0"/>
    <x v="21"/>
    <x v="11"/>
    <s v="AMARULA CREAM 6X700ML"/>
    <n v="16"/>
    <x v="2"/>
    <n v="480000"/>
  </r>
  <r>
    <x v="0"/>
    <x v="0"/>
    <x v="0"/>
    <x v="3"/>
    <x v="3"/>
    <x v="3"/>
    <x v="1"/>
    <x v="3"/>
    <x v="14"/>
    <x v="0"/>
    <x v="21"/>
    <x v="11"/>
    <s v="CHAMDOR RED"/>
    <n v="140"/>
    <x v="4"/>
    <n v="3864000"/>
  </r>
  <r>
    <x v="0"/>
    <x v="0"/>
    <x v="0"/>
    <x v="3"/>
    <x v="3"/>
    <x v="3"/>
    <x v="1"/>
    <x v="3"/>
    <x v="14"/>
    <x v="0"/>
    <x v="21"/>
    <x v="11"/>
    <s v="CHAMDOR WHITE"/>
    <n v="40"/>
    <x v="4"/>
    <n v="1104000"/>
  </r>
  <r>
    <x v="0"/>
    <x v="0"/>
    <x v="0"/>
    <x v="3"/>
    <x v="3"/>
    <x v="3"/>
    <x v="1"/>
    <x v="3"/>
    <x v="14"/>
    <x v="0"/>
    <x v="21"/>
    <x v="11"/>
    <s v="4TH STREET RED 6X75CL"/>
    <n v="140"/>
    <x v="5"/>
    <n v="3024000"/>
  </r>
  <r>
    <x v="0"/>
    <x v="0"/>
    <x v="0"/>
    <x v="3"/>
    <x v="3"/>
    <x v="3"/>
    <x v="1"/>
    <x v="3"/>
    <x v="14"/>
    <x v="0"/>
    <x v="21"/>
    <x v="11"/>
    <s v="4TH STREET WHITE 6X75CL"/>
    <n v="16"/>
    <x v="5"/>
    <n v="345600"/>
  </r>
  <r>
    <x v="0"/>
    <x v="0"/>
    <x v="0"/>
    <x v="3"/>
    <x v="3"/>
    <x v="3"/>
    <x v="1"/>
    <x v="3"/>
    <x v="14"/>
    <x v="0"/>
    <x v="21"/>
    <x v="11"/>
    <s v="4TH STREET ROSE 6X75CL"/>
    <n v="70"/>
    <x v="5"/>
    <n v="1512000"/>
  </r>
  <r>
    <x v="0"/>
    <x v="0"/>
    <x v="0"/>
    <x v="3"/>
    <x v="3"/>
    <x v="3"/>
    <x v="1"/>
    <x v="3"/>
    <x v="14"/>
    <x v="0"/>
    <x v="21"/>
    <x v="11"/>
    <s v="4TH STREET 75CL NON ALCOHOLIC SWEET WINE"/>
    <n v="26"/>
    <x v="1"/>
    <n v="499200"/>
  </r>
  <r>
    <x v="0"/>
    <x v="0"/>
    <x v="0"/>
    <x v="3"/>
    <x v="3"/>
    <x v="3"/>
    <x v="1"/>
    <x v="3"/>
    <x v="14"/>
    <x v="0"/>
    <x v="21"/>
    <x v="11"/>
    <s v="NEDERBURG WINE MASTER RANGE MERLOT  6X750ML"/>
    <n v="14"/>
    <x v="6"/>
    <n v="1288000"/>
  </r>
  <r>
    <x v="0"/>
    <x v="0"/>
    <x v="0"/>
    <x v="3"/>
    <x v="3"/>
    <x v="3"/>
    <x v="1"/>
    <x v="3"/>
    <x v="14"/>
    <x v="0"/>
    <x v="22"/>
    <x v="11"/>
    <s v="DROSTDY HOF 6X75CL RED CLARET "/>
    <n v="39"/>
    <x v="0"/>
    <n v="1170000"/>
  </r>
  <r>
    <x v="0"/>
    <x v="0"/>
    <x v="0"/>
    <x v="3"/>
    <x v="3"/>
    <x v="3"/>
    <x v="1"/>
    <x v="3"/>
    <x v="14"/>
    <x v="0"/>
    <x v="22"/>
    <x v="11"/>
    <s v="DROSTY HOF RED CLARET 12X375ML"/>
    <n v="27"/>
    <x v="0"/>
    <n v="918000"/>
  </r>
  <r>
    <x v="0"/>
    <x v="0"/>
    <x v="0"/>
    <x v="3"/>
    <x v="3"/>
    <x v="3"/>
    <x v="1"/>
    <x v="3"/>
    <x v="14"/>
    <x v="0"/>
    <x v="22"/>
    <x v="11"/>
    <s v="AMARULA CREAM 6X700ML"/>
    <n v="25"/>
    <x v="2"/>
    <n v="750000"/>
  </r>
  <r>
    <x v="0"/>
    <x v="0"/>
    <x v="0"/>
    <x v="3"/>
    <x v="3"/>
    <x v="3"/>
    <x v="1"/>
    <x v="3"/>
    <x v="14"/>
    <x v="0"/>
    <x v="22"/>
    <x v="11"/>
    <s v="CHAMDOR RED"/>
    <n v="139"/>
    <x v="4"/>
    <n v="3836400"/>
  </r>
  <r>
    <x v="0"/>
    <x v="0"/>
    <x v="0"/>
    <x v="3"/>
    <x v="3"/>
    <x v="3"/>
    <x v="1"/>
    <x v="3"/>
    <x v="14"/>
    <x v="0"/>
    <x v="22"/>
    <x v="11"/>
    <s v="4TH STREET RED 6X75CL"/>
    <n v="135"/>
    <x v="5"/>
    <n v="2916000"/>
  </r>
  <r>
    <x v="0"/>
    <x v="0"/>
    <x v="0"/>
    <x v="3"/>
    <x v="3"/>
    <x v="3"/>
    <x v="1"/>
    <x v="3"/>
    <x v="14"/>
    <x v="0"/>
    <x v="22"/>
    <x v="11"/>
    <s v="4TH STREET WHITE 6X75CL"/>
    <n v="5"/>
    <x v="5"/>
    <n v="108000"/>
  </r>
  <r>
    <x v="0"/>
    <x v="0"/>
    <x v="0"/>
    <x v="3"/>
    <x v="3"/>
    <x v="3"/>
    <x v="1"/>
    <x v="3"/>
    <x v="14"/>
    <x v="0"/>
    <x v="22"/>
    <x v="11"/>
    <s v="4TH STREET ROSE 6X75CL"/>
    <n v="70"/>
    <x v="5"/>
    <n v="1512000"/>
  </r>
  <r>
    <x v="0"/>
    <x v="0"/>
    <x v="0"/>
    <x v="3"/>
    <x v="3"/>
    <x v="3"/>
    <x v="1"/>
    <x v="3"/>
    <x v="14"/>
    <x v="0"/>
    <x v="22"/>
    <x v="11"/>
    <s v="4TH STREET 75CL NON ALCOHOLIC SWEET WINE"/>
    <n v="5"/>
    <x v="1"/>
    <n v="96000"/>
  </r>
  <r>
    <x v="0"/>
    <x v="0"/>
    <x v="0"/>
    <x v="3"/>
    <x v="3"/>
    <x v="3"/>
    <x v="15"/>
    <x v="3"/>
    <x v="15"/>
    <x v="1"/>
    <x v="23"/>
    <x v="12"/>
    <s v="HUNTERS DRY 4X(6X330ML)"/>
    <n v="5"/>
    <x v="7"/>
    <n v="108000"/>
  </r>
  <r>
    <x v="0"/>
    <x v="0"/>
    <x v="0"/>
    <x v="3"/>
    <x v="3"/>
    <x v="3"/>
    <x v="15"/>
    <x v="3"/>
    <x v="15"/>
    <x v="1"/>
    <x v="23"/>
    <x v="12"/>
    <s v="DROSTY HOF RED CLARET 12X375ML"/>
    <n v="5"/>
    <x v="0"/>
    <n v="170000"/>
  </r>
  <r>
    <x v="0"/>
    <x v="0"/>
    <x v="0"/>
    <x v="3"/>
    <x v="3"/>
    <x v="3"/>
    <x v="15"/>
    <x v="3"/>
    <x v="15"/>
    <x v="1"/>
    <x v="23"/>
    <x v="12"/>
    <s v="AMARULA CREAM 6X700ML"/>
    <n v="1"/>
    <x v="2"/>
    <n v="30000"/>
  </r>
  <r>
    <x v="0"/>
    <x v="0"/>
    <x v="0"/>
    <x v="3"/>
    <x v="3"/>
    <x v="3"/>
    <x v="15"/>
    <x v="3"/>
    <x v="15"/>
    <x v="1"/>
    <x v="23"/>
    <x v="12"/>
    <s v="CHAMDOR RED"/>
    <n v="48"/>
    <x v="4"/>
    <n v="1324800"/>
  </r>
  <r>
    <x v="0"/>
    <x v="0"/>
    <x v="0"/>
    <x v="3"/>
    <x v="3"/>
    <x v="3"/>
    <x v="15"/>
    <x v="3"/>
    <x v="15"/>
    <x v="1"/>
    <x v="23"/>
    <x v="12"/>
    <s v="4TH STREET RED 6X75CL"/>
    <n v="28"/>
    <x v="5"/>
    <n v="604800"/>
  </r>
  <r>
    <x v="0"/>
    <x v="0"/>
    <x v="0"/>
    <x v="3"/>
    <x v="3"/>
    <x v="3"/>
    <x v="15"/>
    <x v="3"/>
    <x v="15"/>
    <x v="1"/>
    <x v="23"/>
    <x v="12"/>
    <s v="4TH STREET 75CL NON ALCOHOLIC SWEET WINE"/>
    <n v="10"/>
    <x v="1"/>
    <n v="192000"/>
  </r>
  <r>
    <x v="0"/>
    <x v="0"/>
    <x v="0"/>
    <x v="3"/>
    <x v="3"/>
    <x v="3"/>
    <x v="15"/>
    <x v="3"/>
    <x v="15"/>
    <x v="1"/>
    <x v="24"/>
    <x v="12"/>
    <s v="AMARULA CREAM 6X700ML"/>
    <n v="1"/>
    <x v="2"/>
    <n v="30000"/>
  </r>
  <r>
    <x v="0"/>
    <x v="0"/>
    <x v="0"/>
    <x v="3"/>
    <x v="3"/>
    <x v="3"/>
    <x v="15"/>
    <x v="3"/>
    <x v="15"/>
    <x v="1"/>
    <x v="24"/>
    <x v="12"/>
    <s v="BAIN'S WHISKY 6X75CL"/>
    <n v="1"/>
    <x v="8"/>
    <n v="80000"/>
  </r>
  <r>
    <x v="0"/>
    <x v="0"/>
    <x v="0"/>
    <x v="3"/>
    <x v="3"/>
    <x v="3"/>
    <x v="15"/>
    <x v="3"/>
    <x v="15"/>
    <x v="1"/>
    <x v="24"/>
    <x v="12"/>
    <s v="CHAMDOR RED"/>
    <n v="73"/>
    <x v="4"/>
    <n v="2014800"/>
  </r>
  <r>
    <x v="0"/>
    <x v="0"/>
    <x v="0"/>
    <x v="3"/>
    <x v="3"/>
    <x v="3"/>
    <x v="15"/>
    <x v="3"/>
    <x v="15"/>
    <x v="1"/>
    <x v="24"/>
    <x v="12"/>
    <s v="CHAMDOR WHITE"/>
    <n v="21"/>
    <x v="4"/>
    <n v="579600"/>
  </r>
  <r>
    <x v="0"/>
    <x v="0"/>
    <x v="0"/>
    <x v="3"/>
    <x v="3"/>
    <x v="3"/>
    <x v="15"/>
    <x v="3"/>
    <x v="15"/>
    <x v="1"/>
    <x v="24"/>
    <x v="12"/>
    <s v="4TH STREET RED 6X75CL"/>
    <n v="34"/>
    <x v="5"/>
    <n v="734400"/>
  </r>
  <r>
    <x v="0"/>
    <x v="0"/>
    <x v="0"/>
    <x v="3"/>
    <x v="3"/>
    <x v="3"/>
    <x v="15"/>
    <x v="3"/>
    <x v="15"/>
    <x v="1"/>
    <x v="24"/>
    <x v="12"/>
    <s v="4TH STREET 75CL NON ALCOHOLIC SWEET WINE"/>
    <n v="32"/>
    <x v="1"/>
    <n v="614400"/>
  </r>
  <r>
    <x v="0"/>
    <x v="0"/>
    <x v="0"/>
    <x v="3"/>
    <x v="3"/>
    <x v="3"/>
    <x v="15"/>
    <x v="3"/>
    <x v="15"/>
    <x v="1"/>
    <x v="25"/>
    <x v="12"/>
    <s v="CHAMDOR RED"/>
    <n v="45"/>
    <x v="4"/>
    <n v="1242000"/>
  </r>
  <r>
    <x v="0"/>
    <x v="0"/>
    <x v="0"/>
    <x v="3"/>
    <x v="3"/>
    <x v="3"/>
    <x v="15"/>
    <x v="3"/>
    <x v="15"/>
    <x v="1"/>
    <x v="25"/>
    <x v="12"/>
    <s v="4TH STREET RED 6X75CL"/>
    <n v="53"/>
    <x v="5"/>
    <n v="1144800"/>
  </r>
  <r>
    <x v="0"/>
    <x v="0"/>
    <x v="0"/>
    <x v="3"/>
    <x v="3"/>
    <x v="3"/>
    <x v="15"/>
    <x v="3"/>
    <x v="15"/>
    <x v="1"/>
    <x v="25"/>
    <x v="12"/>
    <s v="4TH STREET 75CL NON ALCOHOLIC SWEET WINE"/>
    <n v="54"/>
    <x v="1"/>
    <n v="1036800"/>
  </r>
  <r>
    <x v="0"/>
    <x v="0"/>
    <x v="0"/>
    <x v="3"/>
    <x v="3"/>
    <x v="3"/>
    <x v="16"/>
    <x v="3"/>
    <x v="16"/>
    <x v="1"/>
    <x v="26"/>
    <x v="13"/>
    <s v="DROSTDY HOF 6X75CL RED CLARET "/>
    <n v="12"/>
    <x v="0"/>
    <n v="360000"/>
  </r>
  <r>
    <x v="0"/>
    <x v="0"/>
    <x v="0"/>
    <x v="3"/>
    <x v="3"/>
    <x v="3"/>
    <x v="16"/>
    <x v="3"/>
    <x v="16"/>
    <x v="1"/>
    <x v="26"/>
    <x v="13"/>
    <s v="AMARULA CREAM 6X700ML"/>
    <n v="2"/>
    <x v="2"/>
    <n v="60000"/>
  </r>
  <r>
    <x v="0"/>
    <x v="0"/>
    <x v="0"/>
    <x v="3"/>
    <x v="3"/>
    <x v="3"/>
    <x v="16"/>
    <x v="3"/>
    <x v="16"/>
    <x v="1"/>
    <x v="26"/>
    <x v="13"/>
    <s v="CHAMDOR RED"/>
    <n v="103"/>
    <x v="4"/>
    <n v="2842800"/>
  </r>
  <r>
    <x v="0"/>
    <x v="0"/>
    <x v="0"/>
    <x v="3"/>
    <x v="3"/>
    <x v="3"/>
    <x v="16"/>
    <x v="3"/>
    <x v="16"/>
    <x v="1"/>
    <x v="26"/>
    <x v="13"/>
    <s v="4TH STREET RED 6X75CL"/>
    <n v="135"/>
    <x v="5"/>
    <n v="2916000"/>
  </r>
  <r>
    <x v="0"/>
    <x v="0"/>
    <x v="0"/>
    <x v="3"/>
    <x v="3"/>
    <x v="3"/>
    <x v="16"/>
    <x v="3"/>
    <x v="16"/>
    <x v="1"/>
    <x v="26"/>
    <x v="13"/>
    <s v="4TH STREET SPARKLING RED"/>
    <n v="45"/>
    <x v="3"/>
    <n v="1053000"/>
  </r>
  <r>
    <x v="0"/>
    <x v="0"/>
    <x v="0"/>
    <x v="3"/>
    <x v="3"/>
    <x v="3"/>
    <x v="16"/>
    <x v="3"/>
    <x v="16"/>
    <x v="1"/>
    <x v="26"/>
    <x v="13"/>
    <s v="4TH STREET 75CL NON ALCOHOLIC SWEET WINE"/>
    <n v="61"/>
    <x v="1"/>
    <n v="1171200"/>
  </r>
  <r>
    <x v="0"/>
    <x v="0"/>
    <x v="0"/>
    <x v="3"/>
    <x v="3"/>
    <x v="3"/>
    <x v="16"/>
    <x v="3"/>
    <x v="16"/>
    <x v="1"/>
    <x v="26"/>
    <x v="13"/>
    <s v="NEDERBURG WINE MASTER RANGE MERLOT  6X750ML"/>
    <n v="10"/>
    <x v="6"/>
    <n v="920000"/>
  </r>
  <r>
    <x v="0"/>
    <x v="0"/>
    <x v="0"/>
    <x v="3"/>
    <x v="3"/>
    <x v="3"/>
    <x v="15"/>
    <x v="3"/>
    <x v="17"/>
    <x v="1"/>
    <x v="27"/>
    <x v="12"/>
    <s v="CHAMDOR RED"/>
    <n v="43"/>
    <x v="4"/>
    <n v="1186800"/>
  </r>
  <r>
    <x v="0"/>
    <x v="0"/>
    <x v="0"/>
    <x v="3"/>
    <x v="3"/>
    <x v="3"/>
    <x v="15"/>
    <x v="3"/>
    <x v="17"/>
    <x v="1"/>
    <x v="27"/>
    <x v="12"/>
    <s v="4TH STREET RED 6X75CL"/>
    <n v="43"/>
    <x v="5"/>
    <n v="928800"/>
  </r>
  <r>
    <x v="0"/>
    <x v="0"/>
    <x v="0"/>
    <x v="3"/>
    <x v="3"/>
    <x v="3"/>
    <x v="15"/>
    <x v="3"/>
    <x v="17"/>
    <x v="1"/>
    <x v="27"/>
    <x v="12"/>
    <s v="4TH STREET 75CL NON ALCOHOLIC SWEET WINE"/>
    <n v="37"/>
    <x v="1"/>
    <n v="710400"/>
  </r>
  <r>
    <x v="0"/>
    <x v="0"/>
    <x v="0"/>
    <x v="3"/>
    <x v="3"/>
    <x v="3"/>
    <x v="4"/>
    <x v="1"/>
    <x v="1"/>
    <x v="0"/>
    <x v="4"/>
    <x v="2"/>
    <s v="HUNTERS DRY 4X(6X330ML)"/>
    <n v="12"/>
    <x v="7"/>
    <n v="259200"/>
  </r>
  <r>
    <x v="0"/>
    <x v="0"/>
    <x v="0"/>
    <x v="3"/>
    <x v="3"/>
    <x v="3"/>
    <x v="4"/>
    <x v="1"/>
    <x v="1"/>
    <x v="0"/>
    <x v="4"/>
    <x v="2"/>
    <s v="TWO OCEAN SHIRAZ 6X75CL"/>
    <n v="2"/>
    <x v="10"/>
    <n v="60000"/>
  </r>
  <r>
    <x v="0"/>
    <x v="0"/>
    <x v="0"/>
    <x v="3"/>
    <x v="3"/>
    <x v="3"/>
    <x v="4"/>
    <x v="1"/>
    <x v="1"/>
    <x v="0"/>
    <x v="4"/>
    <x v="2"/>
    <s v="DROSTDY HOF 6X75CL RED CLARET "/>
    <n v="19"/>
    <x v="0"/>
    <n v="570000"/>
  </r>
  <r>
    <x v="0"/>
    <x v="0"/>
    <x v="0"/>
    <x v="3"/>
    <x v="3"/>
    <x v="3"/>
    <x v="4"/>
    <x v="1"/>
    <x v="1"/>
    <x v="0"/>
    <x v="4"/>
    <x v="2"/>
    <s v="DROSTY HOF RED CLARET 12X375ML"/>
    <n v="4"/>
    <x v="0"/>
    <n v="136000"/>
  </r>
  <r>
    <x v="0"/>
    <x v="0"/>
    <x v="0"/>
    <x v="3"/>
    <x v="3"/>
    <x v="3"/>
    <x v="4"/>
    <x v="1"/>
    <x v="1"/>
    <x v="0"/>
    <x v="4"/>
    <x v="2"/>
    <s v="AMARULA CREAM 6X700ML"/>
    <n v="38"/>
    <x v="2"/>
    <n v="1140000"/>
  </r>
  <r>
    <x v="0"/>
    <x v="0"/>
    <x v="0"/>
    <x v="3"/>
    <x v="3"/>
    <x v="3"/>
    <x v="4"/>
    <x v="1"/>
    <x v="1"/>
    <x v="0"/>
    <x v="4"/>
    <x v="2"/>
    <s v="CHAMDOR RED"/>
    <n v="320"/>
    <x v="4"/>
    <n v="8832000"/>
  </r>
  <r>
    <x v="0"/>
    <x v="0"/>
    <x v="0"/>
    <x v="3"/>
    <x v="3"/>
    <x v="3"/>
    <x v="4"/>
    <x v="1"/>
    <x v="1"/>
    <x v="0"/>
    <x v="4"/>
    <x v="2"/>
    <s v="CHAMDOR WHITE"/>
    <n v="23"/>
    <x v="4"/>
    <n v="634800"/>
  </r>
  <r>
    <x v="0"/>
    <x v="0"/>
    <x v="0"/>
    <x v="3"/>
    <x v="3"/>
    <x v="3"/>
    <x v="4"/>
    <x v="1"/>
    <x v="1"/>
    <x v="0"/>
    <x v="4"/>
    <x v="2"/>
    <s v="4TH STREET RED 6X75CL"/>
    <n v="79"/>
    <x v="5"/>
    <n v="1706400"/>
  </r>
  <r>
    <x v="0"/>
    <x v="0"/>
    <x v="0"/>
    <x v="3"/>
    <x v="3"/>
    <x v="3"/>
    <x v="4"/>
    <x v="1"/>
    <x v="1"/>
    <x v="0"/>
    <x v="4"/>
    <x v="2"/>
    <s v="4TH STREET WHITE 6X75CL"/>
    <n v="10"/>
    <x v="5"/>
    <n v="216000"/>
  </r>
  <r>
    <x v="0"/>
    <x v="0"/>
    <x v="0"/>
    <x v="3"/>
    <x v="3"/>
    <x v="3"/>
    <x v="4"/>
    <x v="1"/>
    <x v="1"/>
    <x v="0"/>
    <x v="4"/>
    <x v="2"/>
    <s v="4TH STREET ROSE 6X75CL"/>
    <n v="21"/>
    <x v="5"/>
    <n v="453600"/>
  </r>
  <r>
    <x v="0"/>
    <x v="0"/>
    <x v="0"/>
    <x v="3"/>
    <x v="3"/>
    <x v="3"/>
    <x v="4"/>
    <x v="1"/>
    <x v="1"/>
    <x v="0"/>
    <x v="4"/>
    <x v="2"/>
    <s v="4TH STREET SPARKLING RED"/>
    <n v="4"/>
    <x v="3"/>
    <n v="93600"/>
  </r>
  <r>
    <x v="0"/>
    <x v="0"/>
    <x v="0"/>
    <x v="3"/>
    <x v="3"/>
    <x v="3"/>
    <x v="4"/>
    <x v="1"/>
    <x v="1"/>
    <x v="0"/>
    <x v="4"/>
    <x v="2"/>
    <s v="4TH STREET 75CL NON ALCOHOLIC SWEET WINE"/>
    <n v="32"/>
    <x v="1"/>
    <n v="614400"/>
  </r>
  <r>
    <x v="0"/>
    <x v="0"/>
    <x v="0"/>
    <x v="3"/>
    <x v="3"/>
    <x v="3"/>
    <x v="5"/>
    <x v="1"/>
    <x v="2"/>
    <x v="0"/>
    <x v="5"/>
    <x v="3"/>
    <s v="HUNTERS DRY 4X(6X330ML)"/>
    <n v="5"/>
    <x v="7"/>
    <n v="108000"/>
  </r>
  <r>
    <x v="0"/>
    <x v="0"/>
    <x v="0"/>
    <x v="3"/>
    <x v="3"/>
    <x v="3"/>
    <x v="5"/>
    <x v="1"/>
    <x v="2"/>
    <x v="0"/>
    <x v="5"/>
    <x v="3"/>
    <s v="DROSTDY HOF 6X75CL RED CLARET "/>
    <n v="6"/>
    <x v="0"/>
    <n v="180000"/>
  </r>
  <r>
    <x v="0"/>
    <x v="0"/>
    <x v="0"/>
    <x v="3"/>
    <x v="3"/>
    <x v="3"/>
    <x v="5"/>
    <x v="1"/>
    <x v="2"/>
    <x v="0"/>
    <x v="5"/>
    <x v="3"/>
    <s v="CHAMDOR RED"/>
    <n v="160"/>
    <x v="4"/>
    <n v="4416000"/>
  </r>
  <r>
    <x v="0"/>
    <x v="0"/>
    <x v="0"/>
    <x v="3"/>
    <x v="3"/>
    <x v="3"/>
    <x v="5"/>
    <x v="1"/>
    <x v="2"/>
    <x v="0"/>
    <x v="5"/>
    <x v="3"/>
    <s v="4TH STREET RED 6X75CL"/>
    <n v="65"/>
    <x v="5"/>
    <n v="1404000"/>
  </r>
  <r>
    <x v="0"/>
    <x v="0"/>
    <x v="0"/>
    <x v="3"/>
    <x v="3"/>
    <x v="3"/>
    <x v="5"/>
    <x v="1"/>
    <x v="2"/>
    <x v="0"/>
    <x v="5"/>
    <x v="3"/>
    <s v="4TH STREET 75CL NON ALCOHOLIC SWEET WINE"/>
    <n v="60"/>
    <x v="1"/>
    <n v="1152000"/>
  </r>
  <r>
    <x v="0"/>
    <x v="0"/>
    <x v="0"/>
    <x v="3"/>
    <x v="3"/>
    <x v="3"/>
    <x v="6"/>
    <x v="1"/>
    <x v="3"/>
    <x v="0"/>
    <x v="6"/>
    <x v="4"/>
    <s v="HUNTERS DRY 4X(6X330ML)"/>
    <n v="15"/>
    <x v="7"/>
    <n v="324000"/>
  </r>
  <r>
    <x v="0"/>
    <x v="0"/>
    <x v="0"/>
    <x v="3"/>
    <x v="3"/>
    <x v="3"/>
    <x v="6"/>
    <x v="1"/>
    <x v="3"/>
    <x v="0"/>
    <x v="6"/>
    <x v="4"/>
    <s v="TWO OCEAN CAB/SAUV 6X75CL"/>
    <n v="21"/>
    <x v="10"/>
    <n v="630000"/>
  </r>
  <r>
    <x v="0"/>
    <x v="0"/>
    <x v="0"/>
    <x v="3"/>
    <x v="3"/>
    <x v="3"/>
    <x v="6"/>
    <x v="1"/>
    <x v="3"/>
    <x v="0"/>
    <x v="6"/>
    <x v="4"/>
    <s v="DROSTDY HOF 6X75CL RED CLARET "/>
    <n v="26"/>
    <x v="0"/>
    <n v="780000"/>
  </r>
  <r>
    <x v="0"/>
    <x v="0"/>
    <x v="0"/>
    <x v="3"/>
    <x v="3"/>
    <x v="3"/>
    <x v="6"/>
    <x v="1"/>
    <x v="3"/>
    <x v="0"/>
    <x v="6"/>
    <x v="4"/>
    <s v="DROSTY HOF RED CLARET 12X375ML"/>
    <n v="25"/>
    <x v="0"/>
    <n v="850000"/>
  </r>
  <r>
    <x v="0"/>
    <x v="0"/>
    <x v="0"/>
    <x v="3"/>
    <x v="3"/>
    <x v="3"/>
    <x v="6"/>
    <x v="1"/>
    <x v="3"/>
    <x v="0"/>
    <x v="6"/>
    <x v="4"/>
    <s v="AMARULA CREAM 12X375ML"/>
    <n v="24"/>
    <x v="2"/>
    <n v="1042680"/>
  </r>
  <r>
    <x v="0"/>
    <x v="0"/>
    <x v="0"/>
    <x v="3"/>
    <x v="3"/>
    <x v="3"/>
    <x v="6"/>
    <x v="1"/>
    <x v="3"/>
    <x v="0"/>
    <x v="6"/>
    <x v="4"/>
    <s v="AMARULA CREAM 6X700ML"/>
    <n v="10"/>
    <x v="2"/>
    <n v="300000"/>
  </r>
  <r>
    <x v="0"/>
    <x v="0"/>
    <x v="0"/>
    <x v="3"/>
    <x v="3"/>
    <x v="3"/>
    <x v="6"/>
    <x v="1"/>
    <x v="3"/>
    <x v="0"/>
    <x v="6"/>
    <x v="4"/>
    <s v="BAIN'S WHISKY 6X75CL"/>
    <n v="5"/>
    <x v="8"/>
    <n v="400000"/>
  </r>
  <r>
    <x v="0"/>
    <x v="0"/>
    <x v="0"/>
    <x v="3"/>
    <x v="3"/>
    <x v="3"/>
    <x v="6"/>
    <x v="1"/>
    <x v="3"/>
    <x v="0"/>
    <x v="6"/>
    <x v="4"/>
    <s v="KNIGHT WHISKY 6X75CL"/>
    <n v="5"/>
    <x v="9"/>
    <n v="250000"/>
  </r>
  <r>
    <x v="0"/>
    <x v="0"/>
    <x v="0"/>
    <x v="3"/>
    <x v="3"/>
    <x v="3"/>
    <x v="6"/>
    <x v="1"/>
    <x v="3"/>
    <x v="0"/>
    <x v="6"/>
    <x v="4"/>
    <s v="SCOTTISH LEADER 6X75CL"/>
    <n v="3"/>
    <x v="11"/>
    <n v="180000"/>
  </r>
  <r>
    <x v="0"/>
    <x v="0"/>
    <x v="0"/>
    <x v="3"/>
    <x v="3"/>
    <x v="3"/>
    <x v="6"/>
    <x v="1"/>
    <x v="3"/>
    <x v="0"/>
    <x v="6"/>
    <x v="4"/>
    <s v="CHAMDOR RED"/>
    <n v="410"/>
    <x v="4"/>
    <n v="11316000"/>
  </r>
  <r>
    <x v="0"/>
    <x v="0"/>
    <x v="0"/>
    <x v="3"/>
    <x v="3"/>
    <x v="3"/>
    <x v="6"/>
    <x v="1"/>
    <x v="3"/>
    <x v="0"/>
    <x v="6"/>
    <x v="4"/>
    <s v="4TH STREET RED 6X75CL"/>
    <n v="90"/>
    <x v="5"/>
    <n v="1944000"/>
  </r>
  <r>
    <x v="0"/>
    <x v="0"/>
    <x v="0"/>
    <x v="3"/>
    <x v="3"/>
    <x v="3"/>
    <x v="6"/>
    <x v="1"/>
    <x v="3"/>
    <x v="0"/>
    <x v="6"/>
    <x v="4"/>
    <s v="4TH STREET 75CL NON ALCOHOLIC SWEET WINE"/>
    <n v="102"/>
    <x v="1"/>
    <n v="1958400"/>
  </r>
  <r>
    <x v="0"/>
    <x v="0"/>
    <x v="0"/>
    <x v="3"/>
    <x v="3"/>
    <x v="3"/>
    <x v="6"/>
    <x v="1"/>
    <x v="3"/>
    <x v="0"/>
    <x v="6"/>
    <x v="4"/>
    <s v="4TH STREET RED 12X37.5CL"/>
    <n v="34"/>
    <x v="5"/>
    <n v="734400"/>
  </r>
  <r>
    <x v="0"/>
    <x v="0"/>
    <x v="0"/>
    <x v="3"/>
    <x v="3"/>
    <x v="3"/>
    <x v="6"/>
    <x v="1"/>
    <x v="3"/>
    <x v="0"/>
    <x v="6"/>
    <x v="4"/>
    <s v="NEDERBURG WINE MASTER RANGE MERLOT  6X750ML"/>
    <n v="9"/>
    <x v="6"/>
    <n v="828000"/>
  </r>
  <r>
    <x v="0"/>
    <x v="0"/>
    <x v="0"/>
    <x v="3"/>
    <x v="3"/>
    <x v="3"/>
    <x v="7"/>
    <x v="1"/>
    <x v="3"/>
    <x v="0"/>
    <x v="7"/>
    <x v="4"/>
    <s v="HUNTERS DRY 4X(6X330ML)"/>
    <n v="24"/>
    <x v="7"/>
    <n v="518400"/>
  </r>
  <r>
    <x v="0"/>
    <x v="0"/>
    <x v="0"/>
    <x v="3"/>
    <x v="3"/>
    <x v="3"/>
    <x v="7"/>
    <x v="1"/>
    <x v="3"/>
    <x v="0"/>
    <x v="7"/>
    <x v="4"/>
    <s v="TWO OCEAN CAB/SAUV 6X75CL"/>
    <n v="22"/>
    <x v="10"/>
    <n v="660000"/>
  </r>
  <r>
    <x v="0"/>
    <x v="0"/>
    <x v="0"/>
    <x v="3"/>
    <x v="3"/>
    <x v="3"/>
    <x v="7"/>
    <x v="1"/>
    <x v="3"/>
    <x v="0"/>
    <x v="7"/>
    <x v="4"/>
    <s v="DROSTDY HOF 6X75CL RED CLARET "/>
    <n v="28"/>
    <x v="0"/>
    <n v="840000"/>
  </r>
  <r>
    <x v="0"/>
    <x v="0"/>
    <x v="0"/>
    <x v="3"/>
    <x v="3"/>
    <x v="3"/>
    <x v="7"/>
    <x v="1"/>
    <x v="3"/>
    <x v="0"/>
    <x v="7"/>
    <x v="4"/>
    <s v="DROSTY HOF RED CLARET 12X375ML"/>
    <n v="25"/>
    <x v="0"/>
    <n v="850000"/>
  </r>
  <r>
    <x v="0"/>
    <x v="0"/>
    <x v="0"/>
    <x v="3"/>
    <x v="3"/>
    <x v="3"/>
    <x v="7"/>
    <x v="1"/>
    <x v="3"/>
    <x v="0"/>
    <x v="7"/>
    <x v="4"/>
    <s v="AMARULA CREAM 12X375ML"/>
    <n v="18"/>
    <x v="2"/>
    <n v="782010"/>
  </r>
  <r>
    <x v="0"/>
    <x v="0"/>
    <x v="0"/>
    <x v="3"/>
    <x v="3"/>
    <x v="3"/>
    <x v="7"/>
    <x v="1"/>
    <x v="3"/>
    <x v="0"/>
    <x v="7"/>
    <x v="4"/>
    <s v="AMARULA CREAM 6X700ML"/>
    <n v="24"/>
    <x v="2"/>
    <n v="720000"/>
  </r>
  <r>
    <x v="0"/>
    <x v="0"/>
    <x v="0"/>
    <x v="3"/>
    <x v="3"/>
    <x v="3"/>
    <x v="7"/>
    <x v="1"/>
    <x v="3"/>
    <x v="0"/>
    <x v="7"/>
    <x v="4"/>
    <s v="BAIN'S WHISKY 6X75CL"/>
    <n v="4"/>
    <x v="8"/>
    <n v="320000"/>
  </r>
  <r>
    <x v="0"/>
    <x v="0"/>
    <x v="0"/>
    <x v="3"/>
    <x v="3"/>
    <x v="3"/>
    <x v="7"/>
    <x v="1"/>
    <x v="3"/>
    <x v="0"/>
    <x v="7"/>
    <x v="4"/>
    <s v="KNIGHT WHISKY 6X75CL"/>
    <n v="1"/>
    <x v="9"/>
    <n v="50000"/>
  </r>
  <r>
    <x v="0"/>
    <x v="0"/>
    <x v="0"/>
    <x v="3"/>
    <x v="3"/>
    <x v="3"/>
    <x v="7"/>
    <x v="1"/>
    <x v="3"/>
    <x v="0"/>
    <x v="7"/>
    <x v="4"/>
    <s v="SCOTTISH LEADER 6X75CL"/>
    <n v="2"/>
    <x v="11"/>
    <n v="120000"/>
  </r>
  <r>
    <x v="0"/>
    <x v="0"/>
    <x v="0"/>
    <x v="3"/>
    <x v="3"/>
    <x v="3"/>
    <x v="7"/>
    <x v="1"/>
    <x v="3"/>
    <x v="0"/>
    <x v="7"/>
    <x v="4"/>
    <s v="CHAMDOR RED"/>
    <n v="426"/>
    <x v="4"/>
    <n v="11757600"/>
  </r>
  <r>
    <x v="0"/>
    <x v="0"/>
    <x v="0"/>
    <x v="3"/>
    <x v="3"/>
    <x v="3"/>
    <x v="7"/>
    <x v="1"/>
    <x v="3"/>
    <x v="0"/>
    <x v="7"/>
    <x v="4"/>
    <s v="4TH STREET RED 6X75CL"/>
    <n v="75"/>
    <x v="5"/>
    <n v="1620000"/>
  </r>
  <r>
    <x v="0"/>
    <x v="0"/>
    <x v="0"/>
    <x v="3"/>
    <x v="3"/>
    <x v="3"/>
    <x v="7"/>
    <x v="1"/>
    <x v="3"/>
    <x v="0"/>
    <x v="7"/>
    <x v="4"/>
    <s v="4TH STREET 75CL NON ALCOHOLIC SWEET WINE"/>
    <n v="100"/>
    <x v="1"/>
    <n v="1920000"/>
  </r>
  <r>
    <x v="0"/>
    <x v="0"/>
    <x v="0"/>
    <x v="3"/>
    <x v="3"/>
    <x v="3"/>
    <x v="7"/>
    <x v="1"/>
    <x v="3"/>
    <x v="0"/>
    <x v="7"/>
    <x v="4"/>
    <s v="4TH STREET RED 12X37.5CL"/>
    <n v="34"/>
    <x v="5"/>
    <n v="734400"/>
  </r>
  <r>
    <x v="0"/>
    <x v="0"/>
    <x v="0"/>
    <x v="3"/>
    <x v="3"/>
    <x v="3"/>
    <x v="7"/>
    <x v="1"/>
    <x v="3"/>
    <x v="0"/>
    <x v="7"/>
    <x v="4"/>
    <s v="NEDERBURG WINE MASTER RANGE MERLOT  6X750ML"/>
    <n v="3"/>
    <x v="6"/>
    <n v="276000"/>
  </r>
  <r>
    <x v="0"/>
    <x v="0"/>
    <x v="0"/>
    <x v="3"/>
    <x v="3"/>
    <x v="3"/>
    <x v="10"/>
    <x v="1"/>
    <x v="8"/>
    <x v="1"/>
    <x v="13"/>
    <x v="7"/>
    <s v="HUNTERS GOLD 4X(6X330ML)"/>
    <n v="7"/>
    <x v="7"/>
    <n v="151200"/>
  </r>
  <r>
    <x v="0"/>
    <x v="0"/>
    <x v="0"/>
    <x v="3"/>
    <x v="3"/>
    <x v="3"/>
    <x v="10"/>
    <x v="1"/>
    <x v="8"/>
    <x v="1"/>
    <x v="13"/>
    <x v="7"/>
    <s v="DROSTDY HOF 6X75CL RED CLARET "/>
    <n v="6"/>
    <x v="0"/>
    <n v="180000"/>
  </r>
  <r>
    <x v="0"/>
    <x v="0"/>
    <x v="0"/>
    <x v="3"/>
    <x v="3"/>
    <x v="3"/>
    <x v="10"/>
    <x v="1"/>
    <x v="8"/>
    <x v="1"/>
    <x v="13"/>
    <x v="7"/>
    <s v="DROSTY HOF RED CLARET 12X375ML"/>
    <n v="2"/>
    <x v="0"/>
    <n v="68000"/>
  </r>
  <r>
    <x v="0"/>
    <x v="0"/>
    <x v="0"/>
    <x v="3"/>
    <x v="3"/>
    <x v="3"/>
    <x v="10"/>
    <x v="1"/>
    <x v="8"/>
    <x v="1"/>
    <x v="13"/>
    <x v="7"/>
    <s v="CHAMDOR RED"/>
    <n v="56"/>
    <x v="4"/>
    <n v="1545600"/>
  </r>
  <r>
    <x v="0"/>
    <x v="0"/>
    <x v="0"/>
    <x v="3"/>
    <x v="3"/>
    <x v="3"/>
    <x v="10"/>
    <x v="1"/>
    <x v="8"/>
    <x v="1"/>
    <x v="13"/>
    <x v="7"/>
    <s v="CHAMDOR WHITE"/>
    <n v="3"/>
    <x v="4"/>
    <n v="82800"/>
  </r>
  <r>
    <x v="0"/>
    <x v="0"/>
    <x v="0"/>
    <x v="3"/>
    <x v="3"/>
    <x v="3"/>
    <x v="10"/>
    <x v="1"/>
    <x v="8"/>
    <x v="1"/>
    <x v="13"/>
    <x v="7"/>
    <s v="4TH STREET RED 6X75CL"/>
    <n v="44"/>
    <x v="5"/>
    <n v="950400"/>
  </r>
  <r>
    <x v="0"/>
    <x v="0"/>
    <x v="0"/>
    <x v="3"/>
    <x v="3"/>
    <x v="3"/>
    <x v="10"/>
    <x v="1"/>
    <x v="8"/>
    <x v="1"/>
    <x v="13"/>
    <x v="7"/>
    <s v="4TH STREET 75CL NON ALCOHOLIC SWEET WINE"/>
    <n v="12"/>
    <x v="1"/>
    <n v="230400"/>
  </r>
  <r>
    <x v="0"/>
    <x v="0"/>
    <x v="0"/>
    <x v="3"/>
    <x v="3"/>
    <x v="3"/>
    <x v="10"/>
    <x v="1"/>
    <x v="9"/>
    <x v="1"/>
    <x v="14"/>
    <x v="7"/>
    <s v="DROSTY HOF RED CLARET 12X375ML"/>
    <n v="7"/>
    <x v="0"/>
    <n v="238000"/>
  </r>
  <r>
    <x v="0"/>
    <x v="0"/>
    <x v="0"/>
    <x v="3"/>
    <x v="3"/>
    <x v="3"/>
    <x v="10"/>
    <x v="1"/>
    <x v="9"/>
    <x v="1"/>
    <x v="14"/>
    <x v="7"/>
    <s v="CHAMDOR RED"/>
    <n v="47"/>
    <x v="4"/>
    <n v="1297200"/>
  </r>
  <r>
    <x v="0"/>
    <x v="0"/>
    <x v="0"/>
    <x v="3"/>
    <x v="3"/>
    <x v="3"/>
    <x v="10"/>
    <x v="1"/>
    <x v="9"/>
    <x v="1"/>
    <x v="14"/>
    <x v="7"/>
    <s v="CHAMDOR WHITE"/>
    <n v="5"/>
    <x v="4"/>
    <n v="138000"/>
  </r>
  <r>
    <x v="0"/>
    <x v="0"/>
    <x v="0"/>
    <x v="3"/>
    <x v="3"/>
    <x v="3"/>
    <x v="10"/>
    <x v="1"/>
    <x v="9"/>
    <x v="1"/>
    <x v="14"/>
    <x v="7"/>
    <s v="4TH STREET RED 6X75CL"/>
    <n v="57"/>
    <x v="5"/>
    <n v="1231200"/>
  </r>
  <r>
    <x v="0"/>
    <x v="0"/>
    <x v="0"/>
    <x v="3"/>
    <x v="3"/>
    <x v="3"/>
    <x v="10"/>
    <x v="1"/>
    <x v="9"/>
    <x v="1"/>
    <x v="14"/>
    <x v="7"/>
    <s v="4TH STREET 75CL NON ALCOHOLIC SWEET WINE"/>
    <n v="24"/>
    <x v="1"/>
    <n v="460800"/>
  </r>
  <r>
    <x v="0"/>
    <x v="0"/>
    <x v="0"/>
    <x v="3"/>
    <x v="3"/>
    <x v="3"/>
    <x v="11"/>
    <x v="1"/>
    <x v="10"/>
    <x v="1"/>
    <x v="15"/>
    <x v="2"/>
    <s v="HUNTERS DRY 4X(6X330ML)"/>
    <n v="5"/>
    <x v="7"/>
    <n v="108000"/>
  </r>
  <r>
    <x v="0"/>
    <x v="0"/>
    <x v="0"/>
    <x v="3"/>
    <x v="3"/>
    <x v="3"/>
    <x v="11"/>
    <x v="1"/>
    <x v="10"/>
    <x v="1"/>
    <x v="15"/>
    <x v="2"/>
    <s v="DROSTDY HOF 6X75CL RED CLARET "/>
    <n v="10"/>
    <x v="0"/>
    <n v="300000"/>
  </r>
  <r>
    <x v="0"/>
    <x v="0"/>
    <x v="0"/>
    <x v="3"/>
    <x v="3"/>
    <x v="3"/>
    <x v="11"/>
    <x v="1"/>
    <x v="10"/>
    <x v="1"/>
    <x v="15"/>
    <x v="2"/>
    <s v="DROSTY HOF RED CLARET 12X375ML"/>
    <n v="12"/>
    <x v="0"/>
    <n v="408000"/>
  </r>
  <r>
    <x v="0"/>
    <x v="0"/>
    <x v="0"/>
    <x v="3"/>
    <x v="3"/>
    <x v="3"/>
    <x v="11"/>
    <x v="1"/>
    <x v="10"/>
    <x v="1"/>
    <x v="15"/>
    <x v="2"/>
    <s v="AMARULA CREAM 6X700ML"/>
    <n v="7"/>
    <x v="2"/>
    <n v="210000"/>
  </r>
  <r>
    <x v="0"/>
    <x v="0"/>
    <x v="0"/>
    <x v="3"/>
    <x v="3"/>
    <x v="3"/>
    <x v="11"/>
    <x v="1"/>
    <x v="10"/>
    <x v="1"/>
    <x v="15"/>
    <x v="2"/>
    <s v="CHAMDOR RED"/>
    <n v="89"/>
    <x v="4"/>
    <n v="2456400"/>
  </r>
  <r>
    <x v="0"/>
    <x v="0"/>
    <x v="0"/>
    <x v="3"/>
    <x v="3"/>
    <x v="3"/>
    <x v="11"/>
    <x v="1"/>
    <x v="10"/>
    <x v="1"/>
    <x v="15"/>
    <x v="2"/>
    <s v="CHAMDOR WHITE"/>
    <n v="15"/>
    <x v="4"/>
    <n v="414000"/>
  </r>
  <r>
    <x v="0"/>
    <x v="0"/>
    <x v="0"/>
    <x v="3"/>
    <x v="3"/>
    <x v="3"/>
    <x v="11"/>
    <x v="1"/>
    <x v="10"/>
    <x v="1"/>
    <x v="15"/>
    <x v="2"/>
    <s v="4TH STREET RED 6X75CL"/>
    <n v="54"/>
    <x v="5"/>
    <n v="1166400"/>
  </r>
  <r>
    <x v="0"/>
    <x v="0"/>
    <x v="0"/>
    <x v="3"/>
    <x v="3"/>
    <x v="3"/>
    <x v="11"/>
    <x v="1"/>
    <x v="10"/>
    <x v="1"/>
    <x v="15"/>
    <x v="2"/>
    <s v="4TH STREET WHITE 6X75CL"/>
    <n v="4"/>
    <x v="5"/>
    <n v="86400"/>
  </r>
  <r>
    <x v="0"/>
    <x v="0"/>
    <x v="0"/>
    <x v="3"/>
    <x v="3"/>
    <x v="3"/>
    <x v="11"/>
    <x v="1"/>
    <x v="10"/>
    <x v="1"/>
    <x v="15"/>
    <x v="2"/>
    <s v="4TH STREET ROSE 6X75CL"/>
    <n v="31"/>
    <x v="5"/>
    <n v="669600"/>
  </r>
  <r>
    <x v="0"/>
    <x v="0"/>
    <x v="0"/>
    <x v="3"/>
    <x v="3"/>
    <x v="3"/>
    <x v="11"/>
    <x v="1"/>
    <x v="10"/>
    <x v="1"/>
    <x v="15"/>
    <x v="2"/>
    <s v="4TH STREET 75CL NON ALCOHOLIC SWEET WINE"/>
    <n v="23"/>
    <x v="1"/>
    <n v="441600"/>
  </r>
  <r>
    <x v="0"/>
    <x v="0"/>
    <x v="0"/>
    <x v="3"/>
    <x v="3"/>
    <x v="3"/>
    <x v="11"/>
    <x v="1"/>
    <x v="10"/>
    <x v="1"/>
    <x v="15"/>
    <x v="2"/>
    <s v="NEDERBURG WINE MASTER RANGE SHIRAZ  6X750ML"/>
    <n v="3"/>
    <x v="6"/>
    <n v="276000"/>
  </r>
  <r>
    <x v="0"/>
    <x v="0"/>
    <x v="0"/>
    <x v="3"/>
    <x v="3"/>
    <x v="3"/>
    <x v="12"/>
    <x v="1"/>
    <x v="11"/>
    <x v="1"/>
    <x v="16"/>
    <x v="8"/>
    <s v="HUNTERS DRY 4X(6X330ML)"/>
    <n v="6"/>
    <x v="7"/>
    <n v="129600"/>
  </r>
  <r>
    <x v="0"/>
    <x v="0"/>
    <x v="0"/>
    <x v="3"/>
    <x v="3"/>
    <x v="3"/>
    <x v="12"/>
    <x v="1"/>
    <x v="11"/>
    <x v="1"/>
    <x v="16"/>
    <x v="8"/>
    <s v="TWO OCEAN CAB/SAUV 6X75CL"/>
    <n v="6"/>
    <x v="10"/>
    <n v="180000"/>
  </r>
  <r>
    <x v="0"/>
    <x v="0"/>
    <x v="0"/>
    <x v="3"/>
    <x v="3"/>
    <x v="3"/>
    <x v="12"/>
    <x v="1"/>
    <x v="11"/>
    <x v="1"/>
    <x v="16"/>
    <x v="8"/>
    <s v="DROSTDY HOF 6X75CL RED CLARET "/>
    <n v="12"/>
    <x v="0"/>
    <n v="360000"/>
  </r>
  <r>
    <x v="0"/>
    <x v="0"/>
    <x v="0"/>
    <x v="3"/>
    <x v="3"/>
    <x v="3"/>
    <x v="12"/>
    <x v="1"/>
    <x v="11"/>
    <x v="1"/>
    <x v="16"/>
    <x v="8"/>
    <s v="DROSTY HOF RED CLARET 12X375ML"/>
    <n v="5"/>
    <x v="0"/>
    <n v="170000"/>
  </r>
  <r>
    <x v="0"/>
    <x v="0"/>
    <x v="0"/>
    <x v="3"/>
    <x v="3"/>
    <x v="3"/>
    <x v="12"/>
    <x v="1"/>
    <x v="11"/>
    <x v="1"/>
    <x v="16"/>
    <x v="8"/>
    <s v="AMARULA CREAM 6X700ML"/>
    <n v="5"/>
    <x v="2"/>
    <n v="150000"/>
  </r>
  <r>
    <x v="0"/>
    <x v="0"/>
    <x v="0"/>
    <x v="3"/>
    <x v="3"/>
    <x v="3"/>
    <x v="12"/>
    <x v="1"/>
    <x v="11"/>
    <x v="1"/>
    <x v="16"/>
    <x v="8"/>
    <s v="CHAMDOR RED"/>
    <n v="80"/>
    <x v="4"/>
    <n v="2208000"/>
  </r>
  <r>
    <x v="0"/>
    <x v="0"/>
    <x v="0"/>
    <x v="3"/>
    <x v="3"/>
    <x v="3"/>
    <x v="12"/>
    <x v="1"/>
    <x v="11"/>
    <x v="1"/>
    <x v="16"/>
    <x v="8"/>
    <s v="CHAMDOR WHITE"/>
    <n v="30"/>
    <x v="4"/>
    <n v="828000"/>
  </r>
  <r>
    <x v="0"/>
    <x v="0"/>
    <x v="0"/>
    <x v="3"/>
    <x v="3"/>
    <x v="3"/>
    <x v="12"/>
    <x v="1"/>
    <x v="11"/>
    <x v="1"/>
    <x v="16"/>
    <x v="8"/>
    <s v="4TH STREET RED 6X75CL"/>
    <n v="42"/>
    <x v="5"/>
    <n v="907200"/>
  </r>
  <r>
    <x v="0"/>
    <x v="0"/>
    <x v="0"/>
    <x v="3"/>
    <x v="3"/>
    <x v="3"/>
    <x v="12"/>
    <x v="1"/>
    <x v="11"/>
    <x v="1"/>
    <x v="16"/>
    <x v="8"/>
    <s v="4TH STREET WHITE 6X75CL"/>
    <n v="15"/>
    <x v="5"/>
    <n v="324000"/>
  </r>
  <r>
    <x v="0"/>
    <x v="0"/>
    <x v="0"/>
    <x v="3"/>
    <x v="3"/>
    <x v="3"/>
    <x v="12"/>
    <x v="1"/>
    <x v="11"/>
    <x v="1"/>
    <x v="16"/>
    <x v="8"/>
    <s v="4TH STREET ROSE 6X75CL"/>
    <n v="8"/>
    <x v="5"/>
    <n v="172800"/>
  </r>
  <r>
    <x v="0"/>
    <x v="0"/>
    <x v="0"/>
    <x v="3"/>
    <x v="3"/>
    <x v="3"/>
    <x v="12"/>
    <x v="1"/>
    <x v="11"/>
    <x v="1"/>
    <x v="16"/>
    <x v="8"/>
    <s v="NEDERBURG WINE MASTER RANGE PINOTAGE  6X750ML"/>
    <n v="2"/>
    <x v="6"/>
    <n v="184000"/>
  </r>
  <r>
    <x v="0"/>
    <x v="0"/>
    <x v="0"/>
    <x v="3"/>
    <x v="3"/>
    <x v="3"/>
    <x v="12"/>
    <x v="1"/>
    <x v="11"/>
    <x v="1"/>
    <x v="16"/>
    <x v="8"/>
    <s v="NEDERBURG WINE MASTER RANGE BARONNE  6X750ML"/>
    <n v="2"/>
    <x v="6"/>
    <n v="180000"/>
  </r>
  <r>
    <x v="0"/>
    <x v="0"/>
    <x v="0"/>
    <x v="3"/>
    <x v="3"/>
    <x v="3"/>
    <x v="13"/>
    <x v="1"/>
    <x v="12"/>
    <x v="0"/>
    <x v="17"/>
    <x v="9"/>
    <s v="HUNTERS DRY 4X(6X330ML)"/>
    <n v="10"/>
    <x v="7"/>
    <n v="216000"/>
  </r>
  <r>
    <x v="0"/>
    <x v="0"/>
    <x v="0"/>
    <x v="3"/>
    <x v="3"/>
    <x v="3"/>
    <x v="13"/>
    <x v="1"/>
    <x v="12"/>
    <x v="0"/>
    <x v="17"/>
    <x v="9"/>
    <s v="HUNTERS GOLD 4X(6X330ML)"/>
    <n v="5"/>
    <x v="7"/>
    <n v="108000"/>
  </r>
  <r>
    <x v="0"/>
    <x v="0"/>
    <x v="0"/>
    <x v="3"/>
    <x v="3"/>
    <x v="3"/>
    <x v="13"/>
    <x v="1"/>
    <x v="12"/>
    <x v="0"/>
    <x v="17"/>
    <x v="9"/>
    <s v="TWO OCEAN CAB/SAUV 6X75CL"/>
    <n v="1"/>
    <x v="10"/>
    <n v="30000"/>
  </r>
  <r>
    <x v="0"/>
    <x v="0"/>
    <x v="0"/>
    <x v="3"/>
    <x v="3"/>
    <x v="3"/>
    <x v="13"/>
    <x v="1"/>
    <x v="12"/>
    <x v="0"/>
    <x v="17"/>
    <x v="9"/>
    <s v="DROSTDY HOF 6X75CL RED CLARET "/>
    <n v="26"/>
    <x v="0"/>
    <n v="780000"/>
  </r>
  <r>
    <x v="0"/>
    <x v="0"/>
    <x v="0"/>
    <x v="3"/>
    <x v="3"/>
    <x v="3"/>
    <x v="13"/>
    <x v="1"/>
    <x v="12"/>
    <x v="0"/>
    <x v="17"/>
    <x v="9"/>
    <s v="DROSTY HOF RED CLARET 12X375ML"/>
    <n v="20"/>
    <x v="0"/>
    <n v="680000"/>
  </r>
  <r>
    <x v="0"/>
    <x v="0"/>
    <x v="0"/>
    <x v="3"/>
    <x v="3"/>
    <x v="3"/>
    <x v="13"/>
    <x v="1"/>
    <x v="12"/>
    <x v="0"/>
    <x v="17"/>
    <x v="9"/>
    <s v="AMARULA CREAM 12X375ML"/>
    <n v="2"/>
    <x v="2"/>
    <n v="86890"/>
  </r>
  <r>
    <x v="0"/>
    <x v="0"/>
    <x v="0"/>
    <x v="3"/>
    <x v="3"/>
    <x v="3"/>
    <x v="13"/>
    <x v="1"/>
    <x v="12"/>
    <x v="0"/>
    <x v="17"/>
    <x v="9"/>
    <s v="AMARULA CREAM 6X700ML"/>
    <n v="12"/>
    <x v="2"/>
    <n v="360000"/>
  </r>
  <r>
    <x v="0"/>
    <x v="0"/>
    <x v="0"/>
    <x v="3"/>
    <x v="3"/>
    <x v="3"/>
    <x v="13"/>
    <x v="1"/>
    <x v="12"/>
    <x v="0"/>
    <x v="17"/>
    <x v="9"/>
    <s v="BAIN'S WHISKY 6X75CL"/>
    <n v="2"/>
    <x v="8"/>
    <n v="160000"/>
  </r>
  <r>
    <x v="0"/>
    <x v="0"/>
    <x v="0"/>
    <x v="3"/>
    <x v="3"/>
    <x v="3"/>
    <x v="13"/>
    <x v="1"/>
    <x v="12"/>
    <x v="0"/>
    <x v="17"/>
    <x v="9"/>
    <s v="CHAMDOR RED"/>
    <n v="179"/>
    <x v="4"/>
    <n v="4940400"/>
  </r>
  <r>
    <x v="0"/>
    <x v="0"/>
    <x v="0"/>
    <x v="3"/>
    <x v="3"/>
    <x v="3"/>
    <x v="13"/>
    <x v="1"/>
    <x v="12"/>
    <x v="0"/>
    <x v="17"/>
    <x v="9"/>
    <s v="CHAMDOR WHITE"/>
    <n v="5"/>
    <x v="4"/>
    <n v="138000"/>
  </r>
  <r>
    <x v="0"/>
    <x v="0"/>
    <x v="0"/>
    <x v="3"/>
    <x v="3"/>
    <x v="3"/>
    <x v="13"/>
    <x v="1"/>
    <x v="12"/>
    <x v="0"/>
    <x v="17"/>
    <x v="9"/>
    <s v="4TH STREET RED 6X75CL"/>
    <n v="79"/>
    <x v="5"/>
    <n v="1706400"/>
  </r>
  <r>
    <x v="0"/>
    <x v="0"/>
    <x v="0"/>
    <x v="3"/>
    <x v="3"/>
    <x v="3"/>
    <x v="13"/>
    <x v="1"/>
    <x v="12"/>
    <x v="0"/>
    <x v="17"/>
    <x v="9"/>
    <s v="4TH STREET WHITE 6X75CL"/>
    <n v="17"/>
    <x v="5"/>
    <n v="367200"/>
  </r>
  <r>
    <x v="0"/>
    <x v="0"/>
    <x v="0"/>
    <x v="3"/>
    <x v="3"/>
    <x v="3"/>
    <x v="13"/>
    <x v="1"/>
    <x v="12"/>
    <x v="0"/>
    <x v="17"/>
    <x v="9"/>
    <s v="4TH STREET ROSE 6X75CL"/>
    <n v="15"/>
    <x v="5"/>
    <n v="324000"/>
  </r>
  <r>
    <x v="0"/>
    <x v="0"/>
    <x v="0"/>
    <x v="3"/>
    <x v="3"/>
    <x v="3"/>
    <x v="13"/>
    <x v="1"/>
    <x v="12"/>
    <x v="0"/>
    <x v="17"/>
    <x v="9"/>
    <s v="4TH STREET 75CL NON ALCOHOLIC SWEET WINE"/>
    <n v="68"/>
    <x v="1"/>
    <n v="1305600"/>
  </r>
  <r>
    <x v="0"/>
    <x v="0"/>
    <x v="0"/>
    <x v="3"/>
    <x v="3"/>
    <x v="3"/>
    <x v="13"/>
    <x v="1"/>
    <x v="12"/>
    <x v="0"/>
    <x v="17"/>
    <x v="9"/>
    <s v="NEDERBURG WINE MASTER RANGE SHIRAZ  6X750ML"/>
    <n v="4"/>
    <x v="6"/>
    <n v="368000"/>
  </r>
  <r>
    <x v="0"/>
    <x v="0"/>
    <x v="0"/>
    <x v="3"/>
    <x v="3"/>
    <x v="3"/>
    <x v="13"/>
    <x v="1"/>
    <x v="12"/>
    <x v="0"/>
    <x v="17"/>
    <x v="9"/>
    <s v="NEDERBURG WINE MASTER RANGE CURVEE BRUT  6X750ML"/>
    <n v="1"/>
    <x v="6"/>
    <n v="81000"/>
  </r>
  <r>
    <x v="0"/>
    <x v="0"/>
    <x v="0"/>
    <x v="3"/>
    <x v="3"/>
    <x v="3"/>
    <x v="13"/>
    <x v="1"/>
    <x v="12"/>
    <x v="0"/>
    <x v="17"/>
    <x v="9"/>
    <s v="NEDERBURG FOUNDATION RANGE DUET  6X750ML"/>
    <n v="3"/>
    <x v="6"/>
    <n v="243000"/>
  </r>
  <r>
    <x v="0"/>
    <x v="0"/>
    <x v="0"/>
    <x v="3"/>
    <x v="3"/>
    <x v="3"/>
    <x v="13"/>
    <x v="1"/>
    <x v="12"/>
    <x v="1"/>
    <x v="18"/>
    <x v="9"/>
    <s v="HUNTERS DRY 4X(6X330ML)"/>
    <n v="1"/>
    <x v="7"/>
    <n v="21600"/>
  </r>
  <r>
    <x v="0"/>
    <x v="0"/>
    <x v="0"/>
    <x v="3"/>
    <x v="3"/>
    <x v="3"/>
    <x v="13"/>
    <x v="1"/>
    <x v="12"/>
    <x v="1"/>
    <x v="18"/>
    <x v="9"/>
    <s v="DROSTDY HOF 6X75CL RED CLARET "/>
    <n v="3"/>
    <x v="0"/>
    <n v="90000"/>
  </r>
  <r>
    <x v="0"/>
    <x v="0"/>
    <x v="0"/>
    <x v="3"/>
    <x v="3"/>
    <x v="3"/>
    <x v="13"/>
    <x v="1"/>
    <x v="12"/>
    <x v="1"/>
    <x v="18"/>
    <x v="9"/>
    <s v="DROSTY HOF RED CLARET 12X375ML"/>
    <n v="4"/>
    <x v="0"/>
    <n v="136000"/>
  </r>
  <r>
    <x v="0"/>
    <x v="0"/>
    <x v="0"/>
    <x v="3"/>
    <x v="3"/>
    <x v="3"/>
    <x v="13"/>
    <x v="1"/>
    <x v="12"/>
    <x v="1"/>
    <x v="18"/>
    <x v="9"/>
    <s v="AMARULA CREAM 6X700ML"/>
    <n v="1"/>
    <x v="2"/>
    <n v="30000"/>
  </r>
  <r>
    <x v="0"/>
    <x v="0"/>
    <x v="0"/>
    <x v="3"/>
    <x v="3"/>
    <x v="3"/>
    <x v="13"/>
    <x v="1"/>
    <x v="12"/>
    <x v="1"/>
    <x v="18"/>
    <x v="9"/>
    <s v="CHAMDOR RED"/>
    <n v="59"/>
    <x v="4"/>
    <n v="1628400"/>
  </r>
  <r>
    <x v="0"/>
    <x v="0"/>
    <x v="0"/>
    <x v="3"/>
    <x v="3"/>
    <x v="3"/>
    <x v="13"/>
    <x v="1"/>
    <x v="12"/>
    <x v="1"/>
    <x v="18"/>
    <x v="9"/>
    <s v="CHAMDOR WHITE"/>
    <n v="2"/>
    <x v="4"/>
    <n v="55200"/>
  </r>
  <r>
    <x v="0"/>
    <x v="0"/>
    <x v="0"/>
    <x v="3"/>
    <x v="3"/>
    <x v="3"/>
    <x v="13"/>
    <x v="1"/>
    <x v="12"/>
    <x v="1"/>
    <x v="18"/>
    <x v="9"/>
    <s v="4TH STREET RED 6X75CL"/>
    <n v="37"/>
    <x v="5"/>
    <n v="799200"/>
  </r>
  <r>
    <x v="0"/>
    <x v="0"/>
    <x v="0"/>
    <x v="3"/>
    <x v="3"/>
    <x v="3"/>
    <x v="13"/>
    <x v="1"/>
    <x v="12"/>
    <x v="1"/>
    <x v="18"/>
    <x v="9"/>
    <s v="4TH STREET WHITE 6X75CL"/>
    <n v="4"/>
    <x v="5"/>
    <n v="86400"/>
  </r>
  <r>
    <x v="0"/>
    <x v="0"/>
    <x v="0"/>
    <x v="3"/>
    <x v="3"/>
    <x v="3"/>
    <x v="13"/>
    <x v="1"/>
    <x v="12"/>
    <x v="1"/>
    <x v="18"/>
    <x v="9"/>
    <s v="4TH STREET ROSE 6X75CL"/>
    <n v="2"/>
    <x v="5"/>
    <n v="43200"/>
  </r>
  <r>
    <x v="0"/>
    <x v="0"/>
    <x v="0"/>
    <x v="3"/>
    <x v="3"/>
    <x v="3"/>
    <x v="13"/>
    <x v="1"/>
    <x v="12"/>
    <x v="1"/>
    <x v="18"/>
    <x v="9"/>
    <s v="4TH STREET 75CL NON ALCOHOLIC SWEET WINE"/>
    <n v="10"/>
    <x v="1"/>
    <n v="192000"/>
  </r>
  <r>
    <x v="0"/>
    <x v="0"/>
    <x v="0"/>
    <x v="3"/>
    <x v="3"/>
    <x v="3"/>
    <x v="14"/>
    <x v="1"/>
    <x v="13"/>
    <x v="0"/>
    <x v="19"/>
    <x v="10"/>
    <s v="DROSTDY HOF 6X75CL RED CLARET "/>
    <n v="20"/>
    <x v="0"/>
    <n v="600000"/>
  </r>
  <r>
    <x v="0"/>
    <x v="0"/>
    <x v="0"/>
    <x v="3"/>
    <x v="3"/>
    <x v="3"/>
    <x v="14"/>
    <x v="1"/>
    <x v="13"/>
    <x v="0"/>
    <x v="19"/>
    <x v="10"/>
    <s v="CHAMDOR RED"/>
    <n v="272"/>
    <x v="4"/>
    <n v="7507200"/>
  </r>
  <r>
    <x v="0"/>
    <x v="0"/>
    <x v="0"/>
    <x v="3"/>
    <x v="3"/>
    <x v="3"/>
    <x v="14"/>
    <x v="1"/>
    <x v="13"/>
    <x v="0"/>
    <x v="19"/>
    <x v="10"/>
    <s v="4TH STREET RED 6X75CL"/>
    <n v="56"/>
    <x v="5"/>
    <n v="1209600"/>
  </r>
  <r>
    <x v="0"/>
    <x v="0"/>
    <x v="0"/>
    <x v="3"/>
    <x v="3"/>
    <x v="3"/>
    <x v="14"/>
    <x v="1"/>
    <x v="13"/>
    <x v="0"/>
    <x v="19"/>
    <x v="10"/>
    <s v="4TH STREET SPARKLING RED"/>
    <n v="33"/>
    <x v="3"/>
    <n v="772200"/>
  </r>
  <r>
    <x v="0"/>
    <x v="0"/>
    <x v="0"/>
    <x v="3"/>
    <x v="3"/>
    <x v="3"/>
    <x v="14"/>
    <x v="1"/>
    <x v="13"/>
    <x v="0"/>
    <x v="19"/>
    <x v="10"/>
    <s v="4TH STREET 75CL NON ALCOHOLIC SWEET WINE"/>
    <n v="43"/>
    <x v="1"/>
    <n v="825600"/>
  </r>
  <r>
    <x v="0"/>
    <x v="0"/>
    <x v="0"/>
    <x v="3"/>
    <x v="3"/>
    <x v="3"/>
    <x v="14"/>
    <x v="1"/>
    <x v="13"/>
    <x v="1"/>
    <x v="20"/>
    <x v="10"/>
    <s v="DROSTDY HOF 6X75CL RED CLARET "/>
    <n v="12"/>
    <x v="0"/>
    <n v="360000"/>
  </r>
  <r>
    <x v="0"/>
    <x v="0"/>
    <x v="0"/>
    <x v="3"/>
    <x v="3"/>
    <x v="3"/>
    <x v="14"/>
    <x v="1"/>
    <x v="13"/>
    <x v="1"/>
    <x v="20"/>
    <x v="10"/>
    <s v="CHAMDOR RED"/>
    <n v="103"/>
    <x v="4"/>
    <n v="2842800"/>
  </r>
  <r>
    <x v="0"/>
    <x v="0"/>
    <x v="0"/>
    <x v="3"/>
    <x v="3"/>
    <x v="3"/>
    <x v="14"/>
    <x v="1"/>
    <x v="13"/>
    <x v="1"/>
    <x v="20"/>
    <x v="10"/>
    <s v="4TH STREET RED 6X75CL"/>
    <n v="69"/>
    <x v="5"/>
    <n v="1490400"/>
  </r>
  <r>
    <x v="0"/>
    <x v="0"/>
    <x v="0"/>
    <x v="3"/>
    <x v="3"/>
    <x v="3"/>
    <x v="14"/>
    <x v="1"/>
    <x v="13"/>
    <x v="1"/>
    <x v="20"/>
    <x v="10"/>
    <s v="4TH STREET SPARKLING RED"/>
    <n v="3"/>
    <x v="3"/>
    <n v="70200"/>
  </r>
  <r>
    <x v="0"/>
    <x v="0"/>
    <x v="0"/>
    <x v="4"/>
    <x v="4"/>
    <x v="4"/>
    <x v="0"/>
    <x v="0"/>
    <x v="0"/>
    <x v="0"/>
    <x v="0"/>
    <x v="0"/>
    <s v="HUNTERS DRY 4X(6X330ML)"/>
    <n v="1"/>
    <x v="7"/>
    <n v="21600"/>
  </r>
  <r>
    <x v="0"/>
    <x v="0"/>
    <x v="0"/>
    <x v="4"/>
    <x v="4"/>
    <x v="4"/>
    <x v="0"/>
    <x v="0"/>
    <x v="0"/>
    <x v="0"/>
    <x v="0"/>
    <x v="0"/>
    <s v="HUNTERS GOLD 4X(6X330ML)"/>
    <n v="1"/>
    <x v="7"/>
    <n v="21600"/>
  </r>
  <r>
    <x v="0"/>
    <x v="0"/>
    <x v="0"/>
    <x v="4"/>
    <x v="4"/>
    <x v="4"/>
    <x v="0"/>
    <x v="0"/>
    <x v="0"/>
    <x v="0"/>
    <x v="0"/>
    <x v="0"/>
    <s v="DROSTDY HOF 6X75CL RED CLARET "/>
    <n v="10"/>
    <x v="0"/>
    <n v="300000"/>
  </r>
  <r>
    <x v="0"/>
    <x v="0"/>
    <x v="0"/>
    <x v="4"/>
    <x v="4"/>
    <x v="4"/>
    <x v="0"/>
    <x v="0"/>
    <x v="0"/>
    <x v="0"/>
    <x v="0"/>
    <x v="0"/>
    <s v="DROSTY HOF RED CLARET 12X375ML"/>
    <n v="6"/>
    <x v="0"/>
    <n v="204000"/>
  </r>
  <r>
    <x v="0"/>
    <x v="0"/>
    <x v="0"/>
    <x v="4"/>
    <x v="4"/>
    <x v="4"/>
    <x v="0"/>
    <x v="0"/>
    <x v="0"/>
    <x v="0"/>
    <x v="0"/>
    <x v="0"/>
    <s v="CHAMDOR RED"/>
    <n v="20"/>
    <x v="4"/>
    <n v="552000"/>
  </r>
  <r>
    <x v="0"/>
    <x v="0"/>
    <x v="0"/>
    <x v="4"/>
    <x v="4"/>
    <x v="4"/>
    <x v="0"/>
    <x v="0"/>
    <x v="0"/>
    <x v="0"/>
    <x v="0"/>
    <x v="0"/>
    <s v="4TH STREET RED 6X75CL"/>
    <n v="9"/>
    <x v="5"/>
    <n v="194400"/>
  </r>
  <r>
    <x v="0"/>
    <x v="0"/>
    <x v="0"/>
    <x v="4"/>
    <x v="4"/>
    <x v="4"/>
    <x v="0"/>
    <x v="0"/>
    <x v="0"/>
    <x v="0"/>
    <x v="0"/>
    <x v="0"/>
    <s v="4TH STREET WHITE 6X75CL"/>
    <n v="1"/>
    <x v="5"/>
    <n v="21600"/>
  </r>
  <r>
    <x v="0"/>
    <x v="0"/>
    <x v="0"/>
    <x v="4"/>
    <x v="4"/>
    <x v="4"/>
    <x v="0"/>
    <x v="0"/>
    <x v="0"/>
    <x v="0"/>
    <x v="0"/>
    <x v="0"/>
    <s v="4TH STREET ROSE 6X75CL"/>
    <n v="1"/>
    <x v="5"/>
    <n v="21600"/>
  </r>
  <r>
    <x v="0"/>
    <x v="0"/>
    <x v="0"/>
    <x v="4"/>
    <x v="4"/>
    <x v="4"/>
    <x v="0"/>
    <x v="0"/>
    <x v="0"/>
    <x v="0"/>
    <x v="0"/>
    <x v="0"/>
    <s v="4TH STREET 75CL NON ALCOHOLIC SWEET WINE"/>
    <n v="5"/>
    <x v="1"/>
    <n v="96000"/>
  </r>
  <r>
    <x v="0"/>
    <x v="0"/>
    <x v="0"/>
    <x v="4"/>
    <x v="4"/>
    <x v="4"/>
    <x v="0"/>
    <x v="0"/>
    <x v="0"/>
    <x v="0"/>
    <x v="0"/>
    <x v="0"/>
    <s v="NEDERBURG WINE MASTER RANGE MERLOT  6X750ML"/>
    <n v="2"/>
    <x v="6"/>
    <n v="184000"/>
  </r>
  <r>
    <x v="0"/>
    <x v="0"/>
    <x v="0"/>
    <x v="4"/>
    <x v="4"/>
    <x v="4"/>
    <x v="1"/>
    <x v="0"/>
    <x v="0"/>
    <x v="0"/>
    <x v="1"/>
    <x v="1"/>
    <s v="HUNTERS DRY 4X(6X330ML)"/>
    <n v="2"/>
    <x v="7"/>
    <n v="43200"/>
  </r>
  <r>
    <x v="0"/>
    <x v="0"/>
    <x v="0"/>
    <x v="4"/>
    <x v="4"/>
    <x v="4"/>
    <x v="1"/>
    <x v="0"/>
    <x v="0"/>
    <x v="0"/>
    <x v="1"/>
    <x v="1"/>
    <s v="HUNTERS GOLD 4X(6X330ML)"/>
    <n v="4"/>
    <x v="7"/>
    <n v="86400"/>
  </r>
  <r>
    <x v="0"/>
    <x v="0"/>
    <x v="0"/>
    <x v="4"/>
    <x v="4"/>
    <x v="4"/>
    <x v="1"/>
    <x v="0"/>
    <x v="0"/>
    <x v="0"/>
    <x v="1"/>
    <x v="1"/>
    <s v="DROSTDY HOF 6X75CL RED CLARET "/>
    <n v="12"/>
    <x v="0"/>
    <n v="360000"/>
  </r>
  <r>
    <x v="0"/>
    <x v="0"/>
    <x v="0"/>
    <x v="4"/>
    <x v="4"/>
    <x v="4"/>
    <x v="1"/>
    <x v="0"/>
    <x v="0"/>
    <x v="0"/>
    <x v="1"/>
    <x v="1"/>
    <s v="AMARULA CREAM 6X700ML"/>
    <n v="47"/>
    <x v="2"/>
    <n v="1410000"/>
  </r>
  <r>
    <x v="0"/>
    <x v="0"/>
    <x v="0"/>
    <x v="4"/>
    <x v="4"/>
    <x v="4"/>
    <x v="1"/>
    <x v="0"/>
    <x v="0"/>
    <x v="0"/>
    <x v="1"/>
    <x v="1"/>
    <s v="CHAMDOR RED"/>
    <n v="23"/>
    <x v="4"/>
    <n v="634800"/>
  </r>
  <r>
    <x v="0"/>
    <x v="0"/>
    <x v="0"/>
    <x v="4"/>
    <x v="4"/>
    <x v="4"/>
    <x v="1"/>
    <x v="0"/>
    <x v="0"/>
    <x v="0"/>
    <x v="1"/>
    <x v="1"/>
    <s v="4TH STREET RED 6X75CL"/>
    <n v="11"/>
    <x v="5"/>
    <n v="237600"/>
  </r>
  <r>
    <x v="0"/>
    <x v="0"/>
    <x v="0"/>
    <x v="4"/>
    <x v="4"/>
    <x v="4"/>
    <x v="1"/>
    <x v="0"/>
    <x v="0"/>
    <x v="0"/>
    <x v="1"/>
    <x v="1"/>
    <s v="4TH STREET 75CL NON ALCOHOLIC SWEET WINE"/>
    <n v="13"/>
    <x v="1"/>
    <n v="249600"/>
  </r>
  <r>
    <x v="0"/>
    <x v="0"/>
    <x v="0"/>
    <x v="4"/>
    <x v="4"/>
    <x v="4"/>
    <x v="1"/>
    <x v="0"/>
    <x v="0"/>
    <x v="0"/>
    <x v="1"/>
    <x v="1"/>
    <s v="NEDERBURG WINE MASTER RANGE MERLOT  6X750ML"/>
    <n v="3"/>
    <x v="6"/>
    <n v="276000"/>
  </r>
  <r>
    <x v="0"/>
    <x v="0"/>
    <x v="0"/>
    <x v="4"/>
    <x v="4"/>
    <x v="4"/>
    <x v="3"/>
    <x v="0"/>
    <x v="0"/>
    <x v="1"/>
    <x v="9"/>
    <x v="1"/>
    <s v="HUNTERS DRY 4X(6X330ML)"/>
    <n v="3"/>
    <x v="7"/>
    <n v="64800"/>
  </r>
  <r>
    <x v="0"/>
    <x v="0"/>
    <x v="0"/>
    <x v="4"/>
    <x v="4"/>
    <x v="4"/>
    <x v="3"/>
    <x v="0"/>
    <x v="0"/>
    <x v="1"/>
    <x v="9"/>
    <x v="1"/>
    <s v="HUNTERS GOLD 4X(6X330ML)"/>
    <n v="3"/>
    <x v="7"/>
    <n v="64800"/>
  </r>
  <r>
    <x v="0"/>
    <x v="0"/>
    <x v="0"/>
    <x v="4"/>
    <x v="4"/>
    <x v="4"/>
    <x v="3"/>
    <x v="0"/>
    <x v="0"/>
    <x v="1"/>
    <x v="9"/>
    <x v="1"/>
    <s v="CHAMDOR RED"/>
    <n v="19"/>
    <x v="4"/>
    <n v="524400"/>
  </r>
  <r>
    <x v="0"/>
    <x v="0"/>
    <x v="0"/>
    <x v="4"/>
    <x v="4"/>
    <x v="4"/>
    <x v="3"/>
    <x v="0"/>
    <x v="0"/>
    <x v="1"/>
    <x v="9"/>
    <x v="1"/>
    <s v="CHAMDOR WHITE"/>
    <n v="9"/>
    <x v="4"/>
    <n v="248400"/>
  </r>
  <r>
    <x v="0"/>
    <x v="0"/>
    <x v="0"/>
    <x v="4"/>
    <x v="4"/>
    <x v="4"/>
    <x v="3"/>
    <x v="0"/>
    <x v="0"/>
    <x v="1"/>
    <x v="9"/>
    <x v="1"/>
    <s v="4TH STREET RED 6X75CL"/>
    <n v="10"/>
    <x v="5"/>
    <n v="216000"/>
  </r>
  <r>
    <x v="0"/>
    <x v="0"/>
    <x v="0"/>
    <x v="4"/>
    <x v="4"/>
    <x v="4"/>
    <x v="3"/>
    <x v="0"/>
    <x v="0"/>
    <x v="1"/>
    <x v="9"/>
    <x v="1"/>
    <s v="4TH STREET 75CL NON ALCOHOLIC SWEET WINE"/>
    <n v="3"/>
    <x v="1"/>
    <n v="57600"/>
  </r>
  <r>
    <x v="0"/>
    <x v="0"/>
    <x v="0"/>
    <x v="4"/>
    <x v="4"/>
    <x v="4"/>
    <x v="2"/>
    <x v="0"/>
    <x v="0"/>
    <x v="1"/>
    <x v="2"/>
    <x v="0"/>
    <s v="AMARULA CREAM 6X700ML"/>
    <n v="1"/>
    <x v="2"/>
    <n v="30000"/>
  </r>
  <r>
    <x v="0"/>
    <x v="0"/>
    <x v="0"/>
    <x v="4"/>
    <x v="4"/>
    <x v="4"/>
    <x v="2"/>
    <x v="0"/>
    <x v="0"/>
    <x v="1"/>
    <x v="2"/>
    <x v="0"/>
    <s v="CHAMDOR RED"/>
    <n v="29"/>
    <x v="4"/>
    <n v="800400"/>
  </r>
  <r>
    <x v="0"/>
    <x v="0"/>
    <x v="0"/>
    <x v="4"/>
    <x v="4"/>
    <x v="4"/>
    <x v="2"/>
    <x v="0"/>
    <x v="0"/>
    <x v="1"/>
    <x v="2"/>
    <x v="0"/>
    <s v="4TH STREET RED 6X75CL"/>
    <n v="29"/>
    <x v="5"/>
    <n v="626400"/>
  </r>
  <r>
    <x v="0"/>
    <x v="0"/>
    <x v="0"/>
    <x v="4"/>
    <x v="4"/>
    <x v="4"/>
    <x v="2"/>
    <x v="0"/>
    <x v="0"/>
    <x v="1"/>
    <x v="2"/>
    <x v="0"/>
    <s v="4TH STREET WHITE 6X75CL"/>
    <n v="3"/>
    <x v="5"/>
    <n v="64800"/>
  </r>
  <r>
    <x v="0"/>
    <x v="0"/>
    <x v="0"/>
    <x v="4"/>
    <x v="4"/>
    <x v="4"/>
    <x v="2"/>
    <x v="0"/>
    <x v="0"/>
    <x v="1"/>
    <x v="2"/>
    <x v="0"/>
    <s v="4TH STREET ROSE 6X75CL"/>
    <n v="4"/>
    <x v="5"/>
    <n v="86400"/>
  </r>
  <r>
    <x v="0"/>
    <x v="0"/>
    <x v="0"/>
    <x v="4"/>
    <x v="4"/>
    <x v="4"/>
    <x v="2"/>
    <x v="0"/>
    <x v="0"/>
    <x v="1"/>
    <x v="2"/>
    <x v="0"/>
    <s v="4TH STREET 75CL NON ALCOHOLIC SWEET WINE"/>
    <n v="1"/>
    <x v="1"/>
    <n v="19200"/>
  </r>
  <r>
    <x v="0"/>
    <x v="0"/>
    <x v="0"/>
    <x v="4"/>
    <x v="4"/>
    <x v="4"/>
    <x v="2"/>
    <x v="0"/>
    <x v="0"/>
    <x v="1"/>
    <x v="2"/>
    <x v="0"/>
    <s v="NEDERBURG WINE MASTER RANGE MERLOT  6X750ML"/>
    <n v="1"/>
    <x v="6"/>
    <n v="92000"/>
  </r>
  <r>
    <x v="0"/>
    <x v="0"/>
    <x v="0"/>
    <x v="4"/>
    <x v="4"/>
    <x v="4"/>
    <x v="2"/>
    <x v="0"/>
    <x v="5"/>
    <x v="1"/>
    <x v="10"/>
    <x v="5"/>
    <s v="HUNTERS DRY 4X(6X330ML)"/>
    <n v="2"/>
    <x v="7"/>
    <n v="43200"/>
  </r>
  <r>
    <x v="0"/>
    <x v="0"/>
    <x v="0"/>
    <x v="4"/>
    <x v="4"/>
    <x v="4"/>
    <x v="2"/>
    <x v="0"/>
    <x v="5"/>
    <x v="1"/>
    <x v="10"/>
    <x v="5"/>
    <s v="CHAMDOR RED"/>
    <n v="20"/>
    <x v="4"/>
    <n v="552000"/>
  </r>
  <r>
    <x v="0"/>
    <x v="0"/>
    <x v="0"/>
    <x v="4"/>
    <x v="4"/>
    <x v="4"/>
    <x v="2"/>
    <x v="0"/>
    <x v="5"/>
    <x v="1"/>
    <x v="10"/>
    <x v="5"/>
    <s v="4TH STREET RED 6X75CL"/>
    <n v="16"/>
    <x v="5"/>
    <n v="345600"/>
  </r>
  <r>
    <x v="0"/>
    <x v="0"/>
    <x v="0"/>
    <x v="4"/>
    <x v="4"/>
    <x v="4"/>
    <x v="8"/>
    <x v="0"/>
    <x v="4"/>
    <x v="1"/>
    <x v="8"/>
    <x v="5"/>
    <s v="AMARULA CREAM 6X700ML"/>
    <n v="2"/>
    <x v="2"/>
    <n v="60000"/>
  </r>
  <r>
    <x v="0"/>
    <x v="0"/>
    <x v="0"/>
    <x v="4"/>
    <x v="4"/>
    <x v="4"/>
    <x v="8"/>
    <x v="0"/>
    <x v="4"/>
    <x v="1"/>
    <x v="8"/>
    <x v="5"/>
    <s v="CHAMDOR RED"/>
    <n v="5"/>
    <x v="4"/>
    <n v="138000"/>
  </r>
  <r>
    <x v="0"/>
    <x v="0"/>
    <x v="0"/>
    <x v="4"/>
    <x v="4"/>
    <x v="4"/>
    <x v="8"/>
    <x v="0"/>
    <x v="4"/>
    <x v="1"/>
    <x v="8"/>
    <x v="5"/>
    <s v="4TH STREET RED 6X75CL"/>
    <n v="10"/>
    <x v="5"/>
    <n v="216000"/>
  </r>
  <r>
    <x v="0"/>
    <x v="0"/>
    <x v="0"/>
    <x v="4"/>
    <x v="4"/>
    <x v="4"/>
    <x v="8"/>
    <x v="0"/>
    <x v="4"/>
    <x v="1"/>
    <x v="8"/>
    <x v="5"/>
    <s v="4TH STREET 75CL NON ALCOHOLIC SWEET WINE"/>
    <n v="10"/>
    <x v="1"/>
    <n v="192000"/>
  </r>
  <r>
    <x v="0"/>
    <x v="0"/>
    <x v="0"/>
    <x v="4"/>
    <x v="4"/>
    <x v="4"/>
    <x v="3"/>
    <x v="0"/>
    <x v="0"/>
    <x v="1"/>
    <x v="3"/>
    <x v="1"/>
    <s v="HUNTERS DRY 4X(6X330ML)"/>
    <n v="1"/>
    <x v="7"/>
    <n v="21600"/>
  </r>
  <r>
    <x v="0"/>
    <x v="0"/>
    <x v="0"/>
    <x v="4"/>
    <x v="4"/>
    <x v="4"/>
    <x v="3"/>
    <x v="0"/>
    <x v="0"/>
    <x v="1"/>
    <x v="3"/>
    <x v="1"/>
    <s v="HUNTERS GOLD 4X(6X330ML)"/>
    <n v="2"/>
    <x v="7"/>
    <n v="43200"/>
  </r>
  <r>
    <x v="0"/>
    <x v="0"/>
    <x v="0"/>
    <x v="4"/>
    <x v="4"/>
    <x v="4"/>
    <x v="3"/>
    <x v="0"/>
    <x v="0"/>
    <x v="1"/>
    <x v="3"/>
    <x v="1"/>
    <s v="DROSTDY HOF 6X75CL RED CLARET "/>
    <n v="5"/>
    <x v="0"/>
    <n v="150000"/>
  </r>
  <r>
    <x v="0"/>
    <x v="0"/>
    <x v="0"/>
    <x v="4"/>
    <x v="4"/>
    <x v="4"/>
    <x v="3"/>
    <x v="0"/>
    <x v="0"/>
    <x v="1"/>
    <x v="3"/>
    <x v="1"/>
    <s v="CHAMDOR RED"/>
    <n v="32"/>
    <x v="4"/>
    <n v="883200"/>
  </r>
  <r>
    <x v="0"/>
    <x v="0"/>
    <x v="0"/>
    <x v="4"/>
    <x v="4"/>
    <x v="4"/>
    <x v="3"/>
    <x v="0"/>
    <x v="0"/>
    <x v="1"/>
    <x v="3"/>
    <x v="1"/>
    <s v="CHAMDOR WHITE"/>
    <n v="15"/>
    <x v="4"/>
    <n v="414000"/>
  </r>
  <r>
    <x v="0"/>
    <x v="0"/>
    <x v="0"/>
    <x v="4"/>
    <x v="4"/>
    <x v="4"/>
    <x v="3"/>
    <x v="0"/>
    <x v="0"/>
    <x v="1"/>
    <x v="3"/>
    <x v="1"/>
    <s v="4TH STREET RED 6X75CL"/>
    <n v="9"/>
    <x v="5"/>
    <n v="194400"/>
  </r>
  <r>
    <x v="0"/>
    <x v="0"/>
    <x v="0"/>
    <x v="4"/>
    <x v="4"/>
    <x v="4"/>
    <x v="3"/>
    <x v="0"/>
    <x v="0"/>
    <x v="1"/>
    <x v="3"/>
    <x v="1"/>
    <s v="4TH STREET WHITE 6X75CL"/>
    <n v="2"/>
    <x v="5"/>
    <n v="43200"/>
  </r>
  <r>
    <x v="0"/>
    <x v="0"/>
    <x v="0"/>
    <x v="4"/>
    <x v="4"/>
    <x v="4"/>
    <x v="3"/>
    <x v="0"/>
    <x v="0"/>
    <x v="1"/>
    <x v="3"/>
    <x v="1"/>
    <s v="4TH STREET ROSE 6X75CL"/>
    <n v="5"/>
    <x v="5"/>
    <n v="108000"/>
  </r>
  <r>
    <x v="0"/>
    <x v="0"/>
    <x v="0"/>
    <x v="4"/>
    <x v="4"/>
    <x v="4"/>
    <x v="3"/>
    <x v="0"/>
    <x v="0"/>
    <x v="1"/>
    <x v="3"/>
    <x v="1"/>
    <s v="4TH STREET 75CL NON ALCOHOLIC SWEET WINE"/>
    <n v="9"/>
    <x v="1"/>
    <n v="172800"/>
  </r>
  <r>
    <x v="0"/>
    <x v="0"/>
    <x v="0"/>
    <x v="4"/>
    <x v="4"/>
    <x v="4"/>
    <x v="16"/>
    <x v="3"/>
    <x v="16"/>
    <x v="1"/>
    <x v="28"/>
    <x v="13"/>
    <s v="HUNTERS DRY 4X(6X330ML)"/>
    <n v="32"/>
    <x v="7"/>
    <n v="691200"/>
  </r>
  <r>
    <x v="0"/>
    <x v="0"/>
    <x v="0"/>
    <x v="4"/>
    <x v="4"/>
    <x v="4"/>
    <x v="16"/>
    <x v="3"/>
    <x v="16"/>
    <x v="1"/>
    <x v="28"/>
    <x v="13"/>
    <s v="TWO OCEAN SHIRAZ 6X75CL"/>
    <n v="16"/>
    <x v="10"/>
    <n v="480000"/>
  </r>
  <r>
    <x v="0"/>
    <x v="0"/>
    <x v="0"/>
    <x v="4"/>
    <x v="4"/>
    <x v="4"/>
    <x v="16"/>
    <x v="3"/>
    <x v="16"/>
    <x v="1"/>
    <x v="28"/>
    <x v="13"/>
    <s v="CHAMDOR RED"/>
    <n v="105"/>
    <x v="4"/>
    <n v="2898000"/>
  </r>
  <r>
    <x v="0"/>
    <x v="0"/>
    <x v="0"/>
    <x v="4"/>
    <x v="4"/>
    <x v="4"/>
    <x v="16"/>
    <x v="3"/>
    <x v="16"/>
    <x v="1"/>
    <x v="28"/>
    <x v="13"/>
    <s v="4TH STREET RED 6X75CL"/>
    <n v="120"/>
    <x v="5"/>
    <n v="2592000"/>
  </r>
  <r>
    <x v="0"/>
    <x v="0"/>
    <x v="0"/>
    <x v="4"/>
    <x v="4"/>
    <x v="4"/>
    <x v="16"/>
    <x v="3"/>
    <x v="16"/>
    <x v="1"/>
    <x v="28"/>
    <x v="13"/>
    <s v="4TH STREET SPARKLING RED"/>
    <n v="42"/>
    <x v="3"/>
    <n v="982800"/>
  </r>
  <r>
    <x v="0"/>
    <x v="0"/>
    <x v="0"/>
    <x v="4"/>
    <x v="4"/>
    <x v="4"/>
    <x v="16"/>
    <x v="3"/>
    <x v="16"/>
    <x v="1"/>
    <x v="28"/>
    <x v="13"/>
    <s v="4TH STREET 75CL NON ALCOHOLIC SWEET WINE"/>
    <n v="83"/>
    <x v="1"/>
    <n v="1593600"/>
  </r>
  <r>
    <x v="0"/>
    <x v="0"/>
    <x v="0"/>
    <x v="4"/>
    <x v="4"/>
    <x v="4"/>
    <x v="1"/>
    <x v="3"/>
    <x v="14"/>
    <x v="0"/>
    <x v="21"/>
    <x v="11"/>
    <s v="HUNTERS DRY 4X(6X330ML)"/>
    <n v="10"/>
    <x v="7"/>
    <n v="216000"/>
  </r>
  <r>
    <x v="0"/>
    <x v="0"/>
    <x v="0"/>
    <x v="4"/>
    <x v="4"/>
    <x v="4"/>
    <x v="1"/>
    <x v="3"/>
    <x v="14"/>
    <x v="0"/>
    <x v="21"/>
    <x v="11"/>
    <s v="DROSTDY HOF 6X75CL RED CLARET "/>
    <n v="30"/>
    <x v="0"/>
    <n v="900000"/>
  </r>
  <r>
    <x v="0"/>
    <x v="0"/>
    <x v="0"/>
    <x v="4"/>
    <x v="4"/>
    <x v="4"/>
    <x v="1"/>
    <x v="3"/>
    <x v="14"/>
    <x v="0"/>
    <x v="21"/>
    <x v="11"/>
    <s v="AMARULA CREAM 6X700ML"/>
    <n v="16"/>
    <x v="2"/>
    <n v="480000"/>
  </r>
  <r>
    <x v="0"/>
    <x v="0"/>
    <x v="0"/>
    <x v="4"/>
    <x v="4"/>
    <x v="4"/>
    <x v="1"/>
    <x v="3"/>
    <x v="14"/>
    <x v="0"/>
    <x v="21"/>
    <x v="11"/>
    <s v="CHAMDOR RED"/>
    <n v="140"/>
    <x v="4"/>
    <n v="3864000"/>
  </r>
  <r>
    <x v="0"/>
    <x v="0"/>
    <x v="0"/>
    <x v="4"/>
    <x v="4"/>
    <x v="4"/>
    <x v="1"/>
    <x v="3"/>
    <x v="14"/>
    <x v="0"/>
    <x v="21"/>
    <x v="11"/>
    <s v="CHAMDOR WHITE"/>
    <n v="40"/>
    <x v="4"/>
    <n v="1104000"/>
  </r>
  <r>
    <x v="0"/>
    <x v="0"/>
    <x v="0"/>
    <x v="4"/>
    <x v="4"/>
    <x v="4"/>
    <x v="1"/>
    <x v="3"/>
    <x v="14"/>
    <x v="0"/>
    <x v="21"/>
    <x v="11"/>
    <s v="4TH STREET RED 6X75CL"/>
    <n v="140"/>
    <x v="5"/>
    <n v="3024000"/>
  </r>
  <r>
    <x v="0"/>
    <x v="0"/>
    <x v="0"/>
    <x v="4"/>
    <x v="4"/>
    <x v="4"/>
    <x v="1"/>
    <x v="3"/>
    <x v="14"/>
    <x v="0"/>
    <x v="21"/>
    <x v="11"/>
    <s v="4TH STREET WHITE 6X75CL"/>
    <n v="16"/>
    <x v="5"/>
    <n v="345600"/>
  </r>
  <r>
    <x v="0"/>
    <x v="0"/>
    <x v="0"/>
    <x v="4"/>
    <x v="4"/>
    <x v="4"/>
    <x v="1"/>
    <x v="3"/>
    <x v="14"/>
    <x v="0"/>
    <x v="21"/>
    <x v="11"/>
    <s v="4TH STREET ROSE 6X75CL"/>
    <n v="70"/>
    <x v="5"/>
    <n v="1512000"/>
  </r>
  <r>
    <x v="0"/>
    <x v="0"/>
    <x v="0"/>
    <x v="4"/>
    <x v="4"/>
    <x v="4"/>
    <x v="1"/>
    <x v="3"/>
    <x v="14"/>
    <x v="0"/>
    <x v="21"/>
    <x v="11"/>
    <s v="4TH STREET 75CL NON ALCOHOLIC SWEET WINE"/>
    <n v="26"/>
    <x v="1"/>
    <n v="499200"/>
  </r>
  <r>
    <x v="0"/>
    <x v="0"/>
    <x v="0"/>
    <x v="4"/>
    <x v="4"/>
    <x v="4"/>
    <x v="1"/>
    <x v="3"/>
    <x v="14"/>
    <x v="0"/>
    <x v="21"/>
    <x v="11"/>
    <s v="NEDERBURG WINE MASTER RANGE MERLOT  6X750ML"/>
    <n v="14"/>
    <x v="6"/>
    <n v="1288000"/>
  </r>
  <r>
    <x v="0"/>
    <x v="0"/>
    <x v="0"/>
    <x v="4"/>
    <x v="4"/>
    <x v="4"/>
    <x v="1"/>
    <x v="3"/>
    <x v="14"/>
    <x v="0"/>
    <x v="22"/>
    <x v="11"/>
    <s v="DROSTDY HOF 6X75CL RED CLARET "/>
    <n v="39"/>
    <x v="0"/>
    <n v="1170000"/>
  </r>
  <r>
    <x v="0"/>
    <x v="0"/>
    <x v="0"/>
    <x v="4"/>
    <x v="4"/>
    <x v="4"/>
    <x v="1"/>
    <x v="3"/>
    <x v="14"/>
    <x v="0"/>
    <x v="22"/>
    <x v="11"/>
    <s v="DROSTY HOF RED CLARET 12X375ML"/>
    <n v="27"/>
    <x v="0"/>
    <n v="918000"/>
  </r>
  <r>
    <x v="0"/>
    <x v="0"/>
    <x v="0"/>
    <x v="4"/>
    <x v="4"/>
    <x v="4"/>
    <x v="1"/>
    <x v="3"/>
    <x v="14"/>
    <x v="0"/>
    <x v="22"/>
    <x v="11"/>
    <s v="AMARULA CREAM 6X700ML"/>
    <n v="25"/>
    <x v="2"/>
    <n v="750000"/>
  </r>
  <r>
    <x v="0"/>
    <x v="0"/>
    <x v="0"/>
    <x v="4"/>
    <x v="4"/>
    <x v="4"/>
    <x v="1"/>
    <x v="3"/>
    <x v="14"/>
    <x v="0"/>
    <x v="22"/>
    <x v="11"/>
    <s v="CHAMDOR RED"/>
    <n v="139"/>
    <x v="4"/>
    <n v="3836400"/>
  </r>
  <r>
    <x v="0"/>
    <x v="0"/>
    <x v="0"/>
    <x v="4"/>
    <x v="4"/>
    <x v="4"/>
    <x v="1"/>
    <x v="3"/>
    <x v="14"/>
    <x v="0"/>
    <x v="22"/>
    <x v="11"/>
    <s v="4TH STREET RED 6X75CL"/>
    <n v="135"/>
    <x v="5"/>
    <n v="2916000"/>
  </r>
  <r>
    <x v="0"/>
    <x v="0"/>
    <x v="0"/>
    <x v="4"/>
    <x v="4"/>
    <x v="4"/>
    <x v="1"/>
    <x v="3"/>
    <x v="14"/>
    <x v="0"/>
    <x v="22"/>
    <x v="11"/>
    <s v="4TH STREET WHITE 6X75CL"/>
    <n v="5"/>
    <x v="5"/>
    <n v="108000"/>
  </r>
  <r>
    <x v="0"/>
    <x v="0"/>
    <x v="0"/>
    <x v="4"/>
    <x v="4"/>
    <x v="4"/>
    <x v="1"/>
    <x v="3"/>
    <x v="14"/>
    <x v="0"/>
    <x v="22"/>
    <x v="11"/>
    <s v="4TH STREET ROSE 6X75CL"/>
    <n v="70"/>
    <x v="5"/>
    <n v="1512000"/>
  </r>
  <r>
    <x v="0"/>
    <x v="0"/>
    <x v="0"/>
    <x v="4"/>
    <x v="4"/>
    <x v="4"/>
    <x v="1"/>
    <x v="3"/>
    <x v="14"/>
    <x v="0"/>
    <x v="22"/>
    <x v="11"/>
    <s v="4TH STREET 75CL NON ALCOHOLIC SWEET WINE"/>
    <n v="5"/>
    <x v="1"/>
    <n v="96000"/>
  </r>
  <r>
    <x v="0"/>
    <x v="0"/>
    <x v="0"/>
    <x v="4"/>
    <x v="4"/>
    <x v="4"/>
    <x v="15"/>
    <x v="3"/>
    <x v="15"/>
    <x v="1"/>
    <x v="23"/>
    <x v="12"/>
    <s v="HUNTERS DRY 4X(6X330ML)"/>
    <n v="5"/>
    <x v="7"/>
    <n v="108000"/>
  </r>
  <r>
    <x v="0"/>
    <x v="0"/>
    <x v="0"/>
    <x v="4"/>
    <x v="4"/>
    <x v="4"/>
    <x v="15"/>
    <x v="3"/>
    <x v="15"/>
    <x v="1"/>
    <x v="23"/>
    <x v="12"/>
    <s v="DROSTY HOF RED CLARET 12X375ML"/>
    <n v="5"/>
    <x v="0"/>
    <n v="170000"/>
  </r>
  <r>
    <x v="0"/>
    <x v="0"/>
    <x v="0"/>
    <x v="4"/>
    <x v="4"/>
    <x v="4"/>
    <x v="15"/>
    <x v="3"/>
    <x v="15"/>
    <x v="1"/>
    <x v="23"/>
    <x v="12"/>
    <s v="AMARULA CREAM 6X700ML"/>
    <n v="1"/>
    <x v="2"/>
    <n v="30000"/>
  </r>
  <r>
    <x v="0"/>
    <x v="0"/>
    <x v="0"/>
    <x v="4"/>
    <x v="4"/>
    <x v="4"/>
    <x v="15"/>
    <x v="3"/>
    <x v="15"/>
    <x v="1"/>
    <x v="23"/>
    <x v="12"/>
    <s v="CHAMDOR RED"/>
    <n v="48"/>
    <x v="4"/>
    <n v="1324800"/>
  </r>
  <r>
    <x v="0"/>
    <x v="0"/>
    <x v="0"/>
    <x v="4"/>
    <x v="4"/>
    <x v="4"/>
    <x v="15"/>
    <x v="3"/>
    <x v="15"/>
    <x v="1"/>
    <x v="23"/>
    <x v="12"/>
    <s v="4TH STREET RED 6X75CL"/>
    <n v="28"/>
    <x v="5"/>
    <n v="604800"/>
  </r>
  <r>
    <x v="0"/>
    <x v="0"/>
    <x v="0"/>
    <x v="4"/>
    <x v="4"/>
    <x v="4"/>
    <x v="15"/>
    <x v="3"/>
    <x v="15"/>
    <x v="1"/>
    <x v="23"/>
    <x v="12"/>
    <s v="4TH STREET 75CL NON ALCOHOLIC SWEET WINE"/>
    <n v="10"/>
    <x v="1"/>
    <n v="192000"/>
  </r>
  <r>
    <x v="0"/>
    <x v="0"/>
    <x v="0"/>
    <x v="4"/>
    <x v="4"/>
    <x v="4"/>
    <x v="15"/>
    <x v="3"/>
    <x v="15"/>
    <x v="1"/>
    <x v="24"/>
    <x v="12"/>
    <s v="AMARULA CREAM 6X700ML"/>
    <n v="1"/>
    <x v="2"/>
    <n v="30000"/>
  </r>
  <r>
    <x v="0"/>
    <x v="0"/>
    <x v="0"/>
    <x v="4"/>
    <x v="4"/>
    <x v="4"/>
    <x v="15"/>
    <x v="3"/>
    <x v="15"/>
    <x v="1"/>
    <x v="24"/>
    <x v="12"/>
    <s v="BAIN'S WHISKY 6X75CL"/>
    <n v="1"/>
    <x v="8"/>
    <n v="80000"/>
  </r>
  <r>
    <x v="0"/>
    <x v="0"/>
    <x v="0"/>
    <x v="4"/>
    <x v="4"/>
    <x v="4"/>
    <x v="15"/>
    <x v="3"/>
    <x v="15"/>
    <x v="1"/>
    <x v="24"/>
    <x v="12"/>
    <s v="CHAMDOR RED"/>
    <n v="73"/>
    <x v="4"/>
    <n v="2014800"/>
  </r>
  <r>
    <x v="0"/>
    <x v="0"/>
    <x v="0"/>
    <x v="4"/>
    <x v="4"/>
    <x v="4"/>
    <x v="15"/>
    <x v="3"/>
    <x v="15"/>
    <x v="1"/>
    <x v="24"/>
    <x v="12"/>
    <s v="CHAMDOR WHITE"/>
    <n v="21"/>
    <x v="4"/>
    <n v="579600"/>
  </r>
  <r>
    <x v="0"/>
    <x v="0"/>
    <x v="0"/>
    <x v="4"/>
    <x v="4"/>
    <x v="4"/>
    <x v="15"/>
    <x v="3"/>
    <x v="15"/>
    <x v="1"/>
    <x v="24"/>
    <x v="12"/>
    <s v="4TH STREET RED 6X75CL"/>
    <n v="34"/>
    <x v="5"/>
    <n v="734400"/>
  </r>
  <r>
    <x v="0"/>
    <x v="0"/>
    <x v="0"/>
    <x v="4"/>
    <x v="4"/>
    <x v="4"/>
    <x v="15"/>
    <x v="3"/>
    <x v="15"/>
    <x v="1"/>
    <x v="24"/>
    <x v="12"/>
    <s v="4TH STREET 75CL NON ALCOHOLIC SWEET WINE"/>
    <n v="32"/>
    <x v="1"/>
    <n v="614400"/>
  </r>
  <r>
    <x v="0"/>
    <x v="0"/>
    <x v="0"/>
    <x v="4"/>
    <x v="4"/>
    <x v="4"/>
    <x v="15"/>
    <x v="3"/>
    <x v="15"/>
    <x v="1"/>
    <x v="25"/>
    <x v="12"/>
    <s v="CHAMDOR RED"/>
    <n v="45"/>
    <x v="4"/>
    <n v="1242000"/>
  </r>
  <r>
    <x v="0"/>
    <x v="0"/>
    <x v="0"/>
    <x v="4"/>
    <x v="4"/>
    <x v="4"/>
    <x v="15"/>
    <x v="3"/>
    <x v="15"/>
    <x v="1"/>
    <x v="25"/>
    <x v="12"/>
    <s v="4TH STREET RED 6X75CL"/>
    <n v="53"/>
    <x v="5"/>
    <n v="1144800"/>
  </r>
  <r>
    <x v="0"/>
    <x v="0"/>
    <x v="0"/>
    <x v="4"/>
    <x v="4"/>
    <x v="4"/>
    <x v="15"/>
    <x v="3"/>
    <x v="15"/>
    <x v="1"/>
    <x v="25"/>
    <x v="12"/>
    <s v="4TH STREET 75CL NON ALCOHOLIC SWEET WINE"/>
    <n v="54"/>
    <x v="1"/>
    <n v="1036800"/>
  </r>
  <r>
    <x v="0"/>
    <x v="0"/>
    <x v="0"/>
    <x v="4"/>
    <x v="4"/>
    <x v="4"/>
    <x v="16"/>
    <x v="3"/>
    <x v="16"/>
    <x v="1"/>
    <x v="26"/>
    <x v="13"/>
    <s v="DROSTDY HOF 6X75CL RED CLARET "/>
    <n v="12"/>
    <x v="0"/>
    <n v="360000"/>
  </r>
  <r>
    <x v="0"/>
    <x v="0"/>
    <x v="0"/>
    <x v="4"/>
    <x v="4"/>
    <x v="4"/>
    <x v="16"/>
    <x v="3"/>
    <x v="16"/>
    <x v="1"/>
    <x v="26"/>
    <x v="13"/>
    <s v="AMARULA CREAM 6X700ML"/>
    <n v="2"/>
    <x v="2"/>
    <n v="60000"/>
  </r>
  <r>
    <x v="0"/>
    <x v="0"/>
    <x v="0"/>
    <x v="4"/>
    <x v="4"/>
    <x v="4"/>
    <x v="16"/>
    <x v="3"/>
    <x v="16"/>
    <x v="1"/>
    <x v="26"/>
    <x v="13"/>
    <s v="CHAMDOR RED"/>
    <n v="103"/>
    <x v="4"/>
    <n v="2842800"/>
  </r>
  <r>
    <x v="0"/>
    <x v="0"/>
    <x v="0"/>
    <x v="4"/>
    <x v="4"/>
    <x v="4"/>
    <x v="16"/>
    <x v="3"/>
    <x v="16"/>
    <x v="1"/>
    <x v="26"/>
    <x v="13"/>
    <s v="4TH STREET RED 6X75CL"/>
    <n v="135"/>
    <x v="5"/>
    <n v="2916000"/>
  </r>
  <r>
    <x v="0"/>
    <x v="0"/>
    <x v="0"/>
    <x v="4"/>
    <x v="4"/>
    <x v="4"/>
    <x v="16"/>
    <x v="3"/>
    <x v="16"/>
    <x v="1"/>
    <x v="26"/>
    <x v="13"/>
    <s v="4TH STREET SPARKLING RED"/>
    <n v="45"/>
    <x v="3"/>
    <n v="1053000"/>
  </r>
  <r>
    <x v="0"/>
    <x v="0"/>
    <x v="0"/>
    <x v="4"/>
    <x v="4"/>
    <x v="4"/>
    <x v="16"/>
    <x v="3"/>
    <x v="16"/>
    <x v="1"/>
    <x v="26"/>
    <x v="13"/>
    <s v="4TH STREET 75CL NON ALCOHOLIC SWEET WINE"/>
    <n v="61"/>
    <x v="1"/>
    <n v="1171200"/>
  </r>
  <r>
    <x v="0"/>
    <x v="0"/>
    <x v="0"/>
    <x v="4"/>
    <x v="4"/>
    <x v="4"/>
    <x v="16"/>
    <x v="3"/>
    <x v="16"/>
    <x v="1"/>
    <x v="26"/>
    <x v="13"/>
    <s v="NEDERBURG WINE MASTER RANGE MERLOT  6X750ML"/>
    <n v="10"/>
    <x v="6"/>
    <n v="920000"/>
  </r>
  <r>
    <x v="0"/>
    <x v="0"/>
    <x v="0"/>
    <x v="4"/>
    <x v="4"/>
    <x v="4"/>
    <x v="15"/>
    <x v="3"/>
    <x v="17"/>
    <x v="1"/>
    <x v="27"/>
    <x v="12"/>
    <s v="CHAMDOR RED"/>
    <n v="43"/>
    <x v="4"/>
    <n v="1186800"/>
  </r>
  <r>
    <x v="0"/>
    <x v="0"/>
    <x v="0"/>
    <x v="4"/>
    <x v="4"/>
    <x v="4"/>
    <x v="15"/>
    <x v="3"/>
    <x v="17"/>
    <x v="1"/>
    <x v="27"/>
    <x v="12"/>
    <s v="4TH STREET RED 6X75CL"/>
    <n v="43"/>
    <x v="5"/>
    <n v="928800"/>
  </r>
  <r>
    <x v="0"/>
    <x v="0"/>
    <x v="0"/>
    <x v="4"/>
    <x v="4"/>
    <x v="4"/>
    <x v="15"/>
    <x v="3"/>
    <x v="17"/>
    <x v="1"/>
    <x v="27"/>
    <x v="12"/>
    <s v="4TH STREET 75CL NON ALCOHOLIC SWEET WINE"/>
    <n v="37"/>
    <x v="1"/>
    <n v="710400"/>
  </r>
  <r>
    <x v="0"/>
    <x v="0"/>
    <x v="0"/>
    <x v="4"/>
    <x v="4"/>
    <x v="4"/>
    <x v="5"/>
    <x v="1"/>
    <x v="2"/>
    <x v="0"/>
    <x v="5"/>
    <x v="3"/>
    <s v="HUNTERS DRY 4X(6X330ML)"/>
    <n v="2"/>
    <x v="7"/>
    <n v="43200"/>
  </r>
  <r>
    <x v="0"/>
    <x v="0"/>
    <x v="0"/>
    <x v="4"/>
    <x v="4"/>
    <x v="4"/>
    <x v="5"/>
    <x v="1"/>
    <x v="2"/>
    <x v="0"/>
    <x v="5"/>
    <x v="3"/>
    <s v="DROSTDY HOF 6X75CL RED CLARET "/>
    <n v="1"/>
    <x v="0"/>
    <n v="30000"/>
  </r>
  <r>
    <x v="0"/>
    <x v="0"/>
    <x v="0"/>
    <x v="4"/>
    <x v="4"/>
    <x v="4"/>
    <x v="5"/>
    <x v="1"/>
    <x v="2"/>
    <x v="0"/>
    <x v="5"/>
    <x v="3"/>
    <s v="CHAMDOR RED"/>
    <n v="35"/>
    <x v="4"/>
    <n v="966000"/>
  </r>
  <r>
    <x v="0"/>
    <x v="0"/>
    <x v="0"/>
    <x v="4"/>
    <x v="4"/>
    <x v="4"/>
    <x v="5"/>
    <x v="1"/>
    <x v="2"/>
    <x v="0"/>
    <x v="5"/>
    <x v="3"/>
    <s v="4TH STREET RED 6X75CL"/>
    <n v="20"/>
    <x v="5"/>
    <n v="432000"/>
  </r>
  <r>
    <x v="0"/>
    <x v="0"/>
    <x v="0"/>
    <x v="4"/>
    <x v="4"/>
    <x v="4"/>
    <x v="5"/>
    <x v="1"/>
    <x v="2"/>
    <x v="0"/>
    <x v="5"/>
    <x v="3"/>
    <s v="4TH STREET 75CL NON ALCOHOLIC SWEET WINE"/>
    <n v="10"/>
    <x v="1"/>
    <n v="192000"/>
  </r>
  <r>
    <x v="0"/>
    <x v="0"/>
    <x v="0"/>
    <x v="4"/>
    <x v="4"/>
    <x v="4"/>
    <x v="10"/>
    <x v="1"/>
    <x v="8"/>
    <x v="1"/>
    <x v="13"/>
    <x v="7"/>
    <s v="HUNTERS GOLD 4X(6X330ML)"/>
    <n v="5"/>
    <x v="7"/>
    <n v="108000"/>
  </r>
  <r>
    <x v="0"/>
    <x v="0"/>
    <x v="0"/>
    <x v="4"/>
    <x v="4"/>
    <x v="4"/>
    <x v="10"/>
    <x v="1"/>
    <x v="8"/>
    <x v="1"/>
    <x v="13"/>
    <x v="7"/>
    <s v="DROSTY HOF RED CLARET 12X375ML"/>
    <n v="4"/>
    <x v="0"/>
    <n v="136000"/>
  </r>
  <r>
    <x v="0"/>
    <x v="0"/>
    <x v="0"/>
    <x v="4"/>
    <x v="4"/>
    <x v="4"/>
    <x v="10"/>
    <x v="1"/>
    <x v="8"/>
    <x v="1"/>
    <x v="13"/>
    <x v="7"/>
    <s v="JC LE ROUX WHITE"/>
    <n v="2"/>
    <x v="12"/>
    <n v="30000"/>
  </r>
  <r>
    <x v="0"/>
    <x v="0"/>
    <x v="0"/>
    <x v="4"/>
    <x v="4"/>
    <x v="4"/>
    <x v="10"/>
    <x v="1"/>
    <x v="8"/>
    <x v="1"/>
    <x v="13"/>
    <x v="7"/>
    <s v="CHAMDOR RED"/>
    <n v="12"/>
    <x v="4"/>
    <n v="331200"/>
  </r>
  <r>
    <x v="0"/>
    <x v="0"/>
    <x v="0"/>
    <x v="4"/>
    <x v="4"/>
    <x v="4"/>
    <x v="10"/>
    <x v="1"/>
    <x v="8"/>
    <x v="1"/>
    <x v="13"/>
    <x v="7"/>
    <s v="4TH STREET RED 6X75CL"/>
    <n v="5"/>
    <x v="5"/>
    <n v="108000"/>
  </r>
  <r>
    <x v="0"/>
    <x v="0"/>
    <x v="0"/>
    <x v="4"/>
    <x v="4"/>
    <x v="4"/>
    <x v="10"/>
    <x v="1"/>
    <x v="8"/>
    <x v="1"/>
    <x v="13"/>
    <x v="7"/>
    <s v="4TH STREET ROSE 12X37.5CL"/>
    <n v="3"/>
    <x v="5"/>
    <n v="64800"/>
  </r>
  <r>
    <x v="0"/>
    <x v="0"/>
    <x v="0"/>
    <x v="4"/>
    <x v="4"/>
    <x v="4"/>
    <x v="10"/>
    <x v="1"/>
    <x v="9"/>
    <x v="1"/>
    <x v="14"/>
    <x v="7"/>
    <s v="JC LE ROUX WHITE"/>
    <n v="1"/>
    <x v="12"/>
    <n v="15000"/>
  </r>
  <r>
    <x v="0"/>
    <x v="0"/>
    <x v="0"/>
    <x v="4"/>
    <x v="4"/>
    <x v="4"/>
    <x v="10"/>
    <x v="1"/>
    <x v="9"/>
    <x v="1"/>
    <x v="14"/>
    <x v="7"/>
    <s v="CHAMDOR RED"/>
    <n v="16"/>
    <x v="4"/>
    <n v="441600"/>
  </r>
  <r>
    <x v="0"/>
    <x v="0"/>
    <x v="0"/>
    <x v="4"/>
    <x v="4"/>
    <x v="4"/>
    <x v="10"/>
    <x v="1"/>
    <x v="9"/>
    <x v="1"/>
    <x v="14"/>
    <x v="7"/>
    <s v="4TH STREET WHITE 6X75CL"/>
    <n v="5"/>
    <x v="5"/>
    <n v="108000"/>
  </r>
  <r>
    <x v="0"/>
    <x v="0"/>
    <x v="0"/>
    <x v="4"/>
    <x v="4"/>
    <x v="4"/>
    <x v="13"/>
    <x v="1"/>
    <x v="12"/>
    <x v="0"/>
    <x v="17"/>
    <x v="9"/>
    <s v="HUNTERS DRY 4X(6X330ML)"/>
    <n v="4"/>
    <x v="7"/>
    <n v="86400"/>
  </r>
  <r>
    <x v="0"/>
    <x v="0"/>
    <x v="0"/>
    <x v="4"/>
    <x v="4"/>
    <x v="4"/>
    <x v="13"/>
    <x v="1"/>
    <x v="12"/>
    <x v="0"/>
    <x v="17"/>
    <x v="9"/>
    <s v="HUNTERS GOLD 4X(6X330ML)"/>
    <n v="5"/>
    <x v="7"/>
    <n v="108000"/>
  </r>
  <r>
    <x v="0"/>
    <x v="0"/>
    <x v="0"/>
    <x v="4"/>
    <x v="4"/>
    <x v="4"/>
    <x v="13"/>
    <x v="1"/>
    <x v="12"/>
    <x v="0"/>
    <x v="17"/>
    <x v="9"/>
    <s v="TWO OCEAN CAB/SAUV 6X75CL"/>
    <n v="2"/>
    <x v="10"/>
    <n v="60000"/>
  </r>
  <r>
    <x v="0"/>
    <x v="0"/>
    <x v="0"/>
    <x v="4"/>
    <x v="4"/>
    <x v="4"/>
    <x v="13"/>
    <x v="1"/>
    <x v="12"/>
    <x v="0"/>
    <x v="17"/>
    <x v="9"/>
    <s v="DROSTDY HOF 6X75CL RED CLARET "/>
    <n v="5"/>
    <x v="0"/>
    <n v="150000"/>
  </r>
  <r>
    <x v="0"/>
    <x v="0"/>
    <x v="0"/>
    <x v="4"/>
    <x v="4"/>
    <x v="4"/>
    <x v="13"/>
    <x v="1"/>
    <x v="12"/>
    <x v="0"/>
    <x v="17"/>
    <x v="9"/>
    <s v="DROSTY HOF RED CLARET 12X375ML"/>
    <n v="6"/>
    <x v="0"/>
    <n v="204000"/>
  </r>
  <r>
    <x v="0"/>
    <x v="0"/>
    <x v="0"/>
    <x v="4"/>
    <x v="4"/>
    <x v="4"/>
    <x v="13"/>
    <x v="1"/>
    <x v="12"/>
    <x v="0"/>
    <x v="17"/>
    <x v="9"/>
    <s v="AMARULA CREAM 12X375ML"/>
    <n v="2"/>
    <x v="2"/>
    <n v="86890"/>
  </r>
  <r>
    <x v="0"/>
    <x v="0"/>
    <x v="0"/>
    <x v="4"/>
    <x v="4"/>
    <x v="4"/>
    <x v="13"/>
    <x v="1"/>
    <x v="12"/>
    <x v="0"/>
    <x v="17"/>
    <x v="9"/>
    <s v="AMARULA CREAM 6X700ML"/>
    <n v="3"/>
    <x v="2"/>
    <n v="90000"/>
  </r>
  <r>
    <x v="0"/>
    <x v="0"/>
    <x v="0"/>
    <x v="4"/>
    <x v="4"/>
    <x v="4"/>
    <x v="13"/>
    <x v="1"/>
    <x v="12"/>
    <x v="0"/>
    <x v="17"/>
    <x v="9"/>
    <s v="BAIN'S WHISKY 6X75CL"/>
    <n v="2"/>
    <x v="8"/>
    <n v="160000"/>
  </r>
  <r>
    <x v="0"/>
    <x v="0"/>
    <x v="0"/>
    <x v="4"/>
    <x v="4"/>
    <x v="4"/>
    <x v="13"/>
    <x v="1"/>
    <x v="12"/>
    <x v="0"/>
    <x v="17"/>
    <x v="9"/>
    <s v="CHAMDOR RED"/>
    <n v="57"/>
    <x v="4"/>
    <n v="1573200"/>
  </r>
  <r>
    <x v="0"/>
    <x v="0"/>
    <x v="0"/>
    <x v="4"/>
    <x v="4"/>
    <x v="4"/>
    <x v="13"/>
    <x v="1"/>
    <x v="12"/>
    <x v="0"/>
    <x v="17"/>
    <x v="9"/>
    <s v="CHAMDOR WHITE"/>
    <n v="2"/>
    <x v="4"/>
    <n v="55200"/>
  </r>
  <r>
    <x v="0"/>
    <x v="0"/>
    <x v="0"/>
    <x v="4"/>
    <x v="4"/>
    <x v="4"/>
    <x v="13"/>
    <x v="1"/>
    <x v="12"/>
    <x v="0"/>
    <x v="17"/>
    <x v="9"/>
    <s v="4TH STREET RED 6X75CL"/>
    <n v="25"/>
    <x v="5"/>
    <n v="540000"/>
  </r>
  <r>
    <x v="0"/>
    <x v="0"/>
    <x v="0"/>
    <x v="4"/>
    <x v="4"/>
    <x v="4"/>
    <x v="13"/>
    <x v="1"/>
    <x v="12"/>
    <x v="0"/>
    <x v="17"/>
    <x v="9"/>
    <s v="4TH STREET WHITE 6X75CL"/>
    <n v="5"/>
    <x v="5"/>
    <n v="108000"/>
  </r>
  <r>
    <x v="0"/>
    <x v="0"/>
    <x v="0"/>
    <x v="4"/>
    <x v="4"/>
    <x v="4"/>
    <x v="13"/>
    <x v="1"/>
    <x v="12"/>
    <x v="0"/>
    <x v="17"/>
    <x v="9"/>
    <s v="4TH STREET ROSE 6X75CL"/>
    <n v="4"/>
    <x v="5"/>
    <n v="86400"/>
  </r>
  <r>
    <x v="0"/>
    <x v="0"/>
    <x v="0"/>
    <x v="4"/>
    <x v="4"/>
    <x v="4"/>
    <x v="13"/>
    <x v="1"/>
    <x v="12"/>
    <x v="0"/>
    <x v="17"/>
    <x v="9"/>
    <s v="4TH STREET 75CL NON ALCOHOLIC SWEET WINE"/>
    <n v="19"/>
    <x v="1"/>
    <n v="364800"/>
  </r>
  <r>
    <x v="0"/>
    <x v="0"/>
    <x v="0"/>
    <x v="4"/>
    <x v="4"/>
    <x v="4"/>
    <x v="13"/>
    <x v="1"/>
    <x v="12"/>
    <x v="0"/>
    <x v="17"/>
    <x v="9"/>
    <s v="NEDERBURG WINE MASTER RANGE SHIRAZ  6X750ML"/>
    <n v="4"/>
    <x v="6"/>
    <n v="368000"/>
  </r>
  <r>
    <x v="0"/>
    <x v="0"/>
    <x v="0"/>
    <x v="4"/>
    <x v="4"/>
    <x v="4"/>
    <x v="13"/>
    <x v="1"/>
    <x v="12"/>
    <x v="1"/>
    <x v="18"/>
    <x v="9"/>
    <s v="DROSTDY HOF 6X75CL RED CLARET "/>
    <n v="1"/>
    <x v="0"/>
    <n v="30000"/>
  </r>
  <r>
    <x v="0"/>
    <x v="0"/>
    <x v="0"/>
    <x v="4"/>
    <x v="4"/>
    <x v="4"/>
    <x v="13"/>
    <x v="1"/>
    <x v="12"/>
    <x v="1"/>
    <x v="18"/>
    <x v="9"/>
    <s v="DROSTY HOF RED CLARET 12X375ML"/>
    <n v="1"/>
    <x v="0"/>
    <n v="34000"/>
  </r>
  <r>
    <x v="0"/>
    <x v="0"/>
    <x v="0"/>
    <x v="4"/>
    <x v="4"/>
    <x v="4"/>
    <x v="13"/>
    <x v="1"/>
    <x v="12"/>
    <x v="1"/>
    <x v="18"/>
    <x v="9"/>
    <s v="CHAMDOR RED"/>
    <n v="20"/>
    <x v="4"/>
    <n v="552000"/>
  </r>
  <r>
    <x v="0"/>
    <x v="0"/>
    <x v="0"/>
    <x v="4"/>
    <x v="4"/>
    <x v="4"/>
    <x v="13"/>
    <x v="1"/>
    <x v="12"/>
    <x v="1"/>
    <x v="18"/>
    <x v="9"/>
    <s v="4TH STREET RED 6X75CL"/>
    <n v="12"/>
    <x v="5"/>
    <n v="259200"/>
  </r>
  <r>
    <x v="0"/>
    <x v="0"/>
    <x v="0"/>
    <x v="4"/>
    <x v="4"/>
    <x v="4"/>
    <x v="13"/>
    <x v="1"/>
    <x v="12"/>
    <x v="1"/>
    <x v="18"/>
    <x v="9"/>
    <s v="4TH STREET WHITE 6X75CL"/>
    <n v="2"/>
    <x v="5"/>
    <n v="43200"/>
  </r>
  <r>
    <x v="0"/>
    <x v="0"/>
    <x v="0"/>
    <x v="4"/>
    <x v="4"/>
    <x v="4"/>
    <x v="13"/>
    <x v="1"/>
    <x v="12"/>
    <x v="1"/>
    <x v="18"/>
    <x v="9"/>
    <s v="4TH STREET ROSE 6X75CL"/>
    <n v="4"/>
    <x v="5"/>
    <n v="86400"/>
  </r>
  <r>
    <x v="0"/>
    <x v="0"/>
    <x v="0"/>
    <x v="4"/>
    <x v="4"/>
    <x v="4"/>
    <x v="13"/>
    <x v="1"/>
    <x v="12"/>
    <x v="1"/>
    <x v="18"/>
    <x v="9"/>
    <s v="4TH STREET 75CL NON ALCOHOLIC SWEET WINE"/>
    <n v="10"/>
    <x v="1"/>
    <n v="192000"/>
  </r>
  <r>
    <x v="0"/>
    <x v="1"/>
    <x v="1"/>
    <x v="0"/>
    <x v="0"/>
    <x v="5"/>
    <x v="0"/>
    <x v="0"/>
    <x v="0"/>
    <x v="0"/>
    <x v="0"/>
    <x v="0"/>
    <s v="HUNTERS DRY 4X(6X330ML)"/>
    <n v="5"/>
    <x v="7"/>
    <n v="108000"/>
  </r>
  <r>
    <x v="0"/>
    <x v="1"/>
    <x v="1"/>
    <x v="0"/>
    <x v="0"/>
    <x v="5"/>
    <x v="0"/>
    <x v="0"/>
    <x v="0"/>
    <x v="0"/>
    <x v="0"/>
    <x v="0"/>
    <s v="HUNTERS GOLD 4X(6X330ML)"/>
    <n v="5"/>
    <x v="7"/>
    <n v="108000"/>
  </r>
  <r>
    <x v="0"/>
    <x v="1"/>
    <x v="1"/>
    <x v="0"/>
    <x v="0"/>
    <x v="5"/>
    <x v="0"/>
    <x v="0"/>
    <x v="0"/>
    <x v="0"/>
    <x v="0"/>
    <x v="0"/>
    <s v="DROSTDY HOF 6X75CL RED CLARET "/>
    <n v="60"/>
    <x v="0"/>
    <n v="1800000"/>
  </r>
  <r>
    <x v="0"/>
    <x v="1"/>
    <x v="1"/>
    <x v="0"/>
    <x v="0"/>
    <x v="5"/>
    <x v="0"/>
    <x v="0"/>
    <x v="0"/>
    <x v="0"/>
    <x v="0"/>
    <x v="0"/>
    <s v="CHAMDOR RED"/>
    <n v="80"/>
    <x v="4"/>
    <n v="2208000"/>
  </r>
  <r>
    <x v="0"/>
    <x v="1"/>
    <x v="1"/>
    <x v="0"/>
    <x v="0"/>
    <x v="5"/>
    <x v="0"/>
    <x v="0"/>
    <x v="0"/>
    <x v="0"/>
    <x v="0"/>
    <x v="0"/>
    <s v="4TH STREET RED 6X75CL"/>
    <n v="70"/>
    <x v="5"/>
    <n v="1512000"/>
  </r>
  <r>
    <x v="0"/>
    <x v="1"/>
    <x v="1"/>
    <x v="0"/>
    <x v="0"/>
    <x v="5"/>
    <x v="0"/>
    <x v="0"/>
    <x v="0"/>
    <x v="0"/>
    <x v="0"/>
    <x v="0"/>
    <s v="4TH STREET WHITE 6X75CL"/>
    <n v="10"/>
    <x v="5"/>
    <n v="216000"/>
  </r>
  <r>
    <x v="0"/>
    <x v="1"/>
    <x v="1"/>
    <x v="0"/>
    <x v="0"/>
    <x v="5"/>
    <x v="0"/>
    <x v="0"/>
    <x v="0"/>
    <x v="0"/>
    <x v="0"/>
    <x v="0"/>
    <s v="4TH STREET ROSE 6X75CL"/>
    <n v="7"/>
    <x v="5"/>
    <n v="151200"/>
  </r>
  <r>
    <x v="0"/>
    <x v="1"/>
    <x v="1"/>
    <x v="0"/>
    <x v="0"/>
    <x v="5"/>
    <x v="0"/>
    <x v="0"/>
    <x v="0"/>
    <x v="0"/>
    <x v="0"/>
    <x v="0"/>
    <s v="4TH STREET 75CL NON ALCOHOLIC SWEET WINE"/>
    <n v="20"/>
    <x v="1"/>
    <n v="384000"/>
  </r>
  <r>
    <x v="0"/>
    <x v="1"/>
    <x v="1"/>
    <x v="0"/>
    <x v="0"/>
    <x v="5"/>
    <x v="0"/>
    <x v="0"/>
    <x v="0"/>
    <x v="0"/>
    <x v="0"/>
    <x v="0"/>
    <s v="NEDERBURG WINE MASTER RANGE PINOTAGE  6X750ML"/>
    <n v="15"/>
    <x v="6"/>
    <n v="1380000"/>
  </r>
  <r>
    <x v="0"/>
    <x v="1"/>
    <x v="1"/>
    <x v="0"/>
    <x v="0"/>
    <x v="5"/>
    <x v="1"/>
    <x v="0"/>
    <x v="0"/>
    <x v="0"/>
    <x v="1"/>
    <x v="1"/>
    <s v="HUNTERS DRY 4X(6X330ML)"/>
    <n v="10"/>
    <x v="7"/>
    <n v="216000"/>
  </r>
  <r>
    <x v="0"/>
    <x v="1"/>
    <x v="1"/>
    <x v="0"/>
    <x v="0"/>
    <x v="5"/>
    <x v="1"/>
    <x v="0"/>
    <x v="0"/>
    <x v="0"/>
    <x v="1"/>
    <x v="1"/>
    <s v="HUNTERS GOLD 4X(6X330ML)"/>
    <n v="5"/>
    <x v="7"/>
    <n v="108000"/>
  </r>
  <r>
    <x v="0"/>
    <x v="1"/>
    <x v="1"/>
    <x v="0"/>
    <x v="0"/>
    <x v="5"/>
    <x v="1"/>
    <x v="0"/>
    <x v="0"/>
    <x v="0"/>
    <x v="1"/>
    <x v="1"/>
    <s v="DROSTDY HOF 6X75CL RED CLARET "/>
    <n v="20"/>
    <x v="0"/>
    <n v="600000"/>
  </r>
  <r>
    <x v="0"/>
    <x v="1"/>
    <x v="1"/>
    <x v="0"/>
    <x v="0"/>
    <x v="5"/>
    <x v="1"/>
    <x v="0"/>
    <x v="0"/>
    <x v="0"/>
    <x v="1"/>
    <x v="1"/>
    <s v="AMARULA CREAM 6X700ML"/>
    <n v="10"/>
    <x v="2"/>
    <n v="300000"/>
  </r>
  <r>
    <x v="0"/>
    <x v="1"/>
    <x v="1"/>
    <x v="0"/>
    <x v="0"/>
    <x v="5"/>
    <x v="1"/>
    <x v="0"/>
    <x v="0"/>
    <x v="0"/>
    <x v="1"/>
    <x v="1"/>
    <s v="CHAMDOR RED"/>
    <n v="302"/>
    <x v="4"/>
    <n v="8335200"/>
  </r>
  <r>
    <x v="0"/>
    <x v="1"/>
    <x v="1"/>
    <x v="0"/>
    <x v="0"/>
    <x v="5"/>
    <x v="1"/>
    <x v="0"/>
    <x v="0"/>
    <x v="0"/>
    <x v="1"/>
    <x v="1"/>
    <s v="4TH STREET RED 6X75CL"/>
    <n v="105"/>
    <x v="5"/>
    <n v="2268000"/>
  </r>
  <r>
    <x v="0"/>
    <x v="1"/>
    <x v="1"/>
    <x v="0"/>
    <x v="0"/>
    <x v="5"/>
    <x v="1"/>
    <x v="0"/>
    <x v="0"/>
    <x v="0"/>
    <x v="1"/>
    <x v="1"/>
    <s v="4TH STREET 75CL NON ALCOHOLIC SWEET WINE"/>
    <n v="48"/>
    <x v="1"/>
    <n v="921600"/>
  </r>
  <r>
    <x v="0"/>
    <x v="1"/>
    <x v="1"/>
    <x v="0"/>
    <x v="0"/>
    <x v="5"/>
    <x v="1"/>
    <x v="0"/>
    <x v="0"/>
    <x v="0"/>
    <x v="1"/>
    <x v="1"/>
    <s v="NEDERBURG WINE MASTER RANGE MERLOT  6X750ML"/>
    <n v="12"/>
    <x v="6"/>
    <n v="1104000"/>
  </r>
  <r>
    <x v="0"/>
    <x v="1"/>
    <x v="1"/>
    <x v="0"/>
    <x v="0"/>
    <x v="5"/>
    <x v="3"/>
    <x v="0"/>
    <x v="0"/>
    <x v="1"/>
    <x v="9"/>
    <x v="1"/>
    <s v="CHAMDOR RED"/>
    <n v="78"/>
    <x v="4"/>
    <n v="2152800"/>
  </r>
  <r>
    <x v="0"/>
    <x v="1"/>
    <x v="1"/>
    <x v="0"/>
    <x v="0"/>
    <x v="5"/>
    <x v="3"/>
    <x v="0"/>
    <x v="0"/>
    <x v="1"/>
    <x v="9"/>
    <x v="1"/>
    <s v="CHAMDOR WHITE"/>
    <n v="20"/>
    <x v="4"/>
    <n v="552000"/>
  </r>
  <r>
    <x v="0"/>
    <x v="1"/>
    <x v="1"/>
    <x v="0"/>
    <x v="0"/>
    <x v="5"/>
    <x v="3"/>
    <x v="0"/>
    <x v="0"/>
    <x v="1"/>
    <x v="9"/>
    <x v="1"/>
    <s v="4TH STREET RED 6X75CL"/>
    <n v="81"/>
    <x v="5"/>
    <n v="1749600"/>
  </r>
  <r>
    <x v="0"/>
    <x v="1"/>
    <x v="1"/>
    <x v="0"/>
    <x v="0"/>
    <x v="5"/>
    <x v="2"/>
    <x v="0"/>
    <x v="0"/>
    <x v="1"/>
    <x v="2"/>
    <x v="0"/>
    <s v="CHAMDOR RED"/>
    <n v="165"/>
    <x v="4"/>
    <n v="4554000"/>
  </r>
  <r>
    <x v="0"/>
    <x v="1"/>
    <x v="1"/>
    <x v="0"/>
    <x v="0"/>
    <x v="5"/>
    <x v="2"/>
    <x v="0"/>
    <x v="0"/>
    <x v="1"/>
    <x v="2"/>
    <x v="0"/>
    <s v="CHAMDOR WHITE"/>
    <n v="2"/>
    <x v="4"/>
    <n v="55200"/>
  </r>
  <r>
    <x v="0"/>
    <x v="1"/>
    <x v="1"/>
    <x v="0"/>
    <x v="0"/>
    <x v="5"/>
    <x v="2"/>
    <x v="0"/>
    <x v="0"/>
    <x v="1"/>
    <x v="2"/>
    <x v="0"/>
    <s v="4TH STREET RED 6X75CL"/>
    <n v="187"/>
    <x v="5"/>
    <n v="4039200"/>
  </r>
  <r>
    <x v="0"/>
    <x v="1"/>
    <x v="1"/>
    <x v="0"/>
    <x v="0"/>
    <x v="5"/>
    <x v="2"/>
    <x v="0"/>
    <x v="0"/>
    <x v="1"/>
    <x v="2"/>
    <x v="0"/>
    <s v="4TH STREET WHITE 6X75CL"/>
    <n v="4"/>
    <x v="5"/>
    <n v="86400"/>
  </r>
  <r>
    <x v="0"/>
    <x v="1"/>
    <x v="1"/>
    <x v="0"/>
    <x v="0"/>
    <x v="5"/>
    <x v="2"/>
    <x v="0"/>
    <x v="0"/>
    <x v="1"/>
    <x v="2"/>
    <x v="0"/>
    <s v="4TH STREET ROSE 6X75CL"/>
    <n v="4"/>
    <x v="5"/>
    <n v="86400"/>
  </r>
  <r>
    <x v="0"/>
    <x v="1"/>
    <x v="1"/>
    <x v="0"/>
    <x v="0"/>
    <x v="5"/>
    <x v="2"/>
    <x v="0"/>
    <x v="0"/>
    <x v="1"/>
    <x v="2"/>
    <x v="0"/>
    <s v="4TH STREET 75CL NON ALCOHOLIC SWEET WINE"/>
    <n v="22"/>
    <x v="1"/>
    <n v="422400"/>
  </r>
  <r>
    <x v="0"/>
    <x v="1"/>
    <x v="1"/>
    <x v="0"/>
    <x v="0"/>
    <x v="5"/>
    <x v="8"/>
    <x v="0"/>
    <x v="4"/>
    <x v="1"/>
    <x v="8"/>
    <x v="5"/>
    <s v="AMARULA CREAM 6X700ML"/>
    <n v="1"/>
    <x v="2"/>
    <n v="30000"/>
  </r>
  <r>
    <x v="0"/>
    <x v="1"/>
    <x v="1"/>
    <x v="0"/>
    <x v="0"/>
    <x v="5"/>
    <x v="8"/>
    <x v="0"/>
    <x v="4"/>
    <x v="1"/>
    <x v="8"/>
    <x v="5"/>
    <s v="CHAMDOR RED"/>
    <n v="50"/>
    <x v="4"/>
    <n v="1380000"/>
  </r>
  <r>
    <x v="0"/>
    <x v="1"/>
    <x v="1"/>
    <x v="0"/>
    <x v="0"/>
    <x v="5"/>
    <x v="8"/>
    <x v="0"/>
    <x v="4"/>
    <x v="1"/>
    <x v="8"/>
    <x v="5"/>
    <s v="4TH STREET RED 6X75CL"/>
    <n v="45"/>
    <x v="5"/>
    <n v="972000"/>
  </r>
  <r>
    <x v="0"/>
    <x v="1"/>
    <x v="1"/>
    <x v="0"/>
    <x v="0"/>
    <x v="5"/>
    <x v="8"/>
    <x v="0"/>
    <x v="4"/>
    <x v="1"/>
    <x v="8"/>
    <x v="5"/>
    <s v="4TH STREET 75CL NON ALCOHOLIC SWEET WINE"/>
    <n v="40"/>
    <x v="1"/>
    <n v="768000"/>
  </r>
  <r>
    <x v="0"/>
    <x v="1"/>
    <x v="1"/>
    <x v="0"/>
    <x v="0"/>
    <x v="5"/>
    <x v="3"/>
    <x v="0"/>
    <x v="0"/>
    <x v="1"/>
    <x v="3"/>
    <x v="1"/>
    <s v="DROSTDY HOF 6X75CL RED CLARET "/>
    <n v="20"/>
    <x v="0"/>
    <n v="600000"/>
  </r>
  <r>
    <x v="0"/>
    <x v="1"/>
    <x v="1"/>
    <x v="0"/>
    <x v="0"/>
    <x v="5"/>
    <x v="3"/>
    <x v="0"/>
    <x v="0"/>
    <x v="1"/>
    <x v="3"/>
    <x v="1"/>
    <s v="CHAMDOR RED"/>
    <n v="125"/>
    <x v="4"/>
    <n v="3450000"/>
  </r>
  <r>
    <x v="0"/>
    <x v="1"/>
    <x v="1"/>
    <x v="0"/>
    <x v="0"/>
    <x v="5"/>
    <x v="3"/>
    <x v="0"/>
    <x v="0"/>
    <x v="1"/>
    <x v="3"/>
    <x v="1"/>
    <s v="4TH STREET RED 6X75CL"/>
    <n v="65"/>
    <x v="5"/>
    <n v="1404000"/>
  </r>
  <r>
    <x v="0"/>
    <x v="1"/>
    <x v="1"/>
    <x v="0"/>
    <x v="0"/>
    <x v="5"/>
    <x v="3"/>
    <x v="0"/>
    <x v="0"/>
    <x v="1"/>
    <x v="3"/>
    <x v="1"/>
    <s v="4TH STREET WHITE 6X75CL"/>
    <n v="5"/>
    <x v="5"/>
    <n v="108000"/>
  </r>
  <r>
    <x v="0"/>
    <x v="1"/>
    <x v="1"/>
    <x v="0"/>
    <x v="0"/>
    <x v="5"/>
    <x v="3"/>
    <x v="0"/>
    <x v="0"/>
    <x v="1"/>
    <x v="3"/>
    <x v="1"/>
    <s v="4TH STREET 75CL NON ALCOHOLIC SWEET WINE"/>
    <n v="22"/>
    <x v="1"/>
    <n v="422400"/>
  </r>
  <r>
    <x v="0"/>
    <x v="1"/>
    <x v="1"/>
    <x v="0"/>
    <x v="0"/>
    <x v="5"/>
    <x v="1"/>
    <x v="3"/>
    <x v="14"/>
    <x v="0"/>
    <x v="21"/>
    <x v="11"/>
    <s v="HUNTERS DRY 4X(6X330ML)"/>
    <n v="14"/>
    <x v="7"/>
    <n v="302400"/>
  </r>
  <r>
    <x v="0"/>
    <x v="1"/>
    <x v="1"/>
    <x v="0"/>
    <x v="0"/>
    <x v="5"/>
    <x v="1"/>
    <x v="3"/>
    <x v="14"/>
    <x v="0"/>
    <x v="21"/>
    <x v="11"/>
    <s v="DROSTDY HOF 6X75CL RED CLARET "/>
    <n v="30"/>
    <x v="0"/>
    <n v="900000"/>
  </r>
  <r>
    <x v="0"/>
    <x v="1"/>
    <x v="1"/>
    <x v="0"/>
    <x v="0"/>
    <x v="5"/>
    <x v="1"/>
    <x v="3"/>
    <x v="14"/>
    <x v="0"/>
    <x v="21"/>
    <x v="11"/>
    <s v="AMARULA CREAM 6X700ML"/>
    <n v="16"/>
    <x v="2"/>
    <n v="480000"/>
  </r>
  <r>
    <x v="0"/>
    <x v="1"/>
    <x v="1"/>
    <x v="0"/>
    <x v="0"/>
    <x v="5"/>
    <x v="1"/>
    <x v="3"/>
    <x v="14"/>
    <x v="0"/>
    <x v="21"/>
    <x v="11"/>
    <s v="CHAMDOR RED"/>
    <n v="150"/>
    <x v="4"/>
    <n v="4140000"/>
  </r>
  <r>
    <x v="0"/>
    <x v="1"/>
    <x v="1"/>
    <x v="0"/>
    <x v="0"/>
    <x v="5"/>
    <x v="1"/>
    <x v="3"/>
    <x v="14"/>
    <x v="0"/>
    <x v="21"/>
    <x v="11"/>
    <s v="CHAMDOR WHITE"/>
    <n v="40"/>
    <x v="4"/>
    <n v="1104000"/>
  </r>
  <r>
    <x v="0"/>
    <x v="1"/>
    <x v="1"/>
    <x v="0"/>
    <x v="0"/>
    <x v="5"/>
    <x v="1"/>
    <x v="3"/>
    <x v="14"/>
    <x v="0"/>
    <x v="21"/>
    <x v="11"/>
    <s v="4TH STREET RED 6X75CL"/>
    <n v="188"/>
    <x v="5"/>
    <n v="4060800"/>
  </r>
  <r>
    <x v="0"/>
    <x v="1"/>
    <x v="1"/>
    <x v="0"/>
    <x v="0"/>
    <x v="5"/>
    <x v="1"/>
    <x v="3"/>
    <x v="14"/>
    <x v="0"/>
    <x v="21"/>
    <x v="11"/>
    <s v="4TH STREET WHITE 6X75CL"/>
    <n v="32"/>
    <x v="5"/>
    <n v="691200"/>
  </r>
  <r>
    <x v="0"/>
    <x v="1"/>
    <x v="1"/>
    <x v="0"/>
    <x v="0"/>
    <x v="5"/>
    <x v="1"/>
    <x v="3"/>
    <x v="14"/>
    <x v="0"/>
    <x v="21"/>
    <x v="11"/>
    <s v="4TH STREET ROSE 6X75CL"/>
    <n v="50"/>
    <x v="5"/>
    <n v="1080000"/>
  </r>
  <r>
    <x v="0"/>
    <x v="1"/>
    <x v="1"/>
    <x v="0"/>
    <x v="0"/>
    <x v="5"/>
    <x v="1"/>
    <x v="3"/>
    <x v="14"/>
    <x v="0"/>
    <x v="21"/>
    <x v="11"/>
    <s v="4TH STREET 75CL NON ALCOHOLIC SWEET WINE"/>
    <n v="40"/>
    <x v="1"/>
    <n v="768000"/>
  </r>
  <r>
    <x v="0"/>
    <x v="1"/>
    <x v="1"/>
    <x v="0"/>
    <x v="0"/>
    <x v="5"/>
    <x v="1"/>
    <x v="3"/>
    <x v="14"/>
    <x v="0"/>
    <x v="21"/>
    <x v="11"/>
    <s v="NEDERBURG WINE MASTER RANGE MERLOT  6X750ML"/>
    <n v="32"/>
    <x v="6"/>
    <n v="2944000"/>
  </r>
  <r>
    <x v="0"/>
    <x v="1"/>
    <x v="1"/>
    <x v="0"/>
    <x v="0"/>
    <x v="5"/>
    <x v="1"/>
    <x v="3"/>
    <x v="14"/>
    <x v="0"/>
    <x v="22"/>
    <x v="11"/>
    <s v="DROSTDY HOF 6X75CL RED CLARET "/>
    <n v="44"/>
    <x v="0"/>
    <n v="1320000"/>
  </r>
  <r>
    <x v="0"/>
    <x v="1"/>
    <x v="1"/>
    <x v="0"/>
    <x v="0"/>
    <x v="5"/>
    <x v="1"/>
    <x v="3"/>
    <x v="14"/>
    <x v="0"/>
    <x v="22"/>
    <x v="11"/>
    <s v="DROSTY HOF RED CLARET 12X375ML"/>
    <n v="26"/>
    <x v="0"/>
    <n v="884000"/>
  </r>
  <r>
    <x v="0"/>
    <x v="1"/>
    <x v="1"/>
    <x v="0"/>
    <x v="0"/>
    <x v="5"/>
    <x v="1"/>
    <x v="3"/>
    <x v="14"/>
    <x v="0"/>
    <x v="22"/>
    <x v="11"/>
    <s v="AMARULA CREAM 6X700ML"/>
    <n v="35"/>
    <x v="2"/>
    <n v="1050000"/>
  </r>
  <r>
    <x v="0"/>
    <x v="1"/>
    <x v="1"/>
    <x v="0"/>
    <x v="0"/>
    <x v="5"/>
    <x v="1"/>
    <x v="3"/>
    <x v="14"/>
    <x v="0"/>
    <x v="22"/>
    <x v="11"/>
    <s v="CHAMDOR RED"/>
    <n v="165"/>
    <x v="4"/>
    <n v="4554000"/>
  </r>
  <r>
    <x v="0"/>
    <x v="1"/>
    <x v="1"/>
    <x v="0"/>
    <x v="0"/>
    <x v="5"/>
    <x v="1"/>
    <x v="3"/>
    <x v="14"/>
    <x v="0"/>
    <x v="22"/>
    <x v="11"/>
    <s v="4TH STREET RED 6X75CL"/>
    <n v="125"/>
    <x v="5"/>
    <n v="2700000"/>
  </r>
  <r>
    <x v="0"/>
    <x v="1"/>
    <x v="1"/>
    <x v="0"/>
    <x v="0"/>
    <x v="5"/>
    <x v="1"/>
    <x v="3"/>
    <x v="14"/>
    <x v="0"/>
    <x v="22"/>
    <x v="11"/>
    <s v="4TH STREET WHITE 6X75CL"/>
    <n v="5"/>
    <x v="5"/>
    <n v="108000"/>
  </r>
  <r>
    <x v="0"/>
    <x v="1"/>
    <x v="1"/>
    <x v="0"/>
    <x v="0"/>
    <x v="5"/>
    <x v="1"/>
    <x v="3"/>
    <x v="14"/>
    <x v="0"/>
    <x v="22"/>
    <x v="11"/>
    <s v="4TH STREET ROSE 6X75CL"/>
    <n v="70"/>
    <x v="5"/>
    <n v="1512000"/>
  </r>
  <r>
    <x v="0"/>
    <x v="1"/>
    <x v="1"/>
    <x v="0"/>
    <x v="0"/>
    <x v="5"/>
    <x v="1"/>
    <x v="3"/>
    <x v="14"/>
    <x v="0"/>
    <x v="22"/>
    <x v="11"/>
    <s v="4TH STREET 75CL NON ALCOHOLIC SWEET WINE"/>
    <n v="5"/>
    <x v="1"/>
    <n v="96000"/>
  </r>
  <r>
    <x v="0"/>
    <x v="1"/>
    <x v="1"/>
    <x v="0"/>
    <x v="0"/>
    <x v="5"/>
    <x v="15"/>
    <x v="3"/>
    <x v="15"/>
    <x v="1"/>
    <x v="23"/>
    <x v="12"/>
    <s v="DROSTY HOF RED CLARET 12X375ML"/>
    <n v="5"/>
    <x v="0"/>
    <n v="170000"/>
  </r>
  <r>
    <x v="0"/>
    <x v="1"/>
    <x v="1"/>
    <x v="0"/>
    <x v="0"/>
    <x v="5"/>
    <x v="15"/>
    <x v="3"/>
    <x v="15"/>
    <x v="1"/>
    <x v="23"/>
    <x v="12"/>
    <s v="AMARULA CREAM 6X700ML"/>
    <n v="1"/>
    <x v="2"/>
    <n v="30000"/>
  </r>
  <r>
    <x v="0"/>
    <x v="1"/>
    <x v="1"/>
    <x v="0"/>
    <x v="0"/>
    <x v="5"/>
    <x v="15"/>
    <x v="3"/>
    <x v="15"/>
    <x v="1"/>
    <x v="23"/>
    <x v="12"/>
    <s v="CHAMDOR RED"/>
    <n v="45"/>
    <x v="4"/>
    <n v="1242000"/>
  </r>
  <r>
    <x v="0"/>
    <x v="1"/>
    <x v="1"/>
    <x v="0"/>
    <x v="0"/>
    <x v="5"/>
    <x v="15"/>
    <x v="3"/>
    <x v="15"/>
    <x v="1"/>
    <x v="23"/>
    <x v="12"/>
    <s v="4TH STREET RED 6X75CL"/>
    <n v="28"/>
    <x v="5"/>
    <n v="604800"/>
  </r>
  <r>
    <x v="0"/>
    <x v="1"/>
    <x v="1"/>
    <x v="0"/>
    <x v="0"/>
    <x v="5"/>
    <x v="15"/>
    <x v="3"/>
    <x v="15"/>
    <x v="1"/>
    <x v="23"/>
    <x v="12"/>
    <s v="4TH STREET 75CL NON ALCOHOLIC SWEET WINE"/>
    <n v="10"/>
    <x v="1"/>
    <n v="192000"/>
  </r>
  <r>
    <x v="0"/>
    <x v="1"/>
    <x v="1"/>
    <x v="0"/>
    <x v="0"/>
    <x v="5"/>
    <x v="15"/>
    <x v="3"/>
    <x v="15"/>
    <x v="1"/>
    <x v="24"/>
    <x v="12"/>
    <s v="HUNTERS DRY 4X(6X330ML)"/>
    <n v="5"/>
    <x v="7"/>
    <n v="108000"/>
  </r>
  <r>
    <x v="0"/>
    <x v="1"/>
    <x v="1"/>
    <x v="0"/>
    <x v="0"/>
    <x v="5"/>
    <x v="15"/>
    <x v="3"/>
    <x v="15"/>
    <x v="1"/>
    <x v="24"/>
    <x v="12"/>
    <s v="AMARULA CREAM 6X700ML"/>
    <n v="5"/>
    <x v="2"/>
    <n v="150000"/>
  </r>
  <r>
    <x v="0"/>
    <x v="1"/>
    <x v="1"/>
    <x v="0"/>
    <x v="0"/>
    <x v="5"/>
    <x v="15"/>
    <x v="3"/>
    <x v="15"/>
    <x v="1"/>
    <x v="24"/>
    <x v="12"/>
    <s v="BAIN'S WHISKY 6X75CL"/>
    <n v="3"/>
    <x v="8"/>
    <n v="240000"/>
  </r>
  <r>
    <x v="0"/>
    <x v="1"/>
    <x v="1"/>
    <x v="0"/>
    <x v="0"/>
    <x v="5"/>
    <x v="15"/>
    <x v="3"/>
    <x v="15"/>
    <x v="1"/>
    <x v="24"/>
    <x v="12"/>
    <s v="CHAMDOR RED"/>
    <n v="53"/>
    <x v="4"/>
    <n v="1462800"/>
  </r>
  <r>
    <x v="0"/>
    <x v="1"/>
    <x v="1"/>
    <x v="0"/>
    <x v="0"/>
    <x v="5"/>
    <x v="15"/>
    <x v="3"/>
    <x v="15"/>
    <x v="1"/>
    <x v="24"/>
    <x v="12"/>
    <s v="CHAMDOR WHITE"/>
    <n v="21"/>
    <x v="4"/>
    <n v="579600"/>
  </r>
  <r>
    <x v="0"/>
    <x v="1"/>
    <x v="1"/>
    <x v="0"/>
    <x v="0"/>
    <x v="5"/>
    <x v="15"/>
    <x v="3"/>
    <x v="15"/>
    <x v="1"/>
    <x v="24"/>
    <x v="12"/>
    <s v="4TH STREET RED 6X75CL"/>
    <n v="34"/>
    <x v="5"/>
    <n v="734400"/>
  </r>
  <r>
    <x v="0"/>
    <x v="1"/>
    <x v="1"/>
    <x v="0"/>
    <x v="0"/>
    <x v="5"/>
    <x v="15"/>
    <x v="3"/>
    <x v="15"/>
    <x v="1"/>
    <x v="24"/>
    <x v="12"/>
    <s v="4TH STREET 75CL NON ALCOHOLIC SWEET WINE"/>
    <n v="32"/>
    <x v="1"/>
    <n v="614400"/>
  </r>
  <r>
    <x v="0"/>
    <x v="1"/>
    <x v="1"/>
    <x v="0"/>
    <x v="0"/>
    <x v="5"/>
    <x v="15"/>
    <x v="3"/>
    <x v="15"/>
    <x v="1"/>
    <x v="25"/>
    <x v="12"/>
    <s v="CHAMDOR RED"/>
    <n v="40"/>
    <x v="4"/>
    <n v="1104000"/>
  </r>
  <r>
    <x v="0"/>
    <x v="1"/>
    <x v="1"/>
    <x v="0"/>
    <x v="0"/>
    <x v="5"/>
    <x v="15"/>
    <x v="3"/>
    <x v="15"/>
    <x v="1"/>
    <x v="25"/>
    <x v="12"/>
    <s v="4TH STREET RED 6X75CL"/>
    <n v="84"/>
    <x v="5"/>
    <n v="1814400"/>
  </r>
  <r>
    <x v="0"/>
    <x v="1"/>
    <x v="1"/>
    <x v="0"/>
    <x v="0"/>
    <x v="5"/>
    <x v="15"/>
    <x v="3"/>
    <x v="15"/>
    <x v="1"/>
    <x v="25"/>
    <x v="12"/>
    <s v="4TH STREET 75CL NON ALCOHOLIC SWEET WINE"/>
    <n v="54"/>
    <x v="1"/>
    <n v="1036800"/>
  </r>
  <r>
    <x v="0"/>
    <x v="1"/>
    <x v="1"/>
    <x v="0"/>
    <x v="0"/>
    <x v="5"/>
    <x v="16"/>
    <x v="3"/>
    <x v="16"/>
    <x v="1"/>
    <x v="26"/>
    <x v="13"/>
    <s v="HUNTERS DRY 4X(6X330ML)"/>
    <n v="70"/>
    <x v="7"/>
    <n v="1512000"/>
  </r>
  <r>
    <x v="0"/>
    <x v="1"/>
    <x v="1"/>
    <x v="0"/>
    <x v="0"/>
    <x v="5"/>
    <x v="16"/>
    <x v="3"/>
    <x v="16"/>
    <x v="1"/>
    <x v="26"/>
    <x v="13"/>
    <s v="TWO OCEAN SHIRAZ 6X75CL"/>
    <n v="5"/>
    <x v="10"/>
    <n v="150000"/>
  </r>
  <r>
    <x v="0"/>
    <x v="1"/>
    <x v="1"/>
    <x v="0"/>
    <x v="0"/>
    <x v="5"/>
    <x v="16"/>
    <x v="3"/>
    <x v="16"/>
    <x v="1"/>
    <x v="26"/>
    <x v="13"/>
    <s v="CHAMDOR RED"/>
    <n v="95"/>
    <x v="4"/>
    <n v="2622000"/>
  </r>
  <r>
    <x v="0"/>
    <x v="1"/>
    <x v="1"/>
    <x v="0"/>
    <x v="0"/>
    <x v="5"/>
    <x v="16"/>
    <x v="3"/>
    <x v="16"/>
    <x v="1"/>
    <x v="26"/>
    <x v="13"/>
    <s v="4TH STREET RED 6X75CL"/>
    <n v="160"/>
    <x v="5"/>
    <n v="3456000"/>
  </r>
  <r>
    <x v="0"/>
    <x v="1"/>
    <x v="1"/>
    <x v="0"/>
    <x v="0"/>
    <x v="5"/>
    <x v="16"/>
    <x v="3"/>
    <x v="16"/>
    <x v="1"/>
    <x v="26"/>
    <x v="13"/>
    <s v="4TH STREET SPARKLING RED"/>
    <n v="40"/>
    <x v="3"/>
    <n v="936000"/>
  </r>
  <r>
    <x v="0"/>
    <x v="1"/>
    <x v="1"/>
    <x v="0"/>
    <x v="0"/>
    <x v="5"/>
    <x v="16"/>
    <x v="3"/>
    <x v="16"/>
    <x v="1"/>
    <x v="26"/>
    <x v="13"/>
    <s v="4TH STREET 75CL NON ALCOHOLIC SWEET WINE"/>
    <n v="33"/>
    <x v="1"/>
    <n v="633600"/>
  </r>
  <r>
    <x v="0"/>
    <x v="1"/>
    <x v="1"/>
    <x v="0"/>
    <x v="0"/>
    <x v="5"/>
    <x v="16"/>
    <x v="3"/>
    <x v="16"/>
    <x v="1"/>
    <x v="26"/>
    <x v="13"/>
    <s v="NEDERBURG WINE MASTER RANGE MERLOT  6X750ML"/>
    <n v="10"/>
    <x v="6"/>
    <n v="920000"/>
  </r>
  <r>
    <x v="0"/>
    <x v="1"/>
    <x v="1"/>
    <x v="0"/>
    <x v="0"/>
    <x v="5"/>
    <x v="15"/>
    <x v="3"/>
    <x v="17"/>
    <x v="1"/>
    <x v="27"/>
    <x v="12"/>
    <s v="CHAMDOR RED"/>
    <n v="43"/>
    <x v="4"/>
    <n v="1186800"/>
  </r>
  <r>
    <x v="0"/>
    <x v="1"/>
    <x v="1"/>
    <x v="0"/>
    <x v="0"/>
    <x v="5"/>
    <x v="15"/>
    <x v="3"/>
    <x v="17"/>
    <x v="1"/>
    <x v="27"/>
    <x v="12"/>
    <s v="4TH STREET RED 6X75CL"/>
    <n v="43"/>
    <x v="5"/>
    <n v="928800"/>
  </r>
  <r>
    <x v="0"/>
    <x v="1"/>
    <x v="1"/>
    <x v="0"/>
    <x v="0"/>
    <x v="5"/>
    <x v="15"/>
    <x v="3"/>
    <x v="17"/>
    <x v="1"/>
    <x v="27"/>
    <x v="12"/>
    <s v="4TH STREET 75CL NON ALCOHOLIC SWEET WINE"/>
    <n v="37"/>
    <x v="1"/>
    <n v="710400"/>
  </r>
  <r>
    <x v="0"/>
    <x v="1"/>
    <x v="1"/>
    <x v="0"/>
    <x v="0"/>
    <x v="5"/>
    <x v="4"/>
    <x v="1"/>
    <x v="1"/>
    <x v="0"/>
    <x v="4"/>
    <x v="2"/>
    <s v="HUNTERS DRY 4X(6X330ML)"/>
    <n v="4"/>
    <x v="7"/>
    <n v="86400"/>
  </r>
  <r>
    <x v="0"/>
    <x v="1"/>
    <x v="1"/>
    <x v="0"/>
    <x v="0"/>
    <x v="5"/>
    <x v="4"/>
    <x v="1"/>
    <x v="1"/>
    <x v="0"/>
    <x v="4"/>
    <x v="2"/>
    <s v="TWO OCEAN CAB/SAUV 6X75CL"/>
    <n v="3"/>
    <x v="10"/>
    <n v="90000"/>
  </r>
  <r>
    <x v="0"/>
    <x v="1"/>
    <x v="1"/>
    <x v="0"/>
    <x v="0"/>
    <x v="5"/>
    <x v="4"/>
    <x v="1"/>
    <x v="1"/>
    <x v="0"/>
    <x v="4"/>
    <x v="2"/>
    <s v="DROSTDY HOF 6X75CL RED CLARET "/>
    <n v="6"/>
    <x v="0"/>
    <n v="180000"/>
  </r>
  <r>
    <x v="0"/>
    <x v="1"/>
    <x v="1"/>
    <x v="0"/>
    <x v="0"/>
    <x v="5"/>
    <x v="4"/>
    <x v="1"/>
    <x v="1"/>
    <x v="0"/>
    <x v="4"/>
    <x v="2"/>
    <s v="DROSTY HOF RED CLARET 12X375ML"/>
    <n v="2"/>
    <x v="0"/>
    <n v="68000"/>
  </r>
  <r>
    <x v="0"/>
    <x v="1"/>
    <x v="1"/>
    <x v="0"/>
    <x v="0"/>
    <x v="5"/>
    <x v="4"/>
    <x v="1"/>
    <x v="1"/>
    <x v="0"/>
    <x v="4"/>
    <x v="2"/>
    <s v="AMARULA CREAM 12X375ML"/>
    <n v="3"/>
    <x v="2"/>
    <n v="130335"/>
  </r>
  <r>
    <x v="0"/>
    <x v="1"/>
    <x v="1"/>
    <x v="0"/>
    <x v="0"/>
    <x v="5"/>
    <x v="4"/>
    <x v="1"/>
    <x v="1"/>
    <x v="0"/>
    <x v="4"/>
    <x v="2"/>
    <s v="AMARULA CREAM 6X700ML"/>
    <n v="4"/>
    <x v="2"/>
    <n v="120000"/>
  </r>
  <r>
    <x v="0"/>
    <x v="1"/>
    <x v="1"/>
    <x v="0"/>
    <x v="0"/>
    <x v="5"/>
    <x v="4"/>
    <x v="1"/>
    <x v="1"/>
    <x v="0"/>
    <x v="4"/>
    <x v="2"/>
    <s v="BAIN'S WHISKY 6X75CL"/>
    <n v="2"/>
    <x v="8"/>
    <n v="160000"/>
  </r>
  <r>
    <x v="0"/>
    <x v="1"/>
    <x v="1"/>
    <x v="0"/>
    <x v="0"/>
    <x v="5"/>
    <x v="4"/>
    <x v="1"/>
    <x v="1"/>
    <x v="0"/>
    <x v="4"/>
    <x v="2"/>
    <s v="CHAMDOR RED"/>
    <n v="118"/>
    <x v="4"/>
    <n v="3256800"/>
  </r>
  <r>
    <x v="0"/>
    <x v="1"/>
    <x v="1"/>
    <x v="0"/>
    <x v="0"/>
    <x v="5"/>
    <x v="4"/>
    <x v="1"/>
    <x v="1"/>
    <x v="0"/>
    <x v="4"/>
    <x v="2"/>
    <s v="CHAMDOR WHITE"/>
    <n v="10"/>
    <x v="4"/>
    <n v="276000"/>
  </r>
  <r>
    <x v="0"/>
    <x v="1"/>
    <x v="1"/>
    <x v="0"/>
    <x v="0"/>
    <x v="5"/>
    <x v="4"/>
    <x v="1"/>
    <x v="1"/>
    <x v="0"/>
    <x v="4"/>
    <x v="2"/>
    <s v="4TH STREET RED 6X75CL"/>
    <n v="80"/>
    <x v="5"/>
    <n v="1728000"/>
  </r>
  <r>
    <x v="0"/>
    <x v="1"/>
    <x v="1"/>
    <x v="0"/>
    <x v="0"/>
    <x v="5"/>
    <x v="4"/>
    <x v="1"/>
    <x v="1"/>
    <x v="0"/>
    <x v="4"/>
    <x v="2"/>
    <s v="4TH STREET WHITE 6X75CL"/>
    <n v="3"/>
    <x v="5"/>
    <n v="64800"/>
  </r>
  <r>
    <x v="0"/>
    <x v="1"/>
    <x v="1"/>
    <x v="0"/>
    <x v="0"/>
    <x v="5"/>
    <x v="4"/>
    <x v="1"/>
    <x v="1"/>
    <x v="0"/>
    <x v="4"/>
    <x v="2"/>
    <s v="4TH STREET ROSE 6X75CL"/>
    <n v="9"/>
    <x v="5"/>
    <n v="194400"/>
  </r>
  <r>
    <x v="0"/>
    <x v="1"/>
    <x v="1"/>
    <x v="0"/>
    <x v="0"/>
    <x v="5"/>
    <x v="4"/>
    <x v="1"/>
    <x v="1"/>
    <x v="0"/>
    <x v="4"/>
    <x v="2"/>
    <s v="4TH STREET 75CL NON ALCOHOLIC SWEET WINE"/>
    <n v="30"/>
    <x v="1"/>
    <n v="576000"/>
  </r>
  <r>
    <x v="0"/>
    <x v="1"/>
    <x v="1"/>
    <x v="0"/>
    <x v="0"/>
    <x v="5"/>
    <x v="5"/>
    <x v="1"/>
    <x v="2"/>
    <x v="0"/>
    <x v="5"/>
    <x v="3"/>
    <s v="HUNTERS DRY 4X(6X330ML)"/>
    <n v="10"/>
    <x v="7"/>
    <n v="216000"/>
  </r>
  <r>
    <x v="0"/>
    <x v="1"/>
    <x v="1"/>
    <x v="0"/>
    <x v="0"/>
    <x v="5"/>
    <x v="5"/>
    <x v="1"/>
    <x v="2"/>
    <x v="0"/>
    <x v="5"/>
    <x v="3"/>
    <s v="TWO OCEAN SAUV BLANC 6X75CL"/>
    <n v="5"/>
    <x v="10"/>
    <n v="150000"/>
  </r>
  <r>
    <x v="0"/>
    <x v="1"/>
    <x v="1"/>
    <x v="0"/>
    <x v="0"/>
    <x v="5"/>
    <x v="5"/>
    <x v="1"/>
    <x v="2"/>
    <x v="0"/>
    <x v="5"/>
    <x v="3"/>
    <s v="DROSTDY HOF 6X75CL RED CLARET "/>
    <n v="5"/>
    <x v="0"/>
    <n v="150000"/>
  </r>
  <r>
    <x v="0"/>
    <x v="1"/>
    <x v="1"/>
    <x v="0"/>
    <x v="0"/>
    <x v="5"/>
    <x v="5"/>
    <x v="1"/>
    <x v="2"/>
    <x v="0"/>
    <x v="5"/>
    <x v="3"/>
    <s v="CHAMDOR RED"/>
    <n v="120"/>
    <x v="4"/>
    <n v="3312000"/>
  </r>
  <r>
    <x v="0"/>
    <x v="1"/>
    <x v="1"/>
    <x v="0"/>
    <x v="0"/>
    <x v="5"/>
    <x v="5"/>
    <x v="1"/>
    <x v="2"/>
    <x v="0"/>
    <x v="5"/>
    <x v="3"/>
    <s v="4TH STREET RED 6X75CL"/>
    <n v="50"/>
    <x v="5"/>
    <n v="1080000"/>
  </r>
  <r>
    <x v="0"/>
    <x v="1"/>
    <x v="1"/>
    <x v="0"/>
    <x v="0"/>
    <x v="5"/>
    <x v="5"/>
    <x v="1"/>
    <x v="2"/>
    <x v="0"/>
    <x v="5"/>
    <x v="3"/>
    <s v="4TH STREET 75CL NON ALCOHOLIC SWEET WINE"/>
    <n v="40"/>
    <x v="1"/>
    <n v="768000"/>
  </r>
  <r>
    <x v="0"/>
    <x v="1"/>
    <x v="1"/>
    <x v="0"/>
    <x v="0"/>
    <x v="5"/>
    <x v="6"/>
    <x v="1"/>
    <x v="3"/>
    <x v="0"/>
    <x v="6"/>
    <x v="4"/>
    <s v="HUNTERS DRY 4X(6X330ML)"/>
    <n v="10"/>
    <x v="7"/>
    <n v="216000"/>
  </r>
  <r>
    <x v="0"/>
    <x v="1"/>
    <x v="1"/>
    <x v="0"/>
    <x v="0"/>
    <x v="5"/>
    <x v="6"/>
    <x v="1"/>
    <x v="3"/>
    <x v="0"/>
    <x v="6"/>
    <x v="4"/>
    <s v="TWO OCEAN CAB/SAUV 6X75CL"/>
    <n v="26"/>
    <x v="10"/>
    <n v="780000"/>
  </r>
  <r>
    <x v="0"/>
    <x v="1"/>
    <x v="1"/>
    <x v="0"/>
    <x v="0"/>
    <x v="5"/>
    <x v="6"/>
    <x v="1"/>
    <x v="3"/>
    <x v="0"/>
    <x v="6"/>
    <x v="4"/>
    <s v="DROSTDY HOF 6X75CL RED CLARET "/>
    <n v="40"/>
    <x v="0"/>
    <n v="1200000"/>
  </r>
  <r>
    <x v="0"/>
    <x v="1"/>
    <x v="1"/>
    <x v="0"/>
    <x v="0"/>
    <x v="5"/>
    <x v="6"/>
    <x v="1"/>
    <x v="3"/>
    <x v="0"/>
    <x v="6"/>
    <x v="4"/>
    <s v="DROSTY HOF RED CLARET 12X375ML"/>
    <n v="42"/>
    <x v="0"/>
    <n v="1428000"/>
  </r>
  <r>
    <x v="0"/>
    <x v="1"/>
    <x v="1"/>
    <x v="0"/>
    <x v="0"/>
    <x v="5"/>
    <x v="6"/>
    <x v="1"/>
    <x v="3"/>
    <x v="0"/>
    <x v="6"/>
    <x v="4"/>
    <s v="AMARULA CREAM 12X375ML"/>
    <n v="10"/>
    <x v="2"/>
    <n v="434450"/>
  </r>
  <r>
    <x v="0"/>
    <x v="1"/>
    <x v="1"/>
    <x v="0"/>
    <x v="0"/>
    <x v="5"/>
    <x v="6"/>
    <x v="1"/>
    <x v="3"/>
    <x v="0"/>
    <x v="6"/>
    <x v="4"/>
    <s v="AMARULA CREAM 6X700ML"/>
    <n v="20"/>
    <x v="2"/>
    <n v="600000"/>
  </r>
  <r>
    <x v="0"/>
    <x v="1"/>
    <x v="1"/>
    <x v="0"/>
    <x v="0"/>
    <x v="5"/>
    <x v="6"/>
    <x v="1"/>
    <x v="3"/>
    <x v="0"/>
    <x v="6"/>
    <x v="4"/>
    <s v="BAIN'S WHISKY 6X75CL"/>
    <n v="4"/>
    <x v="8"/>
    <n v="320000"/>
  </r>
  <r>
    <x v="0"/>
    <x v="1"/>
    <x v="1"/>
    <x v="0"/>
    <x v="0"/>
    <x v="5"/>
    <x v="6"/>
    <x v="1"/>
    <x v="3"/>
    <x v="0"/>
    <x v="6"/>
    <x v="4"/>
    <s v="KNIGHT WHISKY 6X75CL"/>
    <n v="2"/>
    <x v="9"/>
    <n v="100000"/>
  </r>
  <r>
    <x v="0"/>
    <x v="1"/>
    <x v="1"/>
    <x v="0"/>
    <x v="0"/>
    <x v="5"/>
    <x v="6"/>
    <x v="1"/>
    <x v="3"/>
    <x v="0"/>
    <x v="6"/>
    <x v="4"/>
    <s v="SCOTTISH LEADER 6X75CL"/>
    <n v="3"/>
    <x v="11"/>
    <n v="180000"/>
  </r>
  <r>
    <x v="0"/>
    <x v="1"/>
    <x v="1"/>
    <x v="0"/>
    <x v="0"/>
    <x v="5"/>
    <x v="6"/>
    <x v="1"/>
    <x v="3"/>
    <x v="0"/>
    <x v="6"/>
    <x v="4"/>
    <s v="CHAMDOR RED"/>
    <n v="402"/>
    <x v="4"/>
    <n v="11095200"/>
  </r>
  <r>
    <x v="0"/>
    <x v="1"/>
    <x v="1"/>
    <x v="0"/>
    <x v="0"/>
    <x v="5"/>
    <x v="6"/>
    <x v="1"/>
    <x v="3"/>
    <x v="0"/>
    <x v="6"/>
    <x v="4"/>
    <s v="4TH STREET RED 6X75CL"/>
    <n v="110"/>
    <x v="5"/>
    <n v="2376000"/>
  </r>
  <r>
    <x v="0"/>
    <x v="1"/>
    <x v="1"/>
    <x v="0"/>
    <x v="0"/>
    <x v="5"/>
    <x v="6"/>
    <x v="1"/>
    <x v="3"/>
    <x v="0"/>
    <x v="6"/>
    <x v="4"/>
    <s v="4TH STREET 75CL NON ALCOHOLIC SWEET WINE"/>
    <n v="85"/>
    <x v="1"/>
    <n v="1632000"/>
  </r>
  <r>
    <x v="0"/>
    <x v="1"/>
    <x v="1"/>
    <x v="0"/>
    <x v="0"/>
    <x v="5"/>
    <x v="6"/>
    <x v="1"/>
    <x v="3"/>
    <x v="0"/>
    <x v="6"/>
    <x v="4"/>
    <s v="4TH STREET RED 12X37.5CL"/>
    <n v="34"/>
    <x v="5"/>
    <n v="734400"/>
  </r>
  <r>
    <x v="0"/>
    <x v="1"/>
    <x v="1"/>
    <x v="0"/>
    <x v="0"/>
    <x v="5"/>
    <x v="6"/>
    <x v="1"/>
    <x v="3"/>
    <x v="0"/>
    <x v="6"/>
    <x v="4"/>
    <s v="NEDERBURG WINE MASTER RANGE MERLOT  6X750ML"/>
    <n v="9"/>
    <x v="6"/>
    <n v="828000"/>
  </r>
  <r>
    <x v="0"/>
    <x v="1"/>
    <x v="1"/>
    <x v="0"/>
    <x v="0"/>
    <x v="5"/>
    <x v="7"/>
    <x v="1"/>
    <x v="3"/>
    <x v="0"/>
    <x v="7"/>
    <x v="4"/>
    <s v="HUNTERS DRY 4X(6X330ML)"/>
    <n v="20"/>
    <x v="7"/>
    <n v="432000"/>
  </r>
  <r>
    <x v="0"/>
    <x v="1"/>
    <x v="1"/>
    <x v="0"/>
    <x v="0"/>
    <x v="5"/>
    <x v="7"/>
    <x v="1"/>
    <x v="3"/>
    <x v="0"/>
    <x v="7"/>
    <x v="4"/>
    <s v="TWO OCEAN CAB/SAUV 6X75CL"/>
    <n v="25"/>
    <x v="10"/>
    <n v="750000"/>
  </r>
  <r>
    <x v="0"/>
    <x v="1"/>
    <x v="1"/>
    <x v="0"/>
    <x v="0"/>
    <x v="5"/>
    <x v="7"/>
    <x v="1"/>
    <x v="3"/>
    <x v="0"/>
    <x v="7"/>
    <x v="4"/>
    <s v="DROSTDY HOF 6X75CL RED CLARET "/>
    <n v="38"/>
    <x v="0"/>
    <n v="1140000"/>
  </r>
  <r>
    <x v="0"/>
    <x v="1"/>
    <x v="1"/>
    <x v="0"/>
    <x v="0"/>
    <x v="5"/>
    <x v="7"/>
    <x v="1"/>
    <x v="3"/>
    <x v="0"/>
    <x v="7"/>
    <x v="4"/>
    <s v="DROSTY HOF RED CLARET 12X375ML"/>
    <n v="35"/>
    <x v="0"/>
    <n v="1190000"/>
  </r>
  <r>
    <x v="0"/>
    <x v="1"/>
    <x v="1"/>
    <x v="0"/>
    <x v="0"/>
    <x v="5"/>
    <x v="7"/>
    <x v="1"/>
    <x v="3"/>
    <x v="0"/>
    <x v="7"/>
    <x v="4"/>
    <s v="AMARULA CREAM 12X375ML"/>
    <n v="15"/>
    <x v="2"/>
    <n v="651675"/>
  </r>
  <r>
    <x v="0"/>
    <x v="1"/>
    <x v="1"/>
    <x v="0"/>
    <x v="0"/>
    <x v="5"/>
    <x v="7"/>
    <x v="1"/>
    <x v="3"/>
    <x v="0"/>
    <x v="7"/>
    <x v="4"/>
    <s v="AMARULA CREAM 6X700ML"/>
    <n v="15"/>
    <x v="2"/>
    <n v="450000"/>
  </r>
  <r>
    <x v="0"/>
    <x v="1"/>
    <x v="1"/>
    <x v="0"/>
    <x v="0"/>
    <x v="5"/>
    <x v="7"/>
    <x v="1"/>
    <x v="3"/>
    <x v="0"/>
    <x v="7"/>
    <x v="4"/>
    <s v="BAIN'S WHISKY 6X75CL"/>
    <n v="5"/>
    <x v="8"/>
    <n v="400000"/>
  </r>
  <r>
    <x v="0"/>
    <x v="1"/>
    <x v="1"/>
    <x v="0"/>
    <x v="0"/>
    <x v="5"/>
    <x v="7"/>
    <x v="1"/>
    <x v="3"/>
    <x v="0"/>
    <x v="7"/>
    <x v="4"/>
    <s v="KNIGHT WHISKY 6X75CL"/>
    <n v="2"/>
    <x v="9"/>
    <n v="100000"/>
  </r>
  <r>
    <x v="0"/>
    <x v="1"/>
    <x v="1"/>
    <x v="0"/>
    <x v="0"/>
    <x v="5"/>
    <x v="7"/>
    <x v="1"/>
    <x v="3"/>
    <x v="0"/>
    <x v="7"/>
    <x v="4"/>
    <s v="SCOTTISH LEADER 6X75CL"/>
    <n v="3"/>
    <x v="11"/>
    <n v="180000"/>
  </r>
  <r>
    <x v="0"/>
    <x v="1"/>
    <x v="1"/>
    <x v="0"/>
    <x v="0"/>
    <x v="5"/>
    <x v="7"/>
    <x v="1"/>
    <x v="3"/>
    <x v="0"/>
    <x v="7"/>
    <x v="4"/>
    <s v="CHAMDOR RED"/>
    <n v="410"/>
    <x v="4"/>
    <n v="11316000"/>
  </r>
  <r>
    <x v="0"/>
    <x v="1"/>
    <x v="1"/>
    <x v="0"/>
    <x v="0"/>
    <x v="5"/>
    <x v="7"/>
    <x v="1"/>
    <x v="3"/>
    <x v="0"/>
    <x v="7"/>
    <x v="4"/>
    <s v="4TH STREET RED 6X75CL"/>
    <n v="72"/>
    <x v="5"/>
    <n v="1555200"/>
  </r>
  <r>
    <x v="0"/>
    <x v="1"/>
    <x v="1"/>
    <x v="0"/>
    <x v="0"/>
    <x v="5"/>
    <x v="7"/>
    <x v="1"/>
    <x v="3"/>
    <x v="0"/>
    <x v="7"/>
    <x v="4"/>
    <s v="4TH STREET 75CL NON ALCOHOLIC SWEET WINE"/>
    <n v="100"/>
    <x v="1"/>
    <n v="1920000"/>
  </r>
  <r>
    <x v="0"/>
    <x v="1"/>
    <x v="1"/>
    <x v="0"/>
    <x v="0"/>
    <x v="5"/>
    <x v="7"/>
    <x v="1"/>
    <x v="3"/>
    <x v="0"/>
    <x v="7"/>
    <x v="4"/>
    <s v="4TH STREET RED 12X37.5CL"/>
    <n v="26"/>
    <x v="5"/>
    <n v="561600"/>
  </r>
  <r>
    <x v="0"/>
    <x v="1"/>
    <x v="1"/>
    <x v="0"/>
    <x v="0"/>
    <x v="5"/>
    <x v="7"/>
    <x v="1"/>
    <x v="3"/>
    <x v="0"/>
    <x v="7"/>
    <x v="4"/>
    <s v="NEDERBURG WINE MASTER RANGE MERLOT  6X750ML"/>
    <n v="5"/>
    <x v="6"/>
    <n v="460000"/>
  </r>
  <r>
    <x v="0"/>
    <x v="1"/>
    <x v="1"/>
    <x v="0"/>
    <x v="0"/>
    <x v="5"/>
    <x v="10"/>
    <x v="1"/>
    <x v="8"/>
    <x v="1"/>
    <x v="13"/>
    <x v="7"/>
    <s v="HUNTERS GOLD 4X(6X330ML)"/>
    <n v="6"/>
    <x v="7"/>
    <n v="129600"/>
  </r>
  <r>
    <x v="0"/>
    <x v="1"/>
    <x v="1"/>
    <x v="0"/>
    <x v="0"/>
    <x v="5"/>
    <x v="10"/>
    <x v="1"/>
    <x v="8"/>
    <x v="1"/>
    <x v="13"/>
    <x v="7"/>
    <s v="DROSTY HOF RED CLARET 12X375ML"/>
    <n v="3"/>
    <x v="0"/>
    <n v="102000"/>
  </r>
  <r>
    <x v="0"/>
    <x v="1"/>
    <x v="1"/>
    <x v="0"/>
    <x v="0"/>
    <x v="5"/>
    <x v="10"/>
    <x v="1"/>
    <x v="8"/>
    <x v="1"/>
    <x v="13"/>
    <x v="7"/>
    <s v="DROSTDY HOF EXTRA LIGHT WHITE 12X75CL"/>
    <n v="5"/>
    <x v="0"/>
    <n v="102500"/>
  </r>
  <r>
    <x v="0"/>
    <x v="1"/>
    <x v="1"/>
    <x v="0"/>
    <x v="0"/>
    <x v="5"/>
    <x v="10"/>
    <x v="1"/>
    <x v="8"/>
    <x v="1"/>
    <x v="13"/>
    <x v="7"/>
    <s v="CHAMDOR RED"/>
    <n v="51"/>
    <x v="4"/>
    <n v="1407600"/>
  </r>
  <r>
    <x v="0"/>
    <x v="1"/>
    <x v="1"/>
    <x v="0"/>
    <x v="0"/>
    <x v="5"/>
    <x v="10"/>
    <x v="1"/>
    <x v="8"/>
    <x v="1"/>
    <x v="13"/>
    <x v="7"/>
    <s v="CHAMDOR WHITE"/>
    <n v="2"/>
    <x v="4"/>
    <n v="55200"/>
  </r>
  <r>
    <x v="0"/>
    <x v="1"/>
    <x v="1"/>
    <x v="0"/>
    <x v="0"/>
    <x v="5"/>
    <x v="10"/>
    <x v="1"/>
    <x v="8"/>
    <x v="1"/>
    <x v="13"/>
    <x v="7"/>
    <s v="4TH STREET RED 6X75CL"/>
    <n v="44"/>
    <x v="5"/>
    <n v="950400"/>
  </r>
  <r>
    <x v="0"/>
    <x v="1"/>
    <x v="1"/>
    <x v="0"/>
    <x v="0"/>
    <x v="5"/>
    <x v="10"/>
    <x v="1"/>
    <x v="8"/>
    <x v="1"/>
    <x v="13"/>
    <x v="7"/>
    <s v="4TH STREET 75CL NON ALCOHOLIC SWEET WINE"/>
    <n v="20"/>
    <x v="1"/>
    <n v="384000"/>
  </r>
  <r>
    <x v="0"/>
    <x v="1"/>
    <x v="1"/>
    <x v="0"/>
    <x v="0"/>
    <x v="5"/>
    <x v="10"/>
    <x v="1"/>
    <x v="9"/>
    <x v="1"/>
    <x v="14"/>
    <x v="7"/>
    <s v="CHAMDOR RED"/>
    <n v="20"/>
    <x v="4"/>
    <n v="552000"/>
  </r>
  <r>
    <x v="0"/>
    <x v="1"/>
    <x v="1"/>
    <x v="0"/>
    <x v="0"/>
    <x v="5"/>
    <x v="10"/>
    <x v="1"/>
    <x v="9"/>
    <x v="1"/>
    <x v="14"/>
    <x v="7"/>
    <s v="CHAMDOR WHITE"/>
    <n v="10"/>
    <x v="4"/>
    <n v="276000"/>
  </r>
  <r>
    <x v="0"/>
    <x v="1"/>
    <x v="1"/>
    <x v="0"/>
    <x v="0"/>
    <x v="5"/>
    <x v="10"/>
    <x v="1"/>
    <x v="9"/>
    <x v="1"/>
    <x v="14"/>
    <x v="7"/>
    <s v="4TH STREET RED 6X75CL"/>
    <n v="10"/>
    <x v="5"/>
    <n v="216000"/>
  </r>
  <r>
    <x v="0"/>
    <x v="1"/>
    <x v="1"/>
    <x v="0"/>
    <x v="0"/>
    <x v="5"/>
    <x v="10"/>
    <x v="1"/>
    <x v="9"/>
    <x v="1"/>
    <x v="14"/>
    <x v="7"/>
    <s v="4TH STREET WHITE 6X75CL"/>
    <n v="5"/>
    <x v="5"/>
    <n v="108000"/>
  </r>
  <r>
    <x v="0"/>
    <x v="1"/>
    <x v="1"/>
    <x v="0"/>
    <x v="0"/>
    <x v="5"/>
    <x v="10"/>
    <x v="1"/>
    <x v="9"/>
    <x v="1"/>
    <x v="14"/>
    <x v="7"/>
    <s v="4TH STREET ROSE 6X75CL"/>
    <n v="10"/>
    <x v="5"/>
    <n v="216000"/>
  </r>
  <r>
    <x v="0"/>
    <x v="1"/>
    <x v="1"/>
    <x v="0"/>
    <x v="0"/>
    <x v="5"/>
    <x v="10"/>
    <x v="1"/>
    <x v="9"/>
    <x v="1"/>
    <x v="14"/>
    <x v="7"/>
    <s v="4TH STREET 75CL NON ALCOHOLIC SWEET WINE"/>
    <n v="10"/>
    <x v="1"/>
    <n v="192000"/>
  </r>
  <r>
    <x v="0"/>
    <x v="1"/>
    <x v="1"/>
    <x v="0"/>
    <x v="0"/>
    <x v="5"/>
    <x v="11"/>
    <x v="1"/>
    <x v="10"/>
    <x v="1"/>
    <x v="15"/>
    <x v="2"/>
    <s v="TWO OCEAN SHIRAZ 6X75CL"/>
    <n v="1"/>
    <x v="10"/>
    <n v="30000"/>
  </r>
  <r>
    <x v="0"/>
    <x v="1"/>
    <x v="1"/>
    <x v="0"/>
    <x v="0"/>
    <x v="5"/>
    <x v="11"/>
    <x v="1"/>
    <x v="10"/>
    <x v="1"/>
    <x v="15"/>
    <x v="2"/>
    <s v="DROSTDY HOF 6X75CL RED CLARET "/>
    <n v="2"/>
    <x v="0"/>
    <n v="60000"/>
  </r>
  <r>
    <x v="0"/>
    <x v="1"/>
    <x v="1"/>
    <x v="0"/>
    <x v="0"/>
    <x v="5"/>
    <x v="11"/>
    <x v="1"/>
    <x v="10"/>
    <x v="1"/>
    <x v="15"/>
    <x v="2"/>
    <s v="AMARULA CREAM 6X700ML"/>
    <n v="1"/>
    <x v="2"/>
    <n v="30000"/>
  </r>
  <r>
    <x v="0"/>
    <x v="1"/>
    <x v="1"/>
    <x v="0"/>
    <x v="0"/>
    <x v="5"/>
    <x v="11"/>
    <x v="1"/>
    <x v="10"/>
    <x v="1"/>
    <x v="15"/>
    <x v="2"/>
    <s v="CHAMDOR RED"/>
    <n v="60"/>
    <x v="4"/>
    <n v="1656000"/>
  </r>
  <r>
    <x v="0"/>
    <x v="1"/>
    <x v="1"/>
    <x v="0"/>
    <x v="0"/>
    <x v="5"/>
    <x v="11"/>
    <x v="1"/>
    <x v="10"/>
    <x v="1"/>
    <x v="15"/>
    <x v="2"/>
    <s v="CHAMDOR WHITE"/>
    <n v="3"/>
    <x v="4"/>
    <n v="82800"/>
  </r>
  <r>
    <x v="0"/>
    <x v="1"/>
    <x v="1"/>
    <x v="0"/>
    <x v="0"/>
    <x v="5"/>
    <x v="11"/>
    <x v="1"/>
    <x v="10"/>
    <x v="1"/>
    <x v="15"/>
    <x v="2"/>
    <s v="4TH STREET RED 6X75CL"/>
    <n v="71"/>
    <x v="5"/>
    <n v="1533600"/>
  </r>
  <r>
    <x v="0"/>
    <x v="1"/>
    <x v="1"/>
    <x v="0"/>
    <x v="0"/>
    <x v="5"/>
    <x v="12"/>
    <x v="1"/>
    <x v="11"/>
    <x v="1"/>
    <x v="16"/>
    <x v="8"/>
    <s v="HUNTERS DRY 4X(6X330ML)"/>
    <n v="2"/>
    <x v="7"/>
    <n v="43200"/>
  </r>
  <r>
    <x v="0"/>
    <x v="1"/>
    <x v="1"/>
    <x v="0"/>
    <x v="0"/>
    <x v="5"/>
    <x v="12"/>
    <x v="1"/>
    <x v="11"/>
    <x v="1"/>
    <x v="16"/>
    <x v="8"/>
    <s v="TWO OCEAN SHIRAZ 6X75CL"/>
    <n v="2"/>
    <x v="10"/>
    <n v="60000"/>
  </r>
  <r>
    <x v="0"/>
    <x v="1"/>
    <x v="1"/>
    <x v="0"/>
    <x v="0"/>
    <x v="5"/>
    <x v="12"/>
    <x v="1"/>
    <x v="11"/>
    <x v="1"/>
    <x v="16"/>
    <x v="8"/>
    <s v="DROSTDY HOF 6X75CL RED CLARET "/>
    <n v="5"/>
    <x v="0"/>
    <n v="150000"/>
  </r>
  <r>
    <x v="0"/>
    <x v="1"/>
    <x v="1"/>
    <x v="0"/>
    <x v="0"/>
    <x v="5"/>
    <x v="12"/>
    <x v="1"/>
    <x v="11"/>
    <x v="1"/>
    <x v="16"/>
    <x v="8"/>
    <s v="DROSTY HOF RED CLARET 12X375ML"/>
    <n v="2"/>
    <x v="0"/>
    <n v="68000"/>
  </r>
  <r>
    <x v="0"/>
    <x v="1"/>
    <x v="1"/>
    <x v="0"/>
    <x v="0"/>
    <x v="5"/>
    <x v="12"/>
    <x v="1"/>
    <x v="11"/>
    <x v="1"/>
    <x v="16"/>
    <x v="8"/>
    <s v="AMARULA CREAM 6X700ML"/>
    <n v="1"/>
    <x v="2"/>
    <n v="30000"/>
  </r>
  <r>
    <x v="0"/>
    <x v="1"/>
    <x v="1"/>
    <x v="0"/>
    <x v="0"/>
    <x v="5"/>
    <x v="12"/>
    <x v="1"/>
    <x v="11"/>
    <x v="1"/>
    <x v="16"/>
    <x v="8"/>
    <s v="BAIN'S WHISKY 6X75CL"/>
    <n v="4"/>
    <x v="8"/>
    <n v="320000"/>
  </r>
  <r>
    <x v="0"/>
    <x v="1"/>
    <x v="1"/>
    <x v="0"/>
    <x v="0"/>
    <x v="5"/>
    <x v="12"/>
    <x v="1"/>
    <x v="11"/>
    <x v="1"/>
    <x v="16"/>
    <x v="8"/>
    <s v="CHAMDOR RED"/>
    <n v="45"/>
    <x v="4"/>
    <n v="1242000"/>
  </r>
  <r>
    <x v="0"/>
    <x v="1"/>
    <x v="1"/>
    <x v="0"/>
    <x v="0"/>
    <x v="5"/>
    <x v="12"/>
    <x v="1"/>
    <x v="11"/>
    <x v="1"/>
    <x v="16"/>
    <x v="8"/>
    <s v="CHAMDOR WHITE"/>
    <n v="5"/>
    <x v="4"/>
    <n v="138000"/>
  </r>
  <r>
    <x v="0"/>
    <x v="1"/>
    <x v="1"/>
    <x v="0"/>
    <x v="0"/>
    <x v="5"/>
    <x v="12"/>
    <x v="1"/>
    <x v="11"/>
    <x v="1"/>
    <x v="16"/>
    <x v="8"/>
    <s v="4TH STREET RED 6X75CL"/>
    <n v="23"/>
    <x v="5"/>
    <n v="496800"/>
  </r>
  <r>
    <x v="0"/>
    <x v="1"/>
    <x v="1"/>
    <x v="0"/>
    <x v="0"/>
    <x v="5"/>
    <x v="12"/>
    <x v="1"/>
    <x v="11"/>
    <x v="1"/>
    <x v="16"/>
    <x v="8"/>
    <s v="4TH STREET WHITE 6X75CL"/>
    <n v="5"/>
    <x v="5"/>
    <n v="108000"/>
  </r>
  <r>
    <x v="0"/>
    <x v="1"/>
    <x v="1"/>
    <x v="0"/>
    <x v="0"/>
    <x v="5"/>
    <x v="12"/>
    <x v="1"/>
    <x v="11"/>
    <x v="1"/>
    <x v="16"/>
    <x v="8"/>
    <s v="4TH STREET 75CL NON ALCOHOLIC SWEET WINE"/>
    <n v="10"/>
    <x v="1"/>
    <n v="192000"/>
  </r>
  <r>
    <x v="0"/>
    <x v="1"/>
    <x v="1"/>
    <x v="0"/>
    <x v="0"/>
    <x v="5"/>
    <x v="12"/>
    <x v="1"/>
    <x v="11"/>
    <x v="1"/>
    <x v="16"/>
    <x v="8"/>
    <s v="NEDERBURG WINE MASTER RANGE MERLOT  6X750ML"/>
    <n v="1"/>
    <x v="6"/>
    <n v="92000"/>
  </r>
  <r>
    <x v="0"/>
    <x v="1"/>
    <x v="1"/>
    <x v="0"/>
    <x v="0"/>
    <x v="5"/>
    <x v="13"/>
    <x v="1"/>
    <x v="12"/>
    <x v="0"/>
    <x v="17"/>
    <x v="9"/>
    <s v="HUNTERS DRY 4X(6X330ML)"/>
    <n v="3"/>
    <x v="7"/>
    <n v="64800"/>
  </r>
  <r>
    <x v="0"/>
    <x v="1"/>
    <x v="1"/>
    <x v="0"/>
    <x v="0"/>
    <x v="5"/>
    <x v="13"/>
    <x v="1"/>
    <x v="12"/>
    <x v="0"/>
    <x v="17"/>
    <x v="9"/>
    <s v="HUNTERS GOLD 4X(6X330ML)"/>
    <n v="3"/>
    <x v="7"/>
    <n v="64800"/>
  </r>
  <r>
    <x v="0"/>
    <x v="1"/>
    <x v="1"/>
    <x v="0"/>
    <x v="0"/>
    <x v="5"/>
    <x v="13"/>
    <x v="1"/>
    <x v="12"/>
    <x v="0"/>
    <x v="17"/>
    <x v="9"/>
    <s v="TWO OCEAN CAB/SAUV 6X75CL"/>
    <n v="5"/>
    <x v="10"/>
    <n v="150000"/>
  </r>
  <r>
    <x v="0"/>
    <x v="1"/>
    <x v="1"/>
    <x v="0"/>
    <x v="0"/>
    <x v="5"/>
    <x v="13"/>
    <x v="1"/>
    <x v="12"/>
    <x v="0"/>
    <x v="17"/>
    <x v="9"/>
    <s v="TWO OCEAN SHIRAZ 6X75CL"/>
    <n v="2"/>
    <x v="10"/>
    <n v="60000"/>
  </r>
  <r>
    <x v="0"/>
    <x v="1"/>
    <x v="1"/>
    <x v="0"/>
    <x v="0"/>
    <x v="5"/>
    <x v="13"/>
    <x v="1"/>
    <x v="12"/>
    <x v="0"/>
    <x v="17"/>
    <x v="9"/>
    <s v="DROSTDY HOF 6X75CL RED CLARET "/>
    <n v="33"/>
    <x v="0"/>
    <n v="990000"/>
  </r>
  <r>
    <x v="0"/>
    <x v="1"/>
    <x v="1"/>
    <x v="0"/>
    <x v="0"/>
    <x v="5"/>
    <x v="13"/>
    <x v="1"/>
    <x v="12"/>
    <x v="0"/>
    <x v="17"/>
    <x v="9"/>
    <s v="DROSTY HOF RED CLARET 12X375ML"/>
    <n v="5"/>
    <x v="0"/>
    <n v="170000"/>
  </r>
  <r>
    <x v="0"/>
    <x v="1"/>
    <x v="1"/>
    <x v="0"/>
    <x v="0"/>
    <x v="5"/>
    <x v="13"/>
    <x v="1"/>
    <x v="12"/>
    <x v="0"/>
    <x v="17"/>
    <x v="9"/>
    <s v="AMARULA CREAM 6X700ML"/>
    <n v="2"/>
    <x v="2"/>
    <n v="60000"/>
  </r>
  <r>
    <x v="0"/>
    <x v="1"/>
    <x v="1"/>
    <x v="0"/>
    <x v="0"/>
    <x v="5"/>
    <x v="13"/>
    <x v="1"/>
    <x v="12"/>
    <x v="0"/>
    <x v="17"/>
    <x v="9"/>
    <s v="CHAMDOR RED"/>
    <n v="142"/>
    <x v="4"/>
    <n v="3919200"/>
  </r>
  <r>
    <x v="0"/>
    <x v="1"/>
    <x v="1"/>
    <x v="0"/>
    <x v="0"/>
    <x v="5"/>
    <x v="13"/>
    <x v="1"/>
    <x v="12"/>
    <x v="0"/>
    <x v="17"/>
    <x v="9"/>
    <s v="CHAMDOR WHITE"/>
    <n v="10"/>
    <x v="4"/>
    <n v="276000"/>
  </r>
  <r>
    <x v="0"/>
    <x v="1"/>
    <x v="1"/>
    <x v="0"/>
    <x v="0"/>
    <x v="5"/>
    <x v="13"/>
    <x v="1"/>
    <x v="12"/>
    <x v="0"/>
    <x v="17"/>
    <x v="9"/>
    <s v="4TH STREET RED 6X75CL"/>
    <n v="85"/>
    <x v="5"/>
    <n v="1836000"/>
  </r>
  <r>
    <x v="0"/>
    <x v="1"/>
    <x v="1"/>
    <x v="0"/>
    <x v="0"/>
    <x v="5"/>
    <x v="13"/>
    <x v="1"/>
    <x v="12"/>
    <x v="0"/>
    <x v="17"/>
    <x v="9"/>
    <s v="4TH STREET WHITE 6X75CL"/>
    <n v="19"/>
    <x v="5"/>
    <n v="410400"/>
  </r>
  <r>
    <x v="0"/>
    <x v="1"/>
    <x v="1"/>
    <x v="0"/>
    <x v="0"/>
    <x v="5"/>
    <x v="13"/>
    <x v="1"/>
    <x v="12"/>
    <x v="0"/>
    <x v="17"/>
    <x v="9"/>
    <s v="4TH STREET ROSE 6X75CL"/>
    <n v="27"/>
    <x v="5"/>
    <n v="583200"/>
  </r>
  <r>
    <x v="0"/>
    <x v="1"/>
    <x v="1"/>
    <x v="0"/>
    <x v="0"/>
    <x v="5"/>
    <x v="13"/>
    <x v="1"/>
    <x v="12"/>
    <x v="0"/>
    <x v="17"/>
    <x v="9"/>
    <s v="4TH STREET 75CL NON ALCOHOLIC SWEET WINE"/>
    <n v="72"/>
    <x v="1"/>
    <n v="1382400"/>
  </r>
  <r>
    <x v="0"/>
    <x v="1"/>
    <x v="1"/>
    <x v="0"/>
    <x v="0"/>
    <x v="5"/>
    <x v="13"/>
    <x v="1"/>
    <x v="12"/>
    <x v="0"/>
    <x v="17"/>
    <x v="9"/>
    <s v="NEDERBURG WINE MASTER RANGE SHIRAZ  6X750ML"/>
    <n v="3"/>
    <x v="6"/>
    <n v="276000"/>
  </r>
  <r>
    <x v="0"/>
    <x v="1"/>
    <x v="1"/>
    <x v="0"/>
    <x v="0"/>
    <x v="5"/>
    <x v="13"/>
    <x v="1"/>
    <x v="12"/>
    <x v="0"/>
    <x v="17"/>
    <x v="9"/>
    <s v="NEDERBURG WINE MASTER RANGE CABERNET SAUVIGNON (BIG)  6X750ML"/>
    <n v="1"/>
    <x v="6"/>
    <n v="92000"/>
  </r>
  <r>
    <x v="0"/>
    <x v="1"/>
    <x v="1"/>
    <x v="0"/>
    <x v="0"/>
    <x v="5"/>
    <x v="13"/>
    <x v="1"/>
    <x v="12"/>
    <x v="1"/>
    <x v="18"/>
    <x v="9"/>
    <s v="HUNTERS GOLD 4X(6X330ML)"/>
    <n v="1"/>
    <x v="7"/>
    <n v="21600"/>
  </r>
  <r>
    <x v="0"/>
    <x v="1"/>
    <x v="1"/>
    <x v="0"/>
    <x v="0"/>
    <x v="5"/>
    <x v="13"/>
    <x v="1"/>
    <x v="12"/>
    <x v="1"/>
    <x v="18"/>
    <x v="9"/>
    <s v="TWO OCEAN SHIRAZ 6X75CL"/>
    <n v="1"/>
    <x v="10"/>
    <n v="30000"/>
  </r>
  <r>
    <x v="0"/>
    <x v="1"/>
    <x v="1"/>
    <x v="0"/>
    <x v="0"/>
    <x v="5"/>
    <x v="13"/>
    <x v="1"/>
    <x v="12"/>
    <x v="1"/>
    <x v="18"/>
    <x v="9"/>
    <s v="DROSTDY HOF 6X75CL RED CLARET "/>
    <n v="2"/>
    <x v="0"/>
    <n v="60000"/>
  </r>
  <r>
    <x v="0"/>
    <x v="1"/>
    <x v="1"/>
    <x v="0"/>
    <x v="0"/>
    <x v="5"/>
    <x v="13"/>
    <x v="1"/>
    <x v="12"/>
    <x v="1"/>
    <x v="18"/>
    <x v="9"/>
    <s v="CHAMDOR RED"/>
    <n v="65"/>
    <x v="4"/>
    <n v="1794000"/>
  </r>
  <r>
    <x v="0"/>
    <x v="1"/>
    <x v="1"/>
    <x v="0"/>
    <x v="0"/>
    <x v="5"/>
    <x v="13"/>
    <x v="1"/>
    <x v="12"/>
    <x v="1"/>
    <x v="18"/>
    <x v="9"/>
    <s v="4TH STREET RED 6X75CL"/>
    <n v="30"/>
    <x v="5"/>
    <n v="648000"/>
  </r>
  <r>
    <x v="0"/>
    <x v="1"/>
    <x v="1"/>
    <x v="0"/>
    <x v="0"/>
    <x v="5"/>
    <x v="13"/>
    <x v="1"/>
    <x v="12"/>
    <x v="1"/>
    <x v="18"/>
    <x v="9"/>
    <s v="4TH STREET WHITE 6X75CL"/>
    <n v="2"/>
    <x v="5"/>
    <n v="43200"/>
  </r>
  <r>
    <x v="0"/>
    <x v="1"/>
    <x v="1"/>
    <x v="0"/>
    <x v="0"/>
    <x v="5"/>
    <x v="13"/>
    <x v="1"/>
    <x v="12"/>
    <x v="1"/>
    <x v="18"/>
    <x v="9"/>
    <s v="4TH STREET ROSE 6X75CL"/>
    <n v="3"/>
    <x v="5"/>
    <n v="64800"/>
  </r>
  <r>
    <x v="0"/>
    <x v="1"/>
    <x v="1"/>
    <x v="0"/>
    <x v="0"/>
    <x v="5"/>
    <x v="13"/>
    <x v="1"/>
    <x v="12"/>
    <x v="1"/>
    <x v="18"/>
    <x v="9"/>
    <s v="4TH STREET 75CL NON ALCOHOLIC SWEET WINE"/>
    <n v="20"/>
    <x v="1"/>
    <n v="384000"/>
  </r>
  <r>
    <x v="0"/>
    <x v="1"/>
    <x v="1"/>
    <x v="0"/>
    <x v="0"/>
    <x v="5"/>
    <x v="14"/>
    <x v="1"/>
    <x v="13"/>
    <x v="0"/>
    <x v="19"/>
    <x v="10"/>
    <s v="DROSTDY HOF 6X75CL RED CLARET "/>
    <n v="54"/>
    <x v="0"/>
    <n v="1620000"/>
  </r>
  <r>
    <x v="0"/>
    <x v="1"/>
    <x v="1"/>
    <x v="0"/>
    <x v="0"/>
    <x v="5"/>
    <x v="14"/>
    <x v="1"/>
    <x v="13"/>
    <x v="0"/>
    <x v="19"/>
    <x v="10"/>
    <s v="CHAMDOR RED"/>
    <n v="369"/>
    <x v="4"/>
    <n v="10184400"/>
  </r>
  <r>
    <x v="0"/>
    <x v="1"/>
    <x v="1"/>
    <x v="0"/>
    <x v="0"/>
    <x v="5"/>
    <x v="14"/>
    <x v="1"/>
    <x v="13"/>
    <x v="0"/>
    <x v="19"/>
    <x v="10"/>
    <s v="4TH STREET RED 6X75CL"/>
    <n v="88"/>
    <x v="5"/>
    <n v="1900800"/>
  </r>
  <r>
    <x v="0"/>
    <x v="1"/>
    <x v="1"/>
    <x v="0"/>
    <x v="0"/>
    <x v="5"/>
    <x v="14"/>
    <x v="1"/>
    <x v="13"/>
    <x v="0"/>
    <x v="19"/>
    <x v="10"/>
    <s v="4TH STREET SPARKLING RED"/>
    <n v="48"/>
    <x v="3"/>
    <n v="1123200"/>
  </r>
  <r>
    <x v="0"/>
    <x v="1"/>
    <x v="1"/>
    <x v="0"/>
    <x v="0"/>
    <x v="5"/>
    <x v="14"/>
    <x v="1"/>
    <x v="13"/>
    <x v="0"/>
    <x v="19"/>
    <x v="10"/>
    <s v="4TH STREET 75CL NON ALCOHOLIC SWEET WINE"/>
    <n v="59"/>
    <x v="1"/>
    <n v="1132800"/>
  </r>
  <r>
    <x v="0"/>
    <x v="1"/>
    <x v="1"/>
    <x v="0"/>
    <x v="0"/>
    <x v="5"/>
    <x v="14"/>
    <x v="1"/>
    <x v="13"/>
    <x v="1"/>
    <x v="20"/>
    <x v="10"/>
    <s v="DROSTDY HOF 6X75CL RED CLARET "/>
    <n v="6"/>
    <x v="0"/>
    <n v="180000"/>
  </r>
  <r>
    <x v="0"/>
    <x v="1"/>
    <x v="1"/>
    <x v="0"/>
    <x v="0"/>
    <x v="5"/>
    <x v="14"/>
    <x v="1"/>
    <x v="13"/>
    <x v="1"/>
    <x v="20"/>
    <x v="10"/>
    <s v="CHAMDOR RED"/>
    <n v="163"/>
    <x v="4"/>
    <n v="4498800"/>
  </r>
  <r>
    <x v="0"/>
    <x v="1"/>
    <x v="1"/>
    <x v="0"/>
    <x v="0"/>
    <x v="5"/>
    <x v="14"/>
    <x v="1"/>
    <x v="13"/>
    <x v="1"/>
    <x v="20"/>
    <x v="10"/>
    <s v="4TH STREET RED 6X75CL"/>
    <n v="88"/>
    <x v="5"/>
    <n v="1900800"/>
  </r>
  <r>
    <x v="0"/>
    <x v="1"/>
    <x v="1"/>
    <x v="0"/>
    <x v="0"/>
    <x v="5"/>
    <x v="14"/>
    <x v="1"/>
    <x v="13"/>
    <x v="1"/>
    <x v="20"/>
    <x v="10"/>
    <s v="4TH STREET SPARKLING RED"/>
    <n v="3"/>
    <x v="3"/>
    <n v="70200"/>
  </r>
  <r>
    <x v="0"/>
    <x v="1"/>
    <x v="1"/>
    <x v="0"/>
    <x v="0"/>
    <x v="5"/>
    <x v="9"/>
    <x v="2"/>
    <x v="6"/>
    <x v="2"/>
    <x v="11"/>
    <x v="6"/>
    <s v="AMARULA CREAM 6X700ML"/>
    <n v="2"/>
    <x v="2"/>
    <n v="60000"/>
  </r>
  <r>
    <x v="0"/>
    <x v="1"/>
    <x v="1"/>
    <x v="0"/>
    <x v="0"/>
    <x v="5"/>
    <x v="9"/>
    <x v="2"/>
    <x v="6"/>
    <x v="2"/>
    <x v="11"/>
    <x v="6"/>
    <s v="CHAMDOR RED"/>
    <n v="30"/>
    <x v="4"/>
    <n v="828000"/>
  </r>
  <r>
    <x v="0"/>
    <x v="1"/>
    <x v="1"/>
    <x v="0"/>
    <x v="0"/>
    <x v="5"/>
    <x v="9"/>
    <x v="2"/>
    <x v="6"/>
    <x v="2"/>
    <x v="11"/>
    <x v="6"/>
    <s v="4TH STREET RED 6X75CL"/>
    <n v="20"/>
    <x v="5"/>
    <n v="432000"/>
  </r>
  <r>
    <x v="0"/>
    <x v="1"/>
    <x v="1"/>
    <x v="1"/>
    <x v="1"/>
    <x v="6"/>
    <x v="16"/>
    <x v="3"/>
    <x v="16"/>
    <x v="1"/>
    <x v="28"/>
    <x v="13"/>
    <s v="HUNTERS DRY 4X(6X330ML)"/>
    <n v="10"/>
    <x v="7"/>
    <n v="216000"/>
  </r>
  <r>
    <x v="0"/>
    <x v="1"/>
    <x v="1"/>
    <x v="1"/>
    <x v="1"/>
    <x v="6"/>
    <x v="16"/>
    <x v="3"/>
    <x v="16"/>
    <x v="1"/>
    <x v="28"/>
    <x v="13"/>
    <s v="DROSTDY HOF 6X75CL RED CLARET "/>
    <n v="22"/>
    <x v="0"/>
    <n v="660000"/>
  </r>
  <r>
    <x v="0"/>
    <x v="1"/>
    <x v="1"/>
    <x v="1"/>
    <x v="1"/>
    <x v="6"/>
    <x v="16"/>
    <x v="3"/>
    <x v="16"/>
    <x v="1"/>
    <x v="28"/>
    <x v="13"/>
    <s v="BAIN'S WHISKY 6X75CL"/>
    <n v="1"/>
    <x v="8"/>
    <n v="80000"/>
  </r>
  <r>
    <x v="0"/>
    <x v="1"/>
    <x v="1"/>
    <x v="1"/>
    <x v="1"/>
    <x v="6"/>
    <x v="16"/>
    <x v="3"/>
    <x v="16"/>
    <x v="1"/>
    <x v="28"/>
    <x v="13"/>
    <s v="CHAMDOR RED"/>
    <n v="200"/>
    <x v="4"/>
    <n v="5520000"/>
  </r>
  <r>
    <x v="0"/>
    <x v="1"/>
    <x v="1"/>
    <x v="1"/>
    <x v="1"/>
    <x v="6"/>
    <x v="16"/>
    <x v="3"/>
    <x v="16"/>
    <x v="1"/>
    <x v="28"/>
    <x v="13"/>
    <s v="4TH STREET RED 6X75CL"/>
    <n v="55"/>
    <x v="5"/>
    <n v="1188000"/>
  </r>
  <r>
    <x v="0"/>
    <x v="1"/>
    <x v="1"/>
    <x v="1"/>
    <x v="1"/>
    <x v="6"/>
    <x v="16"/>
    <x v="3"/>
    <x v="16"/>
    <x v="1"/>
    <x v="28"/>
    <x v="13"/>
    <s v="4TH STREET SPARKLING RED"/>
    <n v="25"/>
    <x v="3"/>
    <n v="585000"/>
  </r>
  <r>
    <x v="0"/>
    <x v="1"/>
    <x v="1"/>
    <x v="1"/>
    <x v="1"/>
    <x v="6"/>
    <x v="16"/>
    <x v="3"/>
    <x v="16"/>
    <x v="1"/>
    <x v="28"/>
    <x v="13"/>
    <s v="4TH STREET 75CL NON ALCOHOLIC SWEET WINE"/>
    <n v="55"/>
    <x v="1"/>
    <n v="1056000"/>
  </r>
  <r>
    <x v="0"/>
    <x v="1"/>
    <x v="1"/>
    <x v="1"/>
    <x v="1"/>
    <x v="6"/>
    <x v="16"/>
    <x v="3"/>
    <x v="16"/>
    <x v="1"/>
    <x v="28"/>
    <x v="13"/>
    <s v="NEDERBURG WINE MASTER RANGE MERLOT  6X750ML"/>
    <n v="2"/>
    <x v="6"/>
    <n v="184000"/>
  </r>
  <r>
    <x v="0"/>
    <x v="1"/>
    <x v="1"/>
    <x v="1"/>
    <x v="1"/>
    <x v="6"/>
    <x v="1"/>
    <x v="3"/>
    <x v="14"/>
    <x v="0"/>
    <x v="21"/>
    <x v="11"/>
    <s v="SAVANNA DRY 4X(6X330ML)"/>
    <n v="18"/>
    <x v="13"/>
    <n v="410400"/>
  </r>
  <r>
    <x v="0"/>
    <x v="1"/>
    <x v="1"/>
    <x v="1"/>
    <x v="1"/>
    <x v="6"/>
    <x v="1"/>
    <x v="3"/>
    <x v="14"/>
    <x v="0"/>
    <x v="22"/>
    <x v="11"/>
    <s v="SAVANNA DRY 4X(6X330ML)"/>
    <n v="15"/>
    <x v="13"/>
    <n v="342000"/>
  </r>
  <r>
    <x v="0"/>
    <x v="1"/>
    <x v="1"/>
    <x v="1"/>
    <x v="1"/>
    <x v="6"/>
    <x v="16"/>
    <x v="3"/>
    <x v="16"/>
    <x v="1"/>
    <x v="26"/>
    <x v="13"/>
    <s v="DROSTDY HOF 6X75CL RED CLARET "/>
    <n v="3"/>
    <x v="0"/>
    <n v="90000"/>
  </r>
  <r>
    <x v="0"/>
    <x v="1"/>
    <x v="1"/>
    <x v="1"/>
    <x v="1"/>
    <x v="6"/>
    <x v="16"/>
    <x v="3"/>
    <x v="16"/>
    <x v="1"/>
    <x v="26"/>
    <x v="13"/>
    <s v="AMARULA CREAM 6X700ML"/>
    <n v="1"/>
    <x v="2"/>
    <n v="30000"/>
  </r>
  <r>
    <x v="0"/>
    <x v="1"/>
    <x v="1"/>
    <x v="1"/>
    <x v="1"/>
    <x v="6"/>
    <x v="16"/>
    <x v="3"/>
    <x v="16"/>
    <x v="1"/>
    <x v="26"/>
    <x v="13"/>
    <s v="BAIN'S WHISKY 6X75CL"/>
    <n v="1"/>
    <x v="8"/>
    <n v="80000"/>
  </r>
  <r>
    <x v="0"/>
    <x v="1"/>
    <x v="1"/>
    <x v="1"/>
    <x v="1"/>
    <x v="6"/>
    <x v="16"/>
    <x v="3"/>
    <x v="16"/>
    <x v="1"/>
    <x v="26"/>
    <x v="13"/>
    <s v="CHAMDOR RED"/>
    <n v="205"/>
    <x v="4"/>
    <n v="5658000"/>
  </r>
  <r>
    <x v="0"/>
    <x v="1"/>
    <x v="1"/>
    <x v="1"/>
    <x v="1"/>
    <x v="6"/>
    <x v="16"/>
    <x v="3"/>
    <x v="16"/>
    <x v="1"/>
    <x v="26"/>
    <x v="13"/>
    <s v="4TH STREET RED 6X75CL"/>
    <n v="75"/>
    <x v="5"/>
    <n v="1620000"/>
  </r>
  <r>
    <x v="0"/>
    <x v="1"/>
    <x v="1"/>
    <x v="1"/>
    <x v="1"/>
    <x v="6"/>
    <x v="16"/>
    <x v="3"/>
    <x v="16"/>
    <x v="1"/>
    <x v="26"/>
    <x v="13"/>
    <s v="4TH STREET SPARKLING RED"/>
    <n v="9"/>
    <x v="3"/>
    <n v="210600"/>
  </r>
  <r>
    <x v="0"/>
    <x v="1"/>
    <x v="1"/>
    <x v="1"/>
    <x v="1"/>
    <x v="6"/>
    <x v="16"/>
    <x v="3"/>
    <x v="16"/>
    <x v="1"/>
    <x v="26"/>
    <x v="13"/>
    <s v="4TH STREET 75CL NON ALCOHOLIC SWEET WINE"/>
    <n v="72"/>
    <x v="1"/>
    <n v="1382400"/>
  </r>
  <r>
    <x v="0"/>
    <x v="1"/>
    <x v="1"/>
    <x v="1"/>
    <x v="1"/>
    <x v="6"/>
    <x v="0"/>
    <x v="0"/>
    <x v="0"/>
    <x v="0"/>
    <x v="0"/>
    <x v="0"/>
    <s v="HUNTERS DRY 4X(6X330ML)"/>
    <n v="7"/>
    <x v="7"/>
    <n v="151200"/>
  </r>
  <r>
    <x v="0"/>
    <x v="1"/>
    <x v="1"/>
    <x v="1"/>
    <x v="1"/>
    <x v="6"/>
    <x v="0"/>
    <x v="0"/>
    <x v="0"/>
    <x v="0"/>
    <x v="0"/>
    <x v="0"/>
    <s v="HUNTERS GOLD 4X(6X330ML)"/>
    <n v="5"/>
    <x v="7"/>
    <n v="108000"/>
  </r>
  <r>
    <x v="0"/>
    <x v="1"/>
    <x v="1"/>
    <x v="1"/>
    <x v="1"/>
    <x v="6"/>
    <x v="0"/>
    <x v="0"/>
    <x v="0"/>
    <x v="0"/>
    <x v="0"/>
    <x v="0"/>
    <s v="DROSTDY HOF 6X75CL RED CLARET "/>
    <n v="30"/>
    <x v="0"/>
    <n v="900000"/>
  </r>
  <r>
    <x v="0"/>
    <x v="1"/>
    <x v="1"/>
    <x v="1"/>
    <x v="1"/>
    <x v="6"/>
    <x v="0"/>
    <x v="0"/>
    <x v="0"/>
    <x v="0"/>
    <x v="0"/>
    <x v="0"/>
    <s v="DROSTY HOF RED CLARET 12X375ML"/>
    <n v="5"/>
    <x v="0"/>
    <n v="170000"/>
  </r>
  <r>
    <x v="0"/>
    <x v="1"/>
    <x v="1"/>
    <x v="1"/>
    <x v="1"/>
    <x v="6"/>
    <x v="0"/>
    <x v="0"/>
    <x v="0"/>
    <x v="0"/>
    <x v="0"/>
    <x v="0"/>
    <s v="AMARULA CREAM 6X700ML"/>
    <n v="5"/>
    <x v="2"/>
    <n v="150000"/>
  </r>
  <r>
    <x v="0"/>
    <x v="1"/>
    <x v="1"/>
    <x v="1"/>
    <x v="1"/>
    <x v="6"/>
    <x v="0"/>
    <x v="0"/>
    <x v="0"/>
    <x v="0"/>
    <x v="0"/>
    <x v="0"/>
    <s v="CHAMDOR RED"/>
    <n v="100"/>
    <x v="4"/>
    <n v="2760000"/>
  </r>
  <r>
    <x v="0"/>
    <x v="1"/>
    <x v="1"/>
    <x v="1"/>
    <x v="1"/>
    <x v="6"/>
    <x v="0"/>
    <x v="0"/>
    <x v="0"/>
    <x v="0"/>
    <x v="0"/>
    <x v="0"/>
    <s v="4TH STREET RED 6X75CL"/>
    <n v="90"/>
    <x v="5"/>
    <n v="1944000"/>
  </r>
  <r>
    <x v="0"/>
    <x v="1"/>
    <x v="1"/>
    <x v="1"/>
    <x v="1"/>
    <x v="6"/>
    <x v="0"/>
    <x v="0"/>
    <x v="0"/>
    <x v="0"/>
    <x v="0"/>
    <x v="0"/>
    <s v="4TH STREET WHITE 6X75CL"/>
    <n v="15"/>
    <x v="5"/>
    <n v="324000"/>
  </r>
  <r>
    <x v="0"/>
    <x v="1"/>
    <x v="1"/>
    <x v="1"/>
    <x v="1"/>
    <x v="6"/>
    <x v="0"/>
    <x v="0"/>
    <x v="0"/>
    <x v="0"/>
    <x v="0"/>
    <x v="0"/>
    <s v="4TH STREET ROSE 6X75CL"/>
    <n v="10"/>
    <x v="5"/>
    <n v="216000"/>
  </r>
  <r>
    <x v="0"/>
    <x v="1"/>
    <x v="1"/>
    <x v="1"/>
    <x v="1"/>
    <x v="6"/>
    <x v="0"/>
    <x v="0"/>
    <x v="0"/>
    <x v="0"/>
    <x v="0"/>
    <x v="0"/>
    <s v="4TH STREET 75CL NON ALCOHOLIC SWEET WINE"/>
    <n v="15"/>
    <x v="1"/>
    <n v="288000"/>
  </r>
  <r>
    <x v="0"/>
    <x v="1"/>
    <x v="1"/>
    <x v="1"/>
    <x v="1"/>
    <x v="6"/>
    <x v="0"/>
    <x v="0"/>
    <x v="0"/>
    <x v="0"/>
    <x v="0"/>
    <x v="0"/>
    <s v="NEDERBURG WINE MASTER RANGE MERLOT  6X750ML"/>
    <n v="10"/>
    <x v="6"/>
    <n v="920000"/>
  </r>
  <r>
    <x v="0"/>
    <x v="1"/>
    <x v="1"/>
    <x v="1"/>
    <x v="1"/>
    <x v="6"/>
    <x v="1"/>
    <x v="0"/>
    <x v="0"/>
    <x v="0"/>
    <x v="1"/>
    <x v="1"/>
    <s v="HUNTERS DRY 4X(6X330ML)"/>
    <n v="10"/>
    <x v="7"/>
    <n v="216000"/>
  </r>
  <r>
    <x v="0"/>
    <x v="1"/>
    <x v="1"/>
    <x v="1"/>
    <x v="1"/>
    <x v="6"/>
    <x v="1"/>
    <x v="0"/>
    <x v="0"/>
    <x v="0"/>
    <x v="1"/>
    <x v="1"/>
    <s v="HUNTERS GOLD 4X(6X330ML)"/>
    <n v="8"/>
    <x v="7"/>
    <n v="172800"/>
  </r>
  <r>
    <x v="0"/>
    <x v="1"/>
    <x v="1"/>
    <x v="1"/>
    <x v="1"/>
    <x v="6"/>
    <x v="1"/>
    <x v="0"/>
    <x v="0"/>
    <x v="0"/>
    <x v="1"/>
    <x v="1"/>
    <s v="DROSTDY HOF 6X75CL RED CLARET "/>
    <n v="23"/>
    <x v="0"/>
    <n v="690000"/>
  </r>
  <r>
    <x v="0"/>
    <x v="1"/>
    <x v="1"/>
    <x v="1"/>
    <x v="1"/>
    <x v="6"/>
    <x v="1"/>
    <x v="0"/>
    <x v="0"/>
    <x v="0"/>
    <x v="1"/>
    <x v="1"/>
    <s v="AMARULA CREAM 6X700ML"/>
    <n v="15"/>
    <x v="2"/>
    <n v="450000"/>
  </r>
  <r>
    <x v="0"/>
    <x v="1"/>
    <x v="1"/>
    <x v="1"/>
    <x v="1"/>
    <x v="6"/>
    <x v="1"/>
    <x v="0"/>
    <x v="0"/>
    <x v="0"/>
    <x v="1"/>
    <x v="1"/>
    <s v="BAIN'S WHISKY 6X75CL"/>
    <n v="5"/>
    <x v="8"/>
    <n v="400000"/>
  </r>
  <r>
    <x v="0"/>
    <x v="1"/>
    <x v="1"/>
    <x v="1"/>
    <x v="1"/>
    <x v="6"/>
    <x v="1"/>
    <x v="0"/>
    <x v="0"/>
    <x v="0"/>
    <x v="1"/>
    <x v="1"/>
    <s v="CHAMDOR RED"/>
    <n v="234"/>
    <x v="4"/>
    <n v="6458400"/>
  </r>
  <r>
    <x v="0"/>
    <x v="1"/>
    <x v="1"/>
    <x v="1"/>
    <x v="1"/>
    <x v="6"/>
    <x v="1"/>
    <x v="0"/>
    <x v="0"/>
    <x v="0"/>
    <x v="1"/>
    <x v="1"/>
    <s v="4TH STREET RED 6X75CL"/>
    <n v="202"/>
    <x v="5"/>
    <n v="4363200"/>
  </r>
  <r>
    <x v="0"/>
    <x v="1"/>
    <x v="1"/>
    <x v="1"/>
    <x v="1"/>
    <x v="6"/>
    <x v="1"/>
    <x v="0"/>
    <x v="0"/>
    <x v="0"/>
    <x v="1"/>
    <x v="1"/>
    <s v="4TH STREET 75CL NON ALCOHOLIC SWEET WINE"/>
    <n v="10"/>
    <x v="1"/>
    <n v="192000"/>
  </r>
  <r>
    <x v="0"/>
    <x v="1"/>
    <x v="1"/>
    <x v="1"/>
    <x v="1"/>
    <x v="6"/>
    <x v="1"/>
    <x v="0"/>
    <x v="0"/>
    <x v="0"/>
    <x v="1"/>
    <x v="1"/>
    <s v="NEDERBURG WINE MASTER RANGE MERLOT  6X750ML"/>
    <n v="17"/>
    <x v="6"/>
    <n v="1564000"/>
  </r>
  <r>
    <x v="0"/>
    <x v="1"/>
    <x v="1"/>
    <x v="1"/>
    <x v="1"/>
    <x v="6"/>
    <x v="3"/>
    <x v="0"/>
    <x v="0"/>
    <x v="1"/>
    <x v="9"/>
    <x v="1"/>
    <s v="CHAMDOR RED"/>
    <n v="105"/>
    <x v="4"/>
    <n v="2898000"/>
  </r>
  <r>
    <x v="0"/>
    <x v="1"/>
    <x v="1"/>
    <x v="1"/>
    <x v="1"/>
    <x v="6"/>
    <x v="3"/>
    <x v="0"/>
    <x v="0"/>
    <x v="1"/>
    <x v="9"/>
    <x v="1"/>
    <s v="CHAMDOR WHITE"/>
    <n v="10"/>
    <x v="4"/>
    <n v="276000"/>
  </r>
  <r>
    <x v="0"/>
    <x v="1"/>
    <x v="1"/>
    <x v="1"/>
    <x v="1"/>
    <x v="6"/>
    <x v="3"/>
    <x v="0"/>
    <x v="0"/>
    <x v="1"/>
    <x v="9"/>
    <x v="1"/>
    <s v="4TH STREET RED 6X75CL"/>
    <n v="89"/>
    <x v="5"/>
    <n v="1922400"/>
  </r>
  <r>
    <x v="0"/>
    <x v="1"/>
    <x v="1"/>
    <x v="1"/>
    <x v="1"/>
    <x v="6"/>
    <x v="3"/>
    <x v="0"/>
    <x v="0"/>
    <x v="1"/>
    <x v="9"/>
    <x v="1"/>
    <s v="4TH STREET 75CL NON ALCOHOLIC SWEET WINE"/>
    <n v="5"/>
    <x v="1"/>
    <n v="96000"/>
  </r>
  <r>
    <x v="0"/>
    <x v="1"/>
    <x v="1"/>
    <x v="1"/>
    <x v="1"/>
    <x v="6"/>
    <x v="2"/>
    <x v="0"/>
    <x v="0"/>
    <x v="1"/>
    <x v="2"/>
    <x v="0"/>
    <s v="HUNTERS GOLD 4X(6X330ML)"/>
    <n v="165"/>
    <x v="7"/>
    <n v="3564000"/>
  </r>
  <r>
    <x v="0"/>
    <x v="1"/>
    <x v="1"/>
    <x v="1"/>
    <x v="1"/>
    <x v="6"/>
    <x v="2"/>
    <x v="0"/>
    <x v="0"/>
    <x v="1"/>
    <x v="2"/>
    <x v="0"/>
    <s v="CHAMDOR RED"/>
    <n v="126"/>
    <x v="4"/>
    <n v="3477600"/>
  </r>
  <r>
    <x v="0"/>
    <x v="1"/>
    <x v="1"/>
    <x v="1"/>
    <x v="1"/>
    <x v="6"/>
    <x v="2"/>
    <x v="0"/>
    <x v="0"/>
    <x v="1"/>
    <x v="2"/>
    <x v="0"/>
    <s v="4TH STREET RED 6X75CL"/>
    <n v="138"/>
    <x v="5"/>
    <n v="2980800"/>
  </r>
  <r>
    <x v="0"/>
    <x v="1"/>
    <x v="1"/>
    <x v="1"/>
    <x v="1"/>
    <x v="6"/>
    <x v="2"/>
    <x v="0"/>
    <x v="0"/>
    <x v="1"/>
    <x v="2"/>
    <x v="0"/>
    <s v="4TH STREET 75CL NON ALCOHOLIC SWEET WINE"/>
    <n v="8"/>
    <x v="1"/>
    <n v="153600"/>
  </r>
  <r>
    <x v="0"/>
    <x v="1"/>
    <x v="1"/>
    <x v="1"/>
    <x v="1"/>
    <x v="6"/>
    <x v="8"/>
    <x v="0"/>
    <x v="4"/>
    <x v="1"/>
    <x v="8"/>
    <x v="5"/>
    <s v="AMARULA CREAM 6X700ML"/>
    <n v="1"/>
    <x v="2"/>
    <n v="30000"/>
  </r>
  <r>
    <x v="0"/>
    <x v="1"/>
    <x v="1"/>
    <x v="1"/>
    <x v="1"/>
    <x v="6"/>
    <x v="8"/>
    <x v="0"/>
    <x v="4"/>
    <x v="1"/>
    <x v="8"/>
    <x v="5"/>
    <s v="CHAMDOR RED"/>
    <n v="50"/>
    <x v="4"/>
    <n v="1380000"/>
  </r>
  <r>
    <x v="0"/>
    <x v="1"/>
    <x v="1"/>
    <x v="1"/>
    <x v="1"/>
    <x v="6"/>
    <x v="8"/>
    <x v="0"/>
    <x v="4"/>
    <x v="1"/>
    <x v="8"/>
    <x v="5"/>
    <s v="4TH STREET RED 6X75CL"/>
    <n v="45"/>
    <x v="5"/>
    <n v="972000"/>
  </r>
  <r>
    <x v="0"/>
    <x v="1"/>
    <x v="1"/>
    <x v="1"/>
    <x v="1"/>
    <x v="6"/>
    <x v="8"/>
    <x v="0"/>
    <x v="4"/>
    <x v="1"/>
    <x v="8"/>
    <x v="5"/>
    <s v="4TH STREET 75CL NON ALCOHOLIC SWEET WINE"/>
    <n v="40"/>
    <x v="1"/>
    <n v="768000"/>
  </r>
  <r>
    <x v="0"/>
    <x v="1"/>
    <x v="1"/>
    <x v="1"/>
    <x v="1"/>
    <x v="6"/>
    <x v="3"/>
    <x v="0"/>
    <x v="0"/>
    <x v="1"/>
    <x v="3"/>
    <x v="1"/>
    <s v="HUNTERS DRY 4X(6X330ML)"/>
    <n v="8"/>
    <x v="7"/>
    <n v="172800"/>
  </r>
  <r>
    <x v="0"/>
    <x v="1"/>
    <x v="1"/>
    <x v="1"/>
    <x v="1"/>
    <x v="6"/>
    <x v="3"/>
    <x v="0"/>
    <x v="0"/>
    <x v="1"/>
    <x v="3"/>
    <x v="1"/>
    <s v="HUNTERS GOLD 4X(6X330ML)"/>
    <n v="7"/>
    <x v="7"/>
    <n v="151200"/>
  </r>
  <r>
    <x v="0"/>
    <x v="1"/>
    <x v="1"/>
    <x v="1"/>
    <x v="1"/>
    <x v="6"/>
    <x v="3"/>
    <x v="0"/>
    <x v="0"/>
    <x v="1"/>
    <x v="3"/>
    <x v="1"/>
    <s v="DROSTDY HOF 6X75CL RED CLARET "/>
    <n v="10"/>
    <x v="0"/>
    <n v="300000"/>
  </r>
  <r>
    <x v="0"/>
    <x v="1"/>
    <x v="1"/>
    <x v="1"/>
    <x v="1"/>
    <x v="6"/>
    <x v="3"/>
    <x v="0"/>
    <x v="0"/>
    <x v="1"/>
    <x v="3"/>
    <x v="1"/>
    <s v="CHAMDOR RED"/>
    <n v="125"/>
    <x v="4"/>
    <n v="3450000"/>
  </r>
  <r>
    <x v="0"/>
    <x v="1"/>
    <x v="1"/>
    <x v="1"/>
    <x v="1"/>
    <x v="6"/>
    <x v="3"/>
    <x v="0"/>
    <x v="0"/>
    <x v="1"/>
    <x v="3"/>
    <x v="1"/>
    <s v="4TH STREET RED 6X75CL"/>
    <n v="150"/>
    <x v="5"/>
    <n v="3240000"/>
  </r>
  <r>
    <x v="0"/>
    <x v="1"/>
    <x v="1"/>
    <x v="1"/>
    <x v="1"/>
    <x v="6"/>
    <x v="3"/>
    <x v="0"/>
    <x v="0"/>
    <x v="1"/>
    <x v="3"/>
    <x v="1"/>
    <s v="4TH STREET WHITE 6X75CL"/>
    <n v="15"/>
    <x v="5"/>
    <n v="324000"/>
  </r>
  <r>
    <x v="0"/>
    <x v="1"/>
    <x v="1"/>
    <x v="1"/>
    <x v="1"/>
    <x v="6"/>
    <x v="3"/>
    <x v="0"/>
    <x v="0"/>
    <x v="1"/>
    <x v="3"/>
    <x v="1"/>
    <s v="4TH STREET ROSE 6X75CL"/>
    <n v="10"/>
    <x v="5"/>
    <n v="216000"/>
  </r>
  <r>
    <x v="0"/>
    <x v="1"/>
    <x v="1"/>
    <x v="1"/>
    <x v="1"/>
    <x v="6"/>
    <x v="3"/>
    <x v="0"/>
    <x v="0"/>
    <x v="1"/>
    <x v="3"/>
    <x v="1"/>
    <s v="4TH STREET 75CL NON ALCOHOLIC SWEET WINE"/>
    <n v="15"/>
    <x v="1"/>
    <n v="288000"/>
  </r>
  <r>
    <x v="0"/>
    <x v="1"/>
    <x v="1"/>
    <x v="1"/>
    <x v="1"/>
    <x v="6"/>
    <x v="4"/>
    <x v="1"/>
    <x v="1"/>
    <x v="0"/>
    <x v="4"/>
    <x v="2"/>
    <s v="HUNTERS DRY 4X(6X330ML)"/>
    <n v="18"/>
    <x v="7"/>
    <n v="388800"/>
  </r>
  <r>
    <x v="0"/>
    <x v="1"/>
    <x v="1"/>
    <x v="1"/>
    <x v="1"/>
    <x v="6"/>
    <x v="4"/>
    <x v="1"/>
    <x v="1"/>
    <x v="0"/>
    <x v="4"/>
    <x v="2"/>
    <s v="DROSTDY HOF 6X75CL RED CLARET "/>
    <n v="34"/>
    <x v="0"/>
    <n v="1020000"/>
  </r>
  <r>
    <x v="0"/>
    <x v="1"/>
    <x v="1"/>
    <x v="1"/>
    <x v="1"/>
    <x v="6"/>
    <x v="4"/>
    <x v="1"/>
    <x v="1"/>
    <x v="0"/>
    <x v="4"/>
    <x v="2"/>
    <s v="DROSTY HOF RED CLARET 12X375ML"/>
    <n v="8"/>
    <x v="0"/>
    <n v="272000"/>
  </r>
  <r>
    <x v="0"/>
    <x v="1"/>
    <x v="1"/>
    <x v="1"/>
    <x v="1"/>
    <x v="6"/>
    <x v="4"/>
    <x v="1"/>
    <x v="1"/>
    <x v="0"/>
    <x v="4"/>
    <x v="2"/>
    <s v="AMARULA CREAM 6X700ML"/>
    <n v="25"/>
    <x v="2"/>
    <n v="750000"/>
  </r>
  <r>
    <x v="0"/>
    <x v="1"/>
    <x v="1"/>
    <x v="1"/>
    <x v="1"/>
    <x v="6"/>
    <x v="4"/>
    <x v="1"/>
    <x v="1"/>
    <x v="0"/>
    <x v="4"/>
    <x v="2"/>
    <s v="CHAMDOR RED"/>
    <n v="210"/>
    <x v="4"/>
    <n v="5796000"/>
  </r>
  <r>
    <x v="0"/>
    <x v="1"/>
    <x v="1"/>
    <x v="1"/>
    <x v="1"/>
    <x v="6"/>
    <x v="4"/>
    <x v="1"/>
    <x v="1"/>
    <x v="0"/>
    <x v="4"/>
    <x v="2"/>
    <s v="CHAMDOR WHITE"/>
    <n v="42"/>
    <x v="4"/>
    <n v="1159200"/>
  </r>
  <r>
    <x v="0"/>
    <x v="1"/>
    <x v="1"/>
    <x v="1"/>
    <x v="1"/>
    <x v="6"/>
    <x v="4"/>
    <x v="1"/>
    <x v="1"/>
    <x v="0"/>
    <x v="4"/>
    <x v="2"/>
    <s v="4TH STREET RED 6X75CL"/>
    <n v="70"/>
    <x v="5"/>
    <n v="1512000"/>
  </r>
  <r>
    <x v="0"/>
    <x v="1"/>
    <x v="1"/>
    <x v="1"/>
    <x v="1"/>
    <x v="6"/>
    <x v="4"/>
    <x v="1"/>
    <x v="1"/>
    <x v="0"/>
    <x v="4"/>
    <x v="2"/>
    <s v="4TH STREET WHITE 6X75CL"/>
    <n v="21"/>
    <x v="5"/>
    <n v="453600"/>
  </r>
  <r>
    <x v="0"/>
    <x v="1"/>
    <x v="1"/>
    <x v="1"/>
    <x v="1"/>
    <x v="6"/>
    <x v="4"/>
    <x v="1"/>
    <x v="1"/>
    <x v="0"/>
    <x v="4"/>
    <x v="2"/>
    <s v="4TH STREET ROSE 6X75CL"/>
    <n v="49"/>
    <x v="5"/>
    <n v="1058400"/>
  </r>
  <r>
    <x v="0"/>
    <x v="1"/>
    <x v="1"/>
    <x v="1"/>
    <x v="1"/>
    <x v="6"/>
    <x v="4"/>
    <x v="1"/>
    <x v="1"/>
    <x v="0"/>
    <x v="4"/>
    <x v="2"/>
    <s v="4TH STREET SPARKLING RED"/>
    <n v="4"/>
    <x v="3"/>
    <n v="93600"/>
  </r>
  <r>
    <x v="0"/>
    <x v="1"/>
    <x v="1"/>
    <x v="1"/>
    <x v="1"/>
    <x v="6"/>
    <x v="4"/>
    <x v="1"/>
    <x v="1"/>
    <x v="0"/>
    <x v="4"/>
    <x v="2"/>
    <s v="4TH STREET 75CL NON ALCOHOLIC SWEET WINE"/>
    <n v="61"/>
    <x v="1"/>
    <n v="1171200"/>
  </r>
  <r>
    <x v="0"/>
    <x v="1"/>
    <x v="1"/>
    <x v="1"/>
    <x v="1"/>
    <x v="6"/>
    <x v="5"/>
    <x v="1"/>
    <x v="2"/>
    <x v="0"/>
    <x v="5"/>
    <x v="3"/>
    <s v="HUNTERS DRY 4X(6X330ML)"/>
    <n v="10"/>
    <x v="7"/>
    <n v="216000"/>
  </r>
  <r>
    <x v="0"/>
    <x v="1"/>
    <x v="1"/>
    <x v="1"/>
    <x v="1"/>
    <x v="6"/>
    <x v="5"/>
    <x v="1"/>
    <x v="2"/>
    <x v="0"/>
    <x v="5"/>
    <x v="3"/>
    <s v="CHAMDOR RED"/>
    <n v="100"/>
    <x v="4"/>
    <n v="2760000"/>
  </r>
  <r>
    <x v="0"/>
    <x v="1"/>
    <x v="1"/>
    <x v="1"/>
    <x v="1"/>
    <x v="6"/>
    <x v="5"/>
    <x v="1"/>
    <x v="2"/>
    <x v="0"/>
    <x v="5"/>
    <x v="3"/>
    <s v="4TH STREET RED 6X75CL"/>
    <n v="50"/>
    <x v="5"/>
    <n v="1080000"/>
  </r>
  <r>
    <x v="0"/>
    <x v="1"/>
    <x v="1"/>
    <x v="1"/>
    <x v="1"/>
    <x v="6"/>
    <x v="5"/>
    <x v="1"/>
    <x v="2"/>
    <x v="0"/>
    <x v="5"/>
    <x v="3"/>
    <s v="4TH STREET WHITE 6X75CL"/>
    <n v="10"/>
    <x v="5"/>
    <n v="216000"/>
  </r>
  <r>
    <x v="0"/>
    <x v="1"/>
    <x v="1"/>
    <x v="1"/>
    <x v="1"/>
    <x v="6"/>
    <x v="5"/>
    <x v="1"/>
    <x v="2"/>
    <x v="0"/>
    <x v="5"/>
    <x v="3"/>
    <s v="4TH STREET 75CL NON ALCOHOLIC SWEET WINE"/>
    <n v="50"/>
    <x v="1"/>
    <n v="960000"/>
  </r>
  <r>
    <x v="0"/>
    <x v="1"/>
    <x v="1"/>
    <x v="1"/>
    <x v="1"/>
    <x v="6"/>
    <x v="6"/>
    <x v="1"/>
    <x v="3"/>
    <x v="0"/>
    <x v="6"/>
    <x v="4"/>
    <s v="HUNTERS DRY 4X(6X330ML)"/>
    <n v="10"/>
    <x v="7"/>
    <n v="216000"/>
  </r>
  <r>
    <x v="0"/>
    <x v="1"/>
    <x v="1"/>
    <x v="1"/>
    <x v="1"/>
    <x v="6"/>
    <x v="6"/>
    <x v="1"/>
    <x v="3"/>
    <x v="0"/>
    <x v="6"/>
    <x v="4"/>
    <s v="TWO OCEAN CAB/SAUV 6X75CL"/>
    <n v="25"/>
    <x v="10"/>
    <n v="750000"/>
  </r>
  <r>
    <x v="0"/>
    <x v="1"/>
    <x v="1"/>
    <x v="1"/>
    <x v="1"/>
    <x v="6"/>
    <x v="6"/>
    <x v="1"/>
    <x v="3"/>
    <x v="0"/>
    <x v="6"/>
    <x v="4"/>
    <s v="DROSTDY HOF 6X75CL RED CLARET "/>
    <n v="62"/>
    <x v="0"/>
    <n v="1860000"/>
  </r>
  <r>
    <x v="0"/>
    <x v="1"/>
    <x v="1"/>
    <x v="1"/>
    <x v="1"/>
    <x v="6"/>
    <x v="6"/>
    <x v="1"/>
    <x v="3"/>
    <x v="0"/>
    <x v="6"/>
    <x v="4"/>
    <s v="DROSTY HOF RED CLARET 12X375ML"/>
    <n v="56"/>
    <x v="0"/>
    <n v="1904000"/>
  </r>
  <r>
    <x v="0"/>
    <x v="1"/>
    <x v="1"/>
    <x v="1"/>
    <x v="1"/>
    <x v="6"/>
    <x v="6"/>
    <x v="1"/>
    <x v="3"/>
    <x v="0"/>
    <x v="6"/>
    <x v="4"/>
    <s v="AMARULA CREAM 12X375ML"/>
    <n v="10"/>
    <x v="2"/>
    <n v="434450"/>
  </r>
  <r>
    <x v="0"/>
    <x v="1"/>
    <x v="1"/>
    <x v="1"/>
    <x v="1"/>
    <x v="6"/>
    <x v="6"/>
    <x v="1"/>
    <x v="3"/>
    <x v="0"/>
    <x v="6"/>
    <x v="4"/>
    <s v="AMARULA CREAM 6X700ML"/>
    <n v="11"/>
    <x v="2"/>
    <n v="330000"/>
  </r>
  <r>
    <x v="0"/>
    <x v="1"/>
    <x v="1"/>
    <x v="1"/>
    <x v="1"/>
    <x v="6"/>
    <x v="6"/>
    <x v="1"/>
    <x v="3"/>
    <x v="0"/>
    <x v="6"/>
    <x v="4"/>
    <s v="BAIN'S WHISKY 6X75CL"/>
    <n v="8"/>
    <x v="8"/>
    <n v="640000"/>
  </r>
  <r>
    <x v="0"/>
    <x v="1"/>
    <x v="1"/>
    <x v="1"/>
    <x v="1"/>
    <x v="6"/>
    <x v="6"/>
    <x v="1"/>
    <x v="3"/>
    <x v="0"/>
    <x v="6"/>
    <x v="4"/>
    <s v="KNIGHT WHISKY 6X75CL"/>
    <n v="5"/>
    <x v="9"/>
    <n v="250000"/>
  </r>
  <r>
    <x v="0"/>
    <x v="1"/>
    <x v="1"/>
    <x v="1"/>
    <x v="1"/>
    <x v="6"/>
    <x v="6"/>
    <x v="1"/>
    <x v="3"/>
    <x v="0"/>
    <x v="6"/>
    <x v="4"/>
    <s v="SCOTTISH LEADER 6X75CL"/>
    <n v="5"/>
    <x v="11"/>
    <n v="300000"/>
  </r>
  <r>
    <x v="0"/>
    <x v="1"/>
    <x v="1"/>
    <x v="1"/>
    <x v="1"/>
    <x v="6"/>
    <x v="6"/>
    <x v="1"/>
    <x v="3"/>
    <x v="0"/>
    <x v="6"/>
    <x v="4"/>
    <s v="CHAMDOR RED"/>
    <n v="360"/>
    <x v="4"/>
    <n v="9936000"/>
  </r>
  <r>
    <x v="0"/>
    <x v="1"/>
    <x v="1"/>
    <x v="1"/>
    <x v="1"/>
    <x v="6"/>
    <x v="6"/>
    <x v="1"/>
    <x v="3"/>
    <x v="0"/>
    <x v="6"/>
    <x v="4"/>
    <s v="4TH STREET RED 6X75CL"/>
    <n v="89"/>
    <x v="5"/>
    <n v="1922400"/>
  </r>
  <r>
    <x v="0"/>
    <x v="1"/>
    <x v="1"/>
    <x v="1"/>
    <x v="1"/>
    <x v="6"/>
    <x v="6"/>
    <x v="1"/>
    <x v="3"/>
    <x v="0"/>
    <x v="6"/>
    <x v="4"/>
    <s v="4TH STREET 75CL NON ALCOHOLIC SWEET WINE"/>
    <n v="154"/>
    <x v="1"/>
    <n v="2956800"/>
  </r>
  <r>
    <x v="0"/>
    <x v="1"/>
    <x v="1"/>
    <x v="1"/>
    <x v="1"/>
    <x v="6"/>
    <x v="6"/>
    <x v="1"/>
    <x v="3"/>
    <x v="0"/>
    <x v="6"/>
    <x v="4"/>
    <s v="4TH STREET RED 12X37.5CL"/>
    <n v="35"/>
    <x v="5"/>
    <n v="756000"/>
  </r>
  <r>
    <x v="0"/>
    <x v="1"/>
    <x v="1"/>
    <x v="1"/>
    <x v="1"/>
    <x v="6"/>
    <x v="6"/>
    <x v="1"/>
    <x v="3"/>
    <x v="0"/>
    <x v="6"/>
    <x v="4"/>
    <s v="NEDERBURG WINE MASTER RANGE MERLOT  6X750ML"/>
    <n v="8"/>
    <x v="6"/>
    <n v="736000"/>
  </r>
  <r>
    <x v="0"/>
    <x v="1"/>
    <x v="1"/>
    <x v="1"/>
    <x v="1"/>
    <x v="6"/>
    <x v="7"/>
    <x v="1"/>
    <x v="3"/>
    <x v="0"/>
    <x v="7"/>
    <x v="4"/>
    <s v="HUNTERS DRY 4X(6X330ML)"/>
    <n v="20"/>
    <x v="7"/>
    <n v="432000"/>
  </r>
  <r>
    <x v="0"/>
    <x v="1"/>
    <x v="1"/>
    <x v="1"/>
    <x v="1"/>
    <x v="6"/>
    <x v="7"/>
    <x v="1"/>
    <x v="3"/>
    <x v="0"/>
    <x v="7"/>
    <x v="4"/>
    <s v="TWO OCEAN CAB/SAUV 6X75CL"/>
    <n v="25"/>
    <x v="10"/>
    <n v="750000"/>
  </r>
  <r>
    <x v="0"/>
    <x v="1"/>
    <x v="1"/>
    <x v="1"/>
    <x v="1"/>
    <x v="6"/>
    <x v="7"/>
    <x v="1"/>
    <x v="3"/>
    <x v="0"/>
    <x v="7"/>
    <x v="4"/>
    <s v="DROSTDY HOF 6X75CL RED CLARET "/>
    <n v="38"/>
    <x v="0"/>
    <n v="1140000"/>
  </r>
  <r>
    <x v="0"/>
    <x v="1"/>
    <x v="1"/>
    <x v="1"/>
    <x v="1"/>
    <x v="6"/>
    <x v="7"/>
    <x v="1"/>
    <x v="3"/>
    <x v="0"/>
    <x v="7"/>
    <x v="4"/>
    <s v="DROSTY HOF RED CLARET 12X375ML"/>
    <n v="35"/>
    <x v="0"/>
    <n v="1190000"/>
  </r>
  <r>
    <x v="0"/>
    <x v="1"/>
    <x v="1"/>
    <x v="1"/>
    <x v="1"/>
    <x v="6"/>
    <x v="7"/>
    <x v="1"/>
    <x v="3"/>
    <x v="0"/>
    <x v="7"/>
    <x v="4"/>
    <s v="AMARULA CREAM 12X375ML"/>
    <n v="15"/>
    <x v="2"/>
    <n v="651675"/>
  </r>
  <r>
    <x v="0"/>
    <x v="1"/>
    <x v="1"/>
    <x v="1"/>
    <x v="1"/>
    <x v="6"/>
    <x v="7"/>
    <x v="1"/>
    <x v="3"/>
    <x v="0"/>
    <x v="7"/>
    <x v="4"/>
    <s v="AMARULA CREAM 6X700ML"/>
    <n v="15"/>
    <x v="2"/>
    <n v="450000"/>
  </r>
  <r>
    <x v="0"/>
    <x v="1"/>
    <x v="1"/>
    <x v="1"/>
    <x v="1"/>
    <x v="6"/>
    <x v="7"/>
    <x v="1"/>
    <x v="3"/>
    <x v="0"/>
    <x v="7"/>
    <x v="4"/>
    <s v="BAIN'S WHISKY 6X75CL"/>
    <n v="5"/>
    <x v="8"/>
    <n v="400000"/>
  </r>
  <r>
    <x v="0"/>
    <x v="1"/>
    <x v="1"/>
    <x v="1"/>
    <x v="1"/>
    <x v="6"/>
    <x v="7"/>
    <x v="1"/>
    <x v="3"/>
    <x v="0"/>
    <x v="7"/>
    <x v="4"/>
    <s v="KNIGHT WHISKY 6X75CL"/>
    <n v="2"/>
    <x v="9"/>
    <n v="100000"/>
  </r>
  <r>
    <x v="0"/>
    <x v="1"/>
    <x v="1"/>
    <x v="1"/>
    <x v="1"/>
    <x v="6"/>
    <x v="7"/>
    <x v="1"/>
    <x v="3"/>
    <x v="0"/>
    <x v="7"/>
    <x v="4"/>
    <s v="SCOTTISH LEADER 6X75CL"/>
    <n v="3"/>
    <x v="11"/>
    <n v="180000"/>
  </r>
  <r>
    <x v="0"/>
    <x v="1"/>
    <x v="1"/>
    <x v="1"/>
    <x v="1"/>
    <x v="6"/>
    <x v="7"/>
    <x v="1"/>
    <x v="3"/>
    <x v="0"/>
    <x v="7"/>
    <x v="4"/>
    <s v="CHAMDOR RED"/>
    <n v="410"/>
    <x v="4"/>
    <n v="11316000"/>
  </r>
  <r>
    <x v="0"/>
    <x v="1"/>
    <x v="1"/>
    <x v="1"/>
    <x v="1"/>
    <x v="6"/>
    <x v="7"/>
    <x v="1"/>
    <x v="3"/>
    <x v="0"/>
    <x v="7"/>
    <x v="4"/>
    <s v="4TH STREET RED 6X75CL"/>
    <n v="72"/>
    <x v="5"/>
    <n v="1555200"/>
  </r>
  <r>
    <x v="0"/>
    <x v="1"/>
    <x v="1"/>
    <x v="1"/>
    <x v="1"/>
    <x v="6"/>
    <x v="7"/>
    <x v="1"/>
    <x v="3"/>
    <x v="0"/>
    <x v="7"/>
    <x v="4"/>
    <s v="4TH STREET 75CL NON ALCOHOLIC SWEET WINE"/>
    <n v="100"/>
    <x v="1"/>
    <n v="1920000"/>
  </r>
  <r>
    <x v="0"/>
    <x v="1"/>
    <x v="1"/>
    <x v="1"/>
    <x v="1"/>
    <x v="6"/>
    <x v="7"/>
    <x v="1"/>
    <x v="3"/>
    <x v="0"/>
    <x v="7"/>
    <x v="4"/>
    <s v="4TH STREET RED 12X37.5CL"/>
    <n v="26"/>
    <x v="5"/>
    <n v="561600"/>
  </r>
  <r>
    <x v="0"/>
    <x v="1"/>
    <x v="1"/>
    <x v="1"/>
    <x v="1"/>
    <x v="6"/>
    <x v="7"/>
    <x v="1"/>
    <x v="3"/>
    <x v="0"/>
    <x v="7"/>
    <x v="4"/>
    <s v="NEDERBURG WINE MASTER RANGE MERLOT  6X750ML"/>
    <n v="5"/>
    <x v="6"/>
    <n v="460000"/>
  </r>
  <r>
    <x v="0"/>
    <x v="1"/>
    <x v="1"/>
    <x v="1"/>
    <x v="1"/>
    <x v="6"/>
    <x v="10"/>
    <x v="1"/>
    <x v="8"/>
    <x v="1"/>
    <x v="13"/>
    <x v="7"/>
    <s v="HUNTERS GOLD 4X(6X330ML)"/>
    <n v="6"/>
    <x v="7"/>
    <n v="129600"/>
  </r>
  <r>
    <x v="0"/>
    <x v="1"/>
    <x v="1"/>
    <x v="1"/>
    <x v="1"/>
    <x v="6"/>
    <x v="10"/>
    <x v="1"/>
    <x v="8"/>
    <x v="1"/>
    <x v="13"/>
    <x v="7"/>
    <s v="DROSTY HOF RED CLARET 12X375ML"/>
    <n v="3"/>
    <x v="0"/>
    <n v="102000"/>
  </r>
  <r>
    <x v="0"/>
    <x v="1"/>
    <x v="1"/>
    <x v="1"/>
    <x v="1"/>
    <x v="6"/>
    <x v="10"/>
    <x v="1"/>
    <x v="8"/>
    <x v="1"/>
    <x v="13"/>
    <x v="7"/>
    <s v="DROSTDY HOF EXTRA LIGHT WHITE 12X75CL"/>
    <n v="5"/>
    <x v="0"/>
    <n v="102500"/>
  </r>
  <r>
    <x v="0"/>
    <x v="1"/>
    <x v="1"/>
    <x v="1"/>
    <x v="1"/>
    <x v="6"/>
    <x v="10"/>
    <x v="1"/>
    <x v="8"/>
    <x v="1"/>
    <x v="13"/>
    <x v="7"/>
    <s v="CHAMDOR RED"/>
    <n v="51"/>
    <x v="4"/>
    <n v="1407600"/>
  </r>
  <r>
    <x v="0"/>
    <x v="1"/>
    <x v="1"/>
    <x v="1"/>
    <x v="1"/>
    <x v="6"/>
    <x v="10"/>
    <x v="1"/>
    <x v="8"/>
    <x v="1"/>
    <x v="13"/>
    <x v="7"/>
    <s v="CHAMDOR WHITE"/>
    <n v="2"/>
    <x v="4"/>
    <n v="55200"/>
  </r>
  <r>
    <x v="0"/>
    <x v="1"/>
    <x v="1"/>
    <x v="1"/>
    <x v="1"/>
    <x v="6"/>
    <x v="10"/>
    <x v="1"/>
    <x v="8"/>
    <x v="1"/>
    <x v="13"/>
    <x v="7"/>
    <s v="4TH STREET RED 6X75CL"/>
    <n v="44"/>
    <x v="5"/>
    <n v="950400"/>
  </r>
  <r>
    <x v="0"/>
    <x v="1"/>
    <x v="1"/>
    <x v="1"/>
    <x v="1"/>
    <x v="6"/>
    <x v="10"/>
    <x v="1"/>
    <x v="8"/>
    <x v="1"/>
    <x v="13"/>
    <x v="7"/>
    <s v="4TH STREET 75CL NON ALCOHOLIC SWEET WINE"/>
    <n v="20"/>
    <x v="1"/>
    <n v="384000"/>
  </r>
  <r>
    <x v="0"/>
    <x v="1"/>
    <x v="1"/>
    <x v="1"/>
    <x v="1"/>
    <x v="6"/>
    <x v="10"/>
    <x v="1"/>
    <x v="9"/>
    <x v="1"/>
    <x v="14"/>
    <x v="7"/>
    <s v="CHAMDOR RED"/>
    <n v="20"/>
    <x v="4"/>
    <n v="552000"/>
  </r>
  <r>
    <x v="0"/>
    <x v="1"/>
    <x v="1"/>
    <x v="1"/>
    <x v="1"/>
    <x v="6"/>
    <x v="10"/>
    <x v="1"/>
    <x v="9"/>
    <x v="1"/>
    <x v="14"/>
    <x v="7"/>
    <s v="CHAMDOR WHITE"/>
    <n v="10"/>
    <x v="4"/>
    <n v="276000"/>
  </r>
  <r>
    <x v="0"/>
    <x v="1"/>
    <x v="1"/>
    <x v="1"/>
    <x v="1"/>
    <x v="6"/>
    <x v="10"/>
    <x v="1"/>
    <x v="9"/>
    <x v="1"/>
    <x v="14"/>
    <x v="7"/>
    <s v="4TH STREET RED 6X75CL"/>
    <n v="10"/>
    <x v="5"/>
    <n v="216000"/>
  </r>
  <r>
    <x v="0"/>
    <x v="1"/>
    <x v="1"/>
    <x v="1"/>
    <x v="1"/>
    <x v="6"/>
    <x v="10"/>
    <x v="1"/>
    <x v="9"/>
    <x v="1"/>
    <x v="14"/>
    <x v="7"/>
    <s v="4TH STREET WHITE 6X75CL"/>
    <n v="5"/>
    <x v="5"/>
    <n v="108000"/>
  </r>
  <r>
    <x v="0"/>
    <x v="1"/>
    <x v="1"/>
    <x v="1"/>
    <x v="1"/>
    <x v="6"/>
    <x v="10"/>
    <x v="1"/>
    <x v="9"/>
    <x v="1"/>
    <x v="14"/>
    <x v="7"/>
    <s v="4TH STREET ROSE 6X75CL"/>
    <n v="10"/>
    <x v="5"/>
    <n v="216000"/>
  </r>
  <r>
    <x v="0"/>
    <x v="1"/>
    <x v="1"/>
    <x v="1"/>
    <x v="1"/>
    <x v="6"/>
    <x v="10"/>
    <x v="1"/>
    <x v="9"/>
    <x v="1"/>
    <x v="14"/>
    <x v="7"/>
    <s v="4TH STREET 75CL NON ALCOHOLIC SWEET WINE"/>
    <n v="10"/>
    <x v="1"/>
    <n v="192000"/>
  </r>
  <r>
    <x v="0"/>
    <x v="1"/>
    <x v="1"/>
    <x v="1"/>
    <x v="1"/>
    <x v="6"/>
    <x v="11"/>
    <x v="1"/>
    <x v="10"/>
    <x v="1"/>
    <x v="15"/>
    <x v="2"/>
    <s v="HUNTERS DRY 4X(6X330ML)"/>
    <n v="7"/>
    <x v="7"/>
    <n v="151200"/>
  </r>
  <r>
    <x v="0"/>
    <x v="1"/>
    <x v="1"/>
    <x v="1"/>
    <x v="1"/>
    <x v="6"/>
    <x v="11"/>
    <x v="1"/>
    <x v="10"/>
    <x v="1"/>
    <x v="15"/>
    <x v="2"/>
    <s v="DROSTDY HOF 6X75CL RED CLARET "/>
    <n v="9"/>
    <x v="0"/>
    <n v="270000"/>
  </r>
  <r>
    <x v="0"/>
    <x v="1"/>
    <x v="1"/>
    <x v="1"/>
    <x v="1"/>
    <x v="6"/>
    <x v="11"/>
    <x v="1"/>
    <x v="10"/>
    <x v="1"/>
    <x v="15"/>
    <x v="2"/>
    <s v="DROSTY HOF RED CLARET 12X375ML"/>
    <n v="5"/>
    <x v="0"/>
    <n v="170000"/>
  </r>
  <r>
    <x v="0"/>
    <x v="1"/>
    <x v="1"/>
    <x v="1"/>
    <x v="1"/>
    <x v="6"/>
    <x v="11"/>
    <x v="1"/>
    <x v="10"/>
    <x v="1"/>
    <x v="15"/>
    <x v="2"/>
    <s v="AMARULA CREAM 6X700ML"/>
    <n v="9"/>
    <x v="2"/>
    <n v="270000"/>
  </r>
  <r>
    <x v="0"/>
    <x v="1"/>
    <x v="1"/>
    <x v="1"/>
    <x v="1"/>
    <x v="6"/>
    <x v="11"/>
    <x v="1"/>
    <x v="10"/>
    <x v="1"/>
    <x v="15"/>
    <x v="2"/>
    <s v="CHAMDOR RED"/>
    <n v="363"/>
    <x v="4"/>
    <n v="10018800"/>
  </r>
  <r>
    <x v="0"/>
    <x v="1"/>
    <x v="1"/>
    <x v="1"/>
    <x v="1"/>
    <x v="6"/>
    <x v="11"/>
    <x v="1"/>
    <x v="10"/>
    <x v="1"/>
    <x v="15"/>
    <x v="2"/>
    <s v="CHAMDOR WHITE"/>
    <n v="18"/>
    <x v="4"/>
    <n v="496800"/>
  </r>
  <r>
    <x v="0"/>
    <x v="1"/>
    <x v="1"/>
    <x v="1"/>
    <x v="1"/>
    <x v="6"/>
    <x v="11"/>
    <x v="1"/>
    <x v="10"/>
    <x v="1"/>
    <x v="15"/>
    <x v="2"/>
    <s v="4TH STREET RED 6X75CL"/>
    <n v="38"/>
    <x v="5"/>
    <n v="820800"/>
  </r>
  <r>
    <x v="0"/>
    <x v="1"/>
    <x v="1"/>
    <x v="1"/>
    <x v="1"/>
    <x v="6"/>
    <x v="11"/>
    <x v="1"/>
    <x v="10"/>
    <x v="1"/>
    <x v="15"/>
    <x v="2"/>
    <s v="4TH STREET WHITE 6X75CL"/>
    <n v="7"/>
    <x v="5"/>
    <n v="151200"/>
  </r>
  <r>
    <x v="0"/>
    <x v="1"/>
    <x v="1"/>
    <x v="1"/>
    <x v="1"/>
    <x v="6"/>
    <x v="11"/>
    <x v="1"/>
    <x v="10"/>
    <x v="1"/>
    <x v="15"/>
    <x v="2"/>
    <s v="4TH STREET ROSE 6X75CL"/>
    <n v="15"/>
    <x v="5"/>
    <n v="324000"/>
  </r>
  <r>
    <x v="0"/>
    <x v="1"/>
    <x v="1"/>
    <x v="1"/>
    <x v="1"/>
    <x v="6"/>
    <x v="11"/>
    <x v="1"/>
    <x v="10"/>
    <x v="1"/>
    <x v="15"/>
    <x v="2"/>
    <s v="4TH STREET SPARKLING RED"/>
    <n v="1"/>
    <x v="3"/>
    <n v="23400"/>
  </r>
  <r>
    <x v="0"/>
    <x v="1"/>
    <x v="1"/>
    <x v="1"/>
    <x v="1"/>
    <x v="6"/>
    <x v="11"/>
    <x v="1"/>
    <x v="10"/>
    <x v="1"/>
    <x v="15"/>
    <x v="2"/>
    <s v="4TH STREET 75CL NON ALCOHOLIC SWEET WINE"/>
    <n v="21"/>
    <x v="1"/>
    <n v="403200"/>
  </r>
  <r>
    <x v="0"/>
    <x v="1"/>
    <x v="1"/>
    <x v="1"/>
    <x v="1"/>
    <x v="6"/>
    <x v="11"/>
    <x v="1"/>
    <x v="10"/>
    <x v="1"/>
    <x v="15"/>
    <x v="2"/>
    <s v="NEDERBURG WINE MASTER RANGE BARONNE  6X750ML"/>
    <n v="1"/>
    <x v="6"/>
    <n v="90000"/>
  </r>
  <r>
    <x v="0"/>
    <x v="1"/>
    <x v="1"/>
    <x v="1"/>
    <x v="1"/>
    <x v="6"/>
    <x v="12"/>
    <x v="1"/>
    <x v="11"/>
    <x v="1"/>
    <x v="16"/>
    <x v="8"/>
    <s v="HUNTERS GOLD 4X(6X330ML)"/>
    <n v="2"/>
    <x v="7"/>
    <n v="43200"/>
  </r>
  <r>
    <x v="0"/>
    <x v="1"/>
    <x v="1"/>
    <x v="1"/>
    <x v="1"/>
    <x v="6"/>
    <x v="12"/>
    <x v="1"/>
    <x v="11"/>
    <x v="1"/>
    <x v="16"/>
    <x v="8"/>
    <s v="TWO OCEAN CAB/SAUV 6X75CL"/>
    <n v="3"/>
    <x v="10"/>
    <n v="90000"/>
  </r>
  <r>
    <x v="0"/>
    <x v="1"/>
    <x v="1"/>
    <x v="1"/>
    <x v="1"/>
    <x v="6"/>
    <x v="12"/>
    <x v="1"/>
    <x v="11"/>
    <x v="1"/>
    <x v="16"/>
    <x v="8"/>
    <s v="DROSTDY HOF 6X75CL RED CLARET "/>
    <n v="7"/>
    <x v="0"/>
    <n v="210000"/>
  </r>
  <r>
    <x v="0"/>
    <x v="1"/>
    <x v="1"/>
    <x v="1"/>
    <x v="1"/>
    <x v="6"/>
    <x v="12"/>
    <x v="1"/>
    <x v="11"/>
    <x v="1"/>
    <x v="16"/>
    <x v="8"/>
    <s v="BAIN'S WHISKY 6X75CL"/>
    <n v="7"/>
    <x v="8"/>
    <n v="560000"/>
  </r>
  <r>
    <x v="0"/>
    <x v="1"/>
    <x v="1"/>
    <x v="1"/>
    <x v="1"/>
    <x v="6"/>
    <x v="12"/>
    <x v="1"/>
    <x v="11"/>
    <x v="1"/>
    <x v="16"/>
    <x v="8"/>
    <s v="KNIGHT WHISKY 12X20CL"/>
    <n v="2"/>
    <x v="9"/>
    <n v="23000"/>
  </r>
  <r>
    <x v="0"/>
    <x v="1"/>
    <x v="1"/>
    <x v="1"/>
    <x v="1"/>
    <x v="6"/>
    <x v="12"/>
    <x v="1"/>
    <x v="11"/>
    <x v="1"/>
    <x v="16"/>
    <x v="8"/>
    <s v="CHAMDOR RED"/>
    <n v="67"/>
    <x v="4"/>
    <n v="1849200"/>
  </r>
  <r>
    <x v="0"/>
    <x v="1"/>
    <x v="1"/>
    <x v="1"/>
    <x v="1"/>
    <x v="6"/>
    <x v="12"/>
    <x v="1"/>
    <x v="11"/>
    <x v="1"/>
    <x v="16"/>
    <x v="8"/>
    <s v="CHAMDOR WHITE"/>
    <n v="20"/>
    <x v="4"/>
    <n v="552000"/>
  </r>
  <r>
    <x v="0"/>
    <x v="1"/>
    <x v="1"/>
    <x v="1"/>
    <x v="1"/>
    <x v="6"/>
    <x v="12"/>
    <x v="1"/>
    <x v="11"/>
    <x v="1"/>
    <x v="16"/>
    <x v="8"/>
    <s v="4TH STREET RED 6X75CL"/>
    <n v="34"/>
    <x v="5"/>
    <n v="734400"/>
  </r>
  <r>
    <x v="0"/>
    <x v="1"/>
    <x v="1"/>
    <x v="1"/>
    <x v="1"/>
    <x v="6"/>
    <x v="13"/>
    <x v="1"/>
    <x v="12"/>
    <x v="0"/>
    <x v="17"/>
    <x v="9"/>
    <s v="HUNTERS DRY 4X(6X330ML)"/>
    <n v="26"/>
    <x v="7"/>
    <n v="561600"/>
  </r>
  <r>
    <x v="0"/>
    <x v="1"/>
    <x v="1"/>
    <x v="1"/>
    <x v="1"/>
    <x v="6"/>
    <x v="13"/>
    <x v="1"/>
    <x v="12"/>
    <x v="0"/>
    <x v="17"/>
    <x v="9"/>
    <s v="HUNTERS GOLD 4X(6X330ML)"/>
    <n v="3"/>
    <x v="7"/>
    <n v="64800"/>
  </r>
  <r>
    <x v="0"/>
    <x v="1"/>
    <x v="1"/>
    <x v="1"/>
    <x v="1"/>
    <x v="6"/>
    <x v="13"/>
    <x v="1"/>
    <x v="12"/>
    <x v="0"/>
    <x v="17"/>
    <x v="9"/>
    <s v="TWO OCEAN CAB/SAUV 6X75CL"/>
    <n v="2"/>
    <x v="10"/>
    <n v="60000"/>
  </r>
  <r>
    <x v="0"/>
    <x v="1"/>
    <x v="1"/>
    <x v="1"/>
    <x v="1"/>
    <x v="6"/>
    <x v="13"/>
    <x v="1"/>
    <x v="12"/>
    <x v="0"/>
    <x v="17"/>
    <x v="9"/>
    <s v="DROSTDY HOF 6X75CL RED CLARET "/>
    <n v="20"/>
    <x v="0"/>
    <n v="600000"/>
  </r>
  <r>
    <x v="0"/>
    <x v="1"/>
    <x v="1"/>
    <x v="1"/>
    <x v="1"/>
    <x v="6"/>
    <x v="13"/>
    <x v="1"/>
    <x v="12"/>
    <x v="0"/>
    <x v="17"/>
    <x v="9"/>
    <s v="DROSTY HOF RED CLARET 12X375ML"/>
    <n v="18"/>
    <x v="0"/>
    <n v="612000"/>
  </r>
  <r>
    <x v="0"/>
    <x v="1"/>
    <x v="1"/>
    <x v="1"/>
    <x v="1"/>
    <x v="6"/>
    <x v="13"/>
    <x v="1"/>
    <x v="12"/>
    <x v="0"/>
    <x v="17"/>
    <x v="9"/>
    <s v="BAIN'S WHISKY 6X75CL"/>
    <n v="2"/>
    <x v="8"/>
    <n v="160000"/>
  </r>
  <r>
    <x v="0"/>
    <x v="1"/>
    <x v="1"/>
    <x v="1"/>
    <x v="1"/>
    <x v="6"/>
    <x v="13"/>
    <x v="1"/>
    <x v="12"/>
    <x v="0"/>
    <x v="17"/>
    <x v="9"/>
    <s v="CHAMDOR RED"/>
    <n v="81"/>
    <x v="4"/>
    <n v="2235600"/>
  </r>
  <r>
    <x v="0"/>
    <x v="1"/>
    <x v="1"/>
    <x v="1"/>
    <x v="1"/>
    <x v="6"/>
    <x v="13"/>
    <x v="1"/>
    <x v="12"/>
    <x v="0"/>
    <x v="17"/>
    <x v="9"/>
    <s v="CHAMDOR WHITE"/>
    <n v="5"/>
    <x v="4"/>
    <n v="138000"/>
  </r>
  <r>
    <x v="0"/>
    <x v="1"/>
    <x v="1"/>
    <x v="1"/>
    <x v="1"/>
    <x v="6"/>
    <x v="13"/>
    <x v="1"/>
    <x v="12"/>
    <x v="0"/>
    <x v="17"/>
    <x v="9"/>
    <s v="4TH STREET RED 6X75CL"/>
    <n v="84"/>
    <x v="5"/>
    <n v="1814400"/>
  </r>
  <r>
    <x v="0"/>
    <x v="1"/>
    <x v="1"/>
    <x v="1"/>
    <x v="1"/>
    <x v="6"/>
    <x v="13"/>
    <x v="1"/>
    <x v="12"/>
    <x v="0"/>
    <x v="17"/>
    <x v="9"/>
    <s v="4TH STREET WHITE 6X75CL"/>
    <n v="5"/>
    <x v="5"/>
    <n v="108000"/>
  </r>
  <r>
    <x v="0"/>
    <x v="1"/>
    <x v="1"/>
    <x v="1"/>
    <x v="1"/>
    <x v="6"/>
    <x v="13"/>
    <x v="1"/>
    <x v="12"/>
    <x v="0"/>
    <x v="17"/>
    <x v="9"/>
    <s v="4TH STREET ROSE 6X75CL"/>
    <n v="9"/>
    <x v="5"/>
    <n v="194400"/>
  </r>
  <r>
    <x v="0"/>
    <x v="1"/>
    <x v="1"/>
    <x v="1"/>
    <x v="1"/>
    <x v="6"/>
    <x v="13"/>
    <x v="1"/>
    <x v="12"/>
    <x v="0"/>
    <x v="17"/>
    <x v="9"/>
    <s v="4TH STREET 75CL NON ALCOHOLIC SWEET WINE"/>
    <n v="68"/>
    <x v="1"/>
    <n v="1305600"/>
  </r>
  <r>
    <x v="0"/>
    <x v="1"/>
    <x v="1"/>
    <x v="1"/>
    <x v="1"/>
    <x v="6"/>
    <x v="13"/>
    <x v="1"/>
    <x v="12"/>
    <x v="0"/>
    <x v="17"/>
    <x v="9"/>
    <s v="NEDERBURG WINE MASTER RANGE SHIRAZ  6X750ML"/>
    <n v="6"/>
    <x v="6"/>
    <n v="552000"/>
  </r>
  <r>
    <x v="0"/>
    <x v="1"/>
    <x v="1"/>
    <x v="1"/>
    <x v="1"/>
    <x v="6"/>
    <x v="13"/>
    <x v="1"/>
    <x v="12"/>
    <x v="0"/>
    <x v="17"/>
    <x v="9"/>
    <s v="NEDERBURG WINE MASTER RANGE EDELROOD  6X750ML"/>
    <n v="2"/>
    <x v="6"/>
    <n v="184000"/>
  </r>
  <r>
    <x v="0"/>
    <x v="1"/>
    <x v="1"/>
    <x v="1"/>
    <x v="1"/>
    <x v="6"/>
    <x v="13"/>
    <x v="1"/>
    <x v="12"/>
    <x v="0"/>
    <x v="17"/>
    <x v="9"/>
    <s v="NEDERBURG WINE MASTER RANGE PINOTAGE  6X750ML"/>
    <n v="2"/>
    <x v="6"/>
    <n v="184000"/>
  </r>
  <r>
    <x v="0"/>
    <x v="1"/>
    <x v="1"/>
    <x v="1"/>
    <x v="1"/>
    <x v="6"/>
    <x v="13"/>
    <x v="1"/>
    <x v="12"/>
    <x v="0"/>
    <x v="17"/>
    <x v="9"/>
    <s v="NEDERBURG WINE MASTER RANGE BARONNE  6X750ML"/>
    <n v="2"/>
    <x v="6"/>
    <n v="180000"/>
  </r>
  <r>
    <x v="0"/>
    <x v="1"/>
    <x v="1"/>
    <x v="1"/>
    <x v="1"/>
    <x v="6"/>
    <x v="13"/>
    <x v="1"/>
    <x v="12"/>
    <x v="1"/>
    <x v="18"/>
    <x v="9"/>
    <s v="DROSTDY HOF 6X75CL RED CLARET "/>
    <n v="3"/>
    <x v="0"/>
    <n v="90000"/>
  </r>
  <r>
    <x v="0"/>
    <x v="1"/>
    <x v="1"/>
    <x v="1"/>
    <x v="1"/>
    <x v="6"/>
    <x v="13"/>
    <x v="1"/>
    <x v="12"/>
    <x v="1"/>
    <x v="18"/>
    <x v="9"/>
    <s v="DROSTY HOF RED CLARET 12X375ML"/>
    <n v="1"/>
    <x v="0"/>
    <n v="34000"/>
  </r>
  <r>
    <x v="0"/>
    <x v="1"/>
    <x v="1"/>
    <x v="1"/>
    <x v="1"/>
    <x v="6"/>
    <x v="13"/>
    <x v="1"/>
    <x v="12"/>
    <x v="1"/>
    <x v="18"/>
    <x v="9"/>
    <s v="CHAMDOR RED"/>
    <n v="46"/>
    <x v="4"/>
    <n v="1269600"/>
  </r>
  <r>
    <x v="0"/>
    <x v="1"/>
    <x v="1"/>
    <x v="1"/>
    <x v="1"/>
    <x v="6"/>
    <x v="13"/>
    <x v="1"/>
    <x v="12"/>
    <x v="1"/>
    <x v="18"/>
    <x v="9"/>
    <s v="CHAMDOR WHITE"/>
    <n v="2"/>
    <x v="4"/>
    <n v="55200"/>
  </r>
  <r>
    <x v="0"/>
    <x v="1"/>
    <x v="1"/>
    <x v="1"/>
    <x v="1"/>
    <x v="6"/>
    <x v="13"/>
    <x v="1"/>
    <x v="12"/>
    <x v="1"/>
    <x v="18"/>
    <x v="9"/>
    <s v="4TH STREET RED 6X75CL"/>
    <n v="35"/>
    <x v="5"/>
    <n v="756000"/>
  </r>
  <r>
    <x v="0"/>
    <x v="1"/>
    <x v="1"/>
    <x v="1"/>
    <x v="1"/>
    <x v="6"/>
    <x v="13"/>
    <x v="1"/>
    <x v="12"/>
    <x v="1"/>
    <x v="18"/>
    <x v="9"/>
    <s v="4TH STREET WHITE 6X75CL"/>
    <n v="2"/>
    <x v="5"/>
    <n v="43200"/>
  </r>
  <r>
    <x v="0"/>
    <x v="1"/>
    <x v="1"/>
    <x v="1"/>
    <x v="1"/>
    <x v="6"/>
    <x v="13"/>
    <x v="1"/>
    <x v="12"/>
    <x v="1"/>
    <x v="18"/>
    <x v="9"/>
    <s v="4TH STREET 75CL NON ALCOHOLIC SWEET WINE"/>
    <n v="20"/>
    <x v="1"/>
    <n v="384000"/>
  </r>
  <r>
    <x v="0"/>
    <x v="1"/>
    <x v="1"/>
    <x v="1"/>
    <x v="1"/>
    <x v="6"/>
    <x v="14"/>
    <x v="1"/>
    <x v="13"/>
    <x v="0"/>
    <x v="19"/>
    <x v="10"/>
    <s v="DROSTDY HOF 6X75CL RED CLARET "/>
    <n v="36"/>
    <x v="0"/>
    <n v="1080000"/>
  </r>
  <r>
    <x v="0"/>
    <x v="1"/>
    <x v="1"/>
    <x v="1"/>
    <x v="1"/>
    <x v="6"/>
    <x v="14"/>
    <x v="1"/>
    <x v="13"/>
    <x v="0"/>
    <x v="19"/>
    <x v="10"/>
    <s v="CHAMDOR RED"/>
    <n v="268"/>
    <x v="4"/>
    <n v="7396800"/>
  </r>
  <r>
    <x v="0"/>
    <x v="1"/>
    <x v="1"/>
    <x v="1"/>
    <x v="1"/>
    <x v="6"/>
    <x v="14"/>
    <x v="1"/>
    <x v="13"/>
    <x v="0"/>
    <x v="19"/>
    <x v="10"/>
    <s v="4TH STREET RED 6X75CL"/>
    <n v="72"/>
    <x v="5"/>
    <n v="1555200"/>
  </r>
  <r>
    <x v="0"/>
    <x v="1"/>
    <x v="1"/>
    <x v="1"/>
    <x v="1"/>
    <x v="6"/>
    <x v="14"/>
    <x v="1"/>
    <x v="13"/>
    <x v="0"/>
    <x v="19"/>
    <x v="10"/>
    <s v="4TH STREET SPARKLING RED"/>
    <n v="23"/>
    <x v="3"/>
    <n v="538200"/>
  </r>
  <r>
    <x v="0"/>
    <x v="1"/>
    <x v="1"/>
    <x v="1"/>
    <x v="1"/>
    <x v="6"/>
    <x v="14"/>
    <x v="1"/>
    <x v="13"/>
    <x v="0"/>
    <x v="19"/>
    <x v="10"/>
    <s v="4TH STREET 75CL NON ALCOHOLIC SWEET WINE"/>
    <n v="61"/>
    <x v="1"/>
    <n v="1171200"/>
  </r>
  <r>
    <x v="0"/>
    <x v="1"/>
    <x v="1"/>
    <x v="1"/>
    <x v="1"/>
    <x v="6"/>
    <x v="14"/>
    <x v="1"/>
    <x v="13"/>
    <x v="1"/>
    <x v="20"/>
    <x v="10"/>
    <s v="DROSTDY HOF 6X75CL RED CLARET "/>
    <n v="4"/>
    <x v="0"/>
    <n v="120000"/>
  </r>
  <r>
    <x v="0"/>
    <x v="1"/>
    <x v="1"/>
    <x v="1"/>
    <x v="1"/>
    <x v="6"/>
    <x v="14"/>
    <x v="1"/>
    <x v="13"/>
    <x v="1"/>
    <x v="20"/>
    <x v="10"/>
    <s v="CHAMDOR RED"/>
    <n v="123"/>
    <x v="4"/>
    <n v="3394800"/>
  </r>
  <r>
    <x v="0"/>
    <x v="1"/>
    <x v="1"/>
    <x v="1"/>
    <x v="1"/>
    <x v="6"/>
    <x v="14"/>
    <x v="1"/>
    <x v="13"/>
    <x v="1"/>
    <x v="20"/>
    <x v="10"/>
    <s v="4TH STREET RED 6X75CL"/>
    <n v="49"/>
    <x v="5"/>
    <n v="1058400"/>
  </r>
  <r>
    <x v="0"/>
    <x v="1"/>
    <x v="1"/>
    <x v="1"/>
    <x v="1"/>
    <x v="6"/>
    <x v="14"/>
    <x v="1"/>
    <x v="13"/>
    <x v="1"/>
    <x v="20"/>
    <x v="10"/>
    <s v="4TH STREET SPARKLING RED"/>
    <n v="6"/>
    <x v="3"/>
    <n v="140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A4E71A-9E16-42FF-94E6-93D486123ED8}" name="PivotTable3"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fieldListSortAscending="1">
  <location ref="A39:C67" firstHeaderRow="1" firstDataRow="2" firstDataCol="1"/>
  <pivotFields count="16">
    <pivotField showAll="0">
      <items count="3">
        <item h="1" m="1" x="1"/>
        <item x="0"/>
        <item t="default"/>
      </items>
    </pivotField>
    <pivotField showAll="0"/>
    <pivotField showAll="0">
      <items count="13">
        <item h="1" m="1" x="11"/>
        <item h="1" m="1" x="5"/>
        <item h="1" m="1" x="9"/>
        <item h="1" m="1" x="4"/>
        <item h="1" m="1" x="3"/>
        <item h="1" m="1" x="8"/>
        <item h="1" m="1" x="10"/>
        <item h="1" m="1" x="2"/>
        <item h="1" x="0"/>
        <item x="1"/>
        <item h="1" m="1" x="6"/>
        <item h="1" m="1" x="7"/>
        <item t="default"/>
      </items>
    </pivotField>
    <pivotField showAll="0"/>
    <pivotField axis="axisCol" showAll="0">
      <items count="6">
        <item x="0"/>
        <item x="1"/>
        <item x="2"/>
        <item x="3"/>
        <item x="4"/>
        <item t="default"/>
      </items>
    </pivotField>
    <pivotField showAll="0"/>
    <pivotField showAll="0"/>
    <pivotField showAll="0"/>
    <pivotField showAll="0"/>
    <pivotField showAll="0"/>
    <pivotField axis="axisRow" showAll="0">
      <items count="44">
        <item x="25"/>
        <item m="1" x="38"/>
        <item x="21"/>
        <item x="27"/>
        <item x="15"/>
        <item x="19"/>
        <item x="2"/>
        <item x="7"/>
        <item m="1" x="34"/>
        <item x="8"/>
        <item x="6"/>
        <item m="1" x="39"/>
        <item x="16"/>
        <item x="1"/>
        <item m="1" x="33"/>
        <item m="1" x="40"/>
        <item x="14"/>
        <item x="5"/>
        <item x="20"/>
        <item x="3"/>
        <item x="17"/>
        <item x="4"/>
        <item x="22"/>
        <item x="24"/>
        <item x="23"/>
        <item m="1" x="35"/>
        <item x="9"/>
        <item m="1" x="41"/>
        <item x="0"/>
        <item m="1" x="30"/>
        <item m="1" x="42"/>
        <item x="13"/>
        <item x="18"/>
        <item x="12"/>
        <item x="11"/>
        <item m="1" x="32"/>
        <item m="1" x="29"/>
        <item m="1" x="36"/>
        <item m="1" x="31"/>
        <item m="1" x="37"/>
        <item x="10"/>
        <item x="28"/>
        <item x="26"/>
        <item t="default"/>
      </items>
    </pivotField>
    <pivotField showAll="0"/>
    <pivotField showAll="0"/>
    <pivotField showAll="0"/>
    <pivotField showAll="0"/>
    <pivotField dataField="1" showAll="0"/>
  </pivotFields>
  <rowFields count="1">
    <field x="10"/>
  </rowFields>
  <rowItems count="27">
    <i>
      <x/>
    </i>
    <i>
      <x v="2"/>
    </i>
    <i>
      <x v="3"/>
    </i>
    <i>
      <x v="4"/>
    </i>
    <i>
      <x v="5"/>
    </i>
    <i>
      <x v="6"/>
    </i>
    <i>
      <x v="7"/>
    </i>
    <i>
      <x v="9"/>
    </i>
    <i>
      <x v="10"/>
    </i>
    <i>
      <x v="12"/>
    </i>
    <i>
      <x v="13"/>
    </i>
    <i>
      <x v="16"/>
    </i>
    <i>
      <x v="17"/>
    </i>
    <i>
      <x v="18"/>
    </i>
    <i>
      <x v="19"/>
    </i>
    <i>
      <x v="20"/>
    </i>
    <i>
      <x v="21"/>
    </i>
    <i>
      <x v="22"/>
    </i>
    <i>
      <x v="23"/>
    </i>
    <i>
      <x v="24"/>
    </i>
    <i>
      <x v="26"/>
    </i>
    <i>
      <x v="28"/>
    </i>
    <i>
      <x v="31"/>
    </i>
    <i>
      <x v="32"/>
    </i>
    <i>
      <x v="34"/>
    </i>
    <i>
      <x v="41"/>
    </i>
    <i>
      <x v="42"/>
    </i>
  </rowItems>
  <colFields count="1">
    <field x="4"/>
  </colFields>
  <colItems count="2">
    <i>
      <x/>
    </i>
    <i>
      <x v="1"/>
    </i>
  </colItems>
  <dataFields count="1">
    <dataField name="Sum of Valu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D8C342-DEBD-48D8-A74C-3CD639E977ED}" name="PivotTable1"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fieldListSortAscending="1">
  <location ref="A1:C29" firstHeaderRow="1" firstDataRow="2" firstDataCol="1"/>
  <pivotFields count="16">
    <pivotField showAll="0">
      <items count="3">
        <item h="1" m="1" x="1"/>
        <item x="0"/>
        <item t="default"/>
      </items>
    </pivotField>
    <pivotField showAll="0"/>
    <pivotField showAll="0">
      <items count="13">
        <item h="1" m="1" x="11"/>
        <item h="1" m="1" x="5"/>
        <item h="1" m="1" x="9"/>
        <item h="1" m="1" x="4"/>
        <item h="1" m="1" x="3"/>
        <item h="1" m="1" x="8"/>
        <item h="1" m="1" x="10"/>
        <item h="1" m="1" x="2"/>
        <item h="1" x="0"/>
        <item x="1"/>
        <item h="1" m="1" x="6"/>
        <item h="1" m="1" x="7"/>
        <item t="default"/>
      </items>
    </pivotField>
    <pivotField showAll="0"/>
    <pivotField axis="axisCol" showAll="0">
      <items count="6">
        <item x="0"/>
        <item x="1"/>
        <item x="2"/>
        <item x="3"/>
        <item x="4"/>
        <item t="default"/>
      </items>
    </pivotField>
    <pivotField showAll="0"/>
    <pivotField showAll="0"/>
    <pivotField showAll="0"/>
    <pivotField showAll="0"/>
    <pivotField showAll="0"/>
    <pivotField axis="axisRow" showAll="0">
      <items count="44">
        <item x="25"/>
        <item m="1" x="38"/>
        <item x="21"/>
        <item x="27"/>
        <item x="15"/>
        <item x="19"/>
        <item x="2"/>
        <item x="7"/>
        <item m="1" x="34"/>
        <item x="8"/>
        <item x="6"/>
        <item m="1" x="39"/>
        <item x="16"/>
        <item x="1"/>
        <item m="1" x="33"/>
        <item m="1" x="40"/>
        <item x="14"/>
        <item x="5"/>
        <item x="20"/>
        <item x="3"/>
        <item x="17"/>
        <item x="4"/>
        <item x="22"/>
        <item x="24"/>
        <item x="23"/>
        <item m="1" x="35"/>
        <item x="9"/>
        <item m="1" x="41"/>
        <item x="0"/>
        <item m="1" x="30"/>
        <item m="1" x="42"/>
        <item x="13"/>
        <item x="18"/>
        <item x="12"/>
        <item x="11"/>
        <item m="1" x="32"/>
        <item m="1" x="29"/>
        <item m="1" x="36"/>
        <item m="1" x="31"/>
        <item m="1" x="37"/>
        <item x="10"/>
        <item x="28"/>
        <item x="26"/>
        <item t="default"/>
      </items>
    </pivotField>
    <pivotField showAll="0"/>
    <pivotField showAll="0"/>
    <pivotField dataField="1" showAll="0"/>
    <pivotField showAll="0"/>
    <pivotField showAll="0"/>
  </pivotFields>
  <rowFields count="1">
    <field x="10"/>
  </rowFields>
  <rowItems count="27">
    <i>
      <x/>
    </i>
    <i>
      <x v="2"/>
    </i>
    <i>
      <x v="3"/>
    </i>
    <i>
      <x v="4"/>
    </i>
    <i>
      <x v="5"/>
    </i>
    <i>
      <x v="6"/>
    </i>
    <i>
      <x v="7"/>
    </i>
    <i>
      <x v="9"/>
    </i>
    <i>
      <x v="10"/>
    </i>
    <i>
      <x v="12"/>
    </i>
    <i>
      <x v="13"/>
    </i>
    <i>
      <x v="16"/>
    </i>
    <i>
      <x v="17"/>
    </i>
    <i>
      <x v="18"/>
    </i>
    <i>
      <x v="19"/>
    </i>
    <i>
      <x v="20"/>
    </i>
    <i>
      <x v="21"/>
    </i>
    <i>
      <x v="22"/>
    </i>
    <i>
      <x v="23"/>
    </i>
    <i>
      <x v="24"/>
    </i>
    <i>
      <x v="26"/>
    </i>
    <i>
      <x v="28"/>
    </i>
    <i>
      <x v="31"/>
    </i>
    <i>
      <x v="32"/>
    </i>
    <i>
      <x v="34"/>
    </i>
    <i>
      <x v="41"/>
    </i>
    <i>
      <x v="42"/>
    </i>
  </rowItems>
  <colFields count="1">
    <field x="4"/>
  </colFields>
  <colItems count="2">
    <i>
      <x/>
    </i>
    <i>
      <x v="1"/>
    </i>
  </colItems>
  <dataFields count="1">
    <dataField name="Sum of QTY"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DB4BEA-4D0C-4FDB-BFAA-5C2A8D46470D}" name="PivotTable2"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fieldListSortAscending="1">
  <location ref="I15:M21" firstHeaderRow="1" firstDataRow="3" firstDataCol="1"/>
  <pivotFields count="16">
    <pivotField showAll="0">
      <items count="3">
        <item h="1" m="1" x="1"/>
        <item x="0"/>
        <item t="default"/>
      </items>
    </pivotField>
    <pivotField showAll="0"/>
    <pivotField showAll="0">
      <items count="13">
        <item h="1" m="1" x="11"/>
        <item h="1" m="1" x="5"/>
        <item h="1" m="1" x="9"/>
        <item h="1" m="1" x="4"/>
        <item h="1" m="1" x="3"/>
        <item h="1" m="1" x="8"/>
        <item h="1" m="1" x="10"/>
        <item h="1" m="1" x="2"/>
        <item h="1" x="0"/>
        <item x="1"/>
        <item h="1" m="1" x="6"/>
        <item h="1" m="1" x="7"/>
        <item t="default"/>
      </items>
    </pivotField>
    <pivotField showAll="0"/>
    <pivotField axis="axisCol" showAll="0">
      <items count="6">
        <item x="0"/>
        <item x="1"/>
        <item x="2"/>
        <item x="3"/>
        <item x="4"/>
        <item t="default"/>
      </items>
    </pivotField>
    <pivotField showAll="0"/>
    <pivotField showAll="0"/>
    <pivotField axis="axisRow" showAll="0">
      <items count="5">
        <item x="2"/>
        <item x="3"/>
        <item x="0"/>
        <item x="1"/>
        <item t="default"/>
      </items>
    </pivotField>
    <pivotField showAll="0"/>
    <pivotField showAll="0"/>
    <pivotField showAll="0"/>
    <pivotField showAll="0"/>
    <pivotField showAll="0"/>
    <pivotField dataField="1" showAll="0"/>
    <pivotField showAll="0"/>
    <pivotField dataField="1" showAll="0"/>
  </pivotFields>
  <rowFields count="1">
    <field x="7"/>
  </rowFields>
  <rowItems count="4">
    <i>
      <x/>
    </i>
    <i>
      <x v="1"/>
    </i>
    <i>
      <x v="2"/>
    </i>
    <i>
      <x v="3"/>
    </i>
  </rowItems>
  <colFields count="2">
    <field x="4"/>
    <field x="-2"/>
  </colFields>
  <colItems count="4">
    <i>
      <x/>
      <x/>
    </i>
    <i r="1" i="1">
      <x v="1"/>
    </i>
    <i>
      <x v="1"/>
      <x/>
    </i>
    <i r="1" i="1">
      <x v="1"/>
    </i>
  </colItems>
  <dataFields count="2">
    <dataField name="Cases" fld="13" baseField="0" baseItem="0"/>
    <dataField name="Amount" fld="15" baseField="0" baseItem="0"/>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65A0668-88B5-4EAB-9535-C46579B1E935}" sourceName="Month">
  <pivotTables>
    <pivotTable tabId="49" name="PivotTable1"/>
    <pivotTable tabId="49" name="PivotTable3"/>
    <pivotTable tabId="49" name="PivotTable2"/>
  </pivotTables>
  <data>
    <tabular pivotCacheId="1187185561">
      <items count="12">
        <i x="0"/>
        <i x="1" s="1"/>
        <i x="11" nd="1"/>
        <i x="5" nd="1"/>
        <i x="9" nd="1"/>
        <i x="4" nd="1"/>
        <i x="3" nd="1"/>
        <i x="8" nd="1"/>
        <i x="10" nd="1"/>
        <i x="2" nd="1"/>
        <i x="6" nd="1"/>
        <i x="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08194A5-50F6-41CD-9161-0B176EBFA3AB}" sourceName="Year">
  <pivotTables>
    <pivotTable tabId="49" name="PivotTable1"/>
    <pivotTable tabId="49" name="PivotTable3"/>
    <pivotTable tabId="49" name="PivotTable2"/>
  </pivotTables>
  <data>
    <tabular pivotCacheId="1187185561">
      <items count="2">
        <i x="0" s="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B0F84A6-07B9-477E-AD0B-5BCA017AEF26}" cache="Slicer_Month" caption="Month" rowHeight="241300"/>
  <slicer name="Year" xr10:uid="{B1C16C65-FD59-4EDA-B648-7287E05E8EB9}"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28E5A29-2372-428B-83A9-F06599DE6E6D}" name="OMSR_Value" displayName="OMSR_Value" ref="A2:O15" totalsRowCount="1" headerRowDxfId="138" headerRowCellStyle="Comma 4">
  <autoFilter ref="A2:O14" xr:uid="{4D1B8C1E-F598-43AF-914C-675398EE93DA}"/>
  <sortState ref="A3:O14">
    <sortCondition ref="O2:O14"/>
  </sortState>
  <tableColumns count="15">
    <tableColumn id="1" xr3:uid="{C90D17F8-D863-42D0-9AA3-AEEAD60FF500}" name="Account Name" totalsRowLabel="Total" dataDxfId="137" totalsRowDxfId="136"/>
    <tableColumn id="2" xr3:uid="{D6F7A145-C008-40DC-99C2-499C3198DC16}" name="Region" dataDxfId="135" totalsRowDxfId="134"/>
    <tableColumn id="3" xr3:uid="{0D70296A-2240-4F84-B261-357E0BDAF821}" name="Territory" dataDxfId="133" totalsRowDxfId="132"/>
    <tableColumn id="4" xr3:uid="{8717BF7A-21C1-4180-BA61-6AD201DF5A54}" name="Channel" dataDxfId="131" totalsRowDxfId="130"/>
    <tableColumn id="5" xr3:uid="{D7256DF0-6274-4DD8-9022-F54932BE6180}" name="Name" dataDxfId="129" totalsRowDxfId="128"/>
    <tableColumn id="6" xr3:uid="{F1A2F013-C00D-49B4-903E-460ABB6F1B03}" name="Manager" dataDxfId="127" totalsRowDxfId="126"/>
    <tableColumn id="8" xr3:uid="{D9A6BE34-B58E-451B-B3B5-D2E508B08D6B}" name="Week 1" totalsRowFunction="sum" dataDxfId="125" totalsRowDxfId="124">
      <calculatedColumnFormula>IFERROR(INDEX('Pivot table'!$B$3:$F$31,MATCH($E3,'Pivot table'!$A$3:$A$31,0),MATCH(G$2,'Pivot table'!$B$2:$F$2,0)),0)</calculatedColumnFormula>
    </tableColumn>
    <tableColumn id="10" xr3:uid="{6F8B686B-C812-460B-91E6-0FC6DDB5D144}" name="Week 2" totalsRowFunction="sum" dataDxfId="123" totalsRowDxfId="122">
      <calculatedColumnFormula>IFERROR(INDEX('Pivot table'!$B$41:$F$69,MATCH($E3,'Pivot table'!$A$3:$A$31,0),MATCH(H$2,'Pivot table'!$B$2:$F$2,0)),0)</calculatedColumnFormula>
    </tableColumn>
    <tableColumn id="12" xr3:uid="{C6275433-2986-4719-A5C6-1AA34521E9BC}" name="Week 3" totalsRowFunction="sum" dataDxfId="121" totalsRowDxfId="120">
      <calculatedColumnFormula>IFERROR(INDEX('Pivot table'!$B$41:$F$69,MATCH($E3,'Pivot table'!$A$3:$A$31,0),MATCH(I$2,'Pivot table'!$B$2:$F$2,0)),0)</calculatedColumnFormula>
    </tableColumn>
    <tableColumn id="14" xr3:uid="{F91D7AF4-E9B8-4F2D-BF73-A14687B6375B}" name="Week 4" totalsRowFunction="sum" dataDxfId="119" totalsRowDxfId="118">
      <calculatedColumnFormula>IFERROR(INDEX('Pivot table'!$B$41:$F$69,MATCH($E3,'Pivot table'!$A$3:$A$31,0),MATCH(J$2,'Pivot table'!$B$2:$F$2,0)),0)</calculatedColumnFormula>
    </tableColumn>
    <tableColumn id="16" xr3:uid="{9B33463A-2FA8-4BCB-A79B-8547964C9063}" name="Week 5" totalsRowFunction="sum" dataDxfId="117" totalsRowDxfId="116">
      <calculatedColumnFormula>IFERROR(INDEX('Pivot table'!$B$41:$F$69,MATCH($E3,'Pivot table'!$A$3:$A$31,0),MATCH(K$2,'Pivot table'!$B$2:$F$2,0)),0)</calculatedColumnFormula>
    </tableColumn>
    <tableColumn id="19" xr3:uid="{37BB38BA-B81D-44D3-B65D-89B2FCFECE94}" name="Total" totalsRowFunction="sum" dataDxfId="115" totalsRowDxfId="114">
      <calculatedColumnFormula>SUM(OMSR_Value[[#This Row],[Week 1]:[Week 5]])</calculatedColumnFormula>
    </tableColumn>
    <tableColumn id="20" xr3:uid="{C5618BAE-2329-4BE4-9B1B-3F6801DEA579}" name="MTH TGT" totalsRowFunction="sum" dataDxfId="113" totalsRowDxfId="112">
      <calculatedColumnFormula>SUMIF(Table3[Column1],OMSR_Value[[#This Row],[Territory]]&amp;OMSR_Value[[#This Row],[Name]],Table3[Value TGT])</calculatedColumnFormula>
    </tableColumn>
    <tableColumn id="21" xr3:uid="{9D15BB0D-BEEB-4EA9-A396-5A4556CFBF73}" name="% Achivd" totalsRowFunction="custom" dataDxfId="111" totalsRowDxfId="110" dataCellStyle="Percent">
      <calculatedColumnFormula>IFERROR(OMSR_Value[[#This Row],[Total]]/OMSR_Value[[#This Row],[MTH TGT]],0)</calculatedColumnFormula>
      <totalsRowFormula>OMSR_Value[[#Totals],[Total]]/OMSR_Value[[#Totals],[MTH TGT]]</totalsRowFormula>
    </tableColumn>
    <tableColumn id="22" xr3:uid="{E6913B57-B14F-4AB2-8F36-69AF7F5F5039}" name="Rank" dataDxfId="109" totalsRowDxfId="108" dataCellStyle="Comma">
      <calculatedColumnFormula>_xlfn.RANK.AVG(OMSR_Value[[#This Row],[% Achivd]],OMSR_Value[% Achivd],0)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C200F1-B11E-4A03-ACCD-951CE222CDFE}" name="VSR_Value" displayName="VSR_Value" ref="A19:O42" totalsRowCount="1" headerRowDxfId="107" dataDxfId="106" headerRowCellStyle="Comma 4">
  <autoFilter ref="A19:O41" xr:uid="{7088657C-AF21-411E-A77C-2628931C165A}"/>
  <sortState ref="A20:O41">
    <sortCondition ref="O19:O41"/>
  </sortState>
  <tableColumns count="15">
    <tableColumn id="1" xr3:uid="{C17375AC-CD56-4FA4-8E53-C988312737E2}" name="Account Name" totalsRowLabel="Total" dataDxfId="105" totalsRowDxfId="104"/>
    <tableColumn id="2" xr3:uid="{42293597-2667-4D26-9030-D0E50BAF739D}" name="Region" dataDxfId="103" totalsRowDxfId="102"/>
    <tableColumn id="3" xr3:uid="{5336AAB6-C527-4DC8-8315-15CF53EE5597}" name="Territory" dataDxfId="101" totalsRowDxfId="100"/>
    <tableColumn id="4" xr3:uid="{C0F24BBD-CC7E-44A3-9E67-8A6E5CC2FBCF}" name="Channel" dataDxfId="99" totalsRowDxfId="98"/>
    <tableColumn id="5" xr3:uid="{DA20CCFD-6740-4508-B94A-7C39608DE730}" name="Name" dataDxfId="97" totalsRowDxfId="96"/>
    <tableColumn id="6" xr3:uid="{A3B7BCFE-2C8A-4425-BEB9-ABFF4EE38EB4}" name="Manager" dataDxfId="95" totalsRowDxfId="94"/>
    <tableColumn id="8" xr3:uid="{F0E04117-7E27-4CB9-8DAD-25C27DA974D7}" name="Week 1" totalsRowFunction="sum" dataDxfId="93" totalsRowDxfId="92">
      <calculatedColumnFormula>IFERROR(INDEX('Pivot table'!$B$41:$F$72,MATCH($E20,'Pivot table'!$A$41:$A$72,0),MATCH(G$2,'Pivot table'!$B$2:$F$2,0)),0)</calculatedColumnFormula>
    </tableColumn>
    <tableColumn id="10" xr3:uid="{2403793B-D6E3-453B-BA94-C615AC01FCBC}" name="Week 2" totalsRowFunction="sum" dataDxfId="91" totalsRowDxfId="90">
      <calculatedColumnFormula>IFERROR(INDEX('Pivot table'!$B$41:$F$72,MATCH($E20,'Pivot table'!$A$41:$A$72,0),MATCH(H$2,'Pivot table'!$B$2:$F$2,0)),0)</calculatedColumnFormula>
    </tableColumn>
    <tableColumn id="12" xr3:uid="{A102051D-9568-4D5A-8C01-F3F50F3AA9B3}" name="Week 3" totalsRowFunction="sum" dataDxfId="89" totalsRowDxfId="88">
      <calculatedColumnFormula>IFERROR(INDEX('Pivot table'!$B$41:$F$72,MATCH($E20,'Pivot table'!$A$41:$A$72,0),MATCH(I$2,'Pivot table'!$B$2:$F$2,0)),0)</calculatedColumnFormula>
    </tableColumn>
    <tableColumn id="14" xr3:uid="{2D20DC42-159D-42A7-8FBB-3B8BA3F65CF8}" name="Week 4" totalsRowFunction="sum" dataDxfId="87" totalsRowDxfId="86">
      <calculatedColumnFormula>IFERROR(INDEX('Pivot table'!$B$41:$F$72,MATCH($E20,'Pivot table'!$A$41:$A$72,0),MATCH(J$2,'Pivot table'!$B$2:$F$2,0)),0)</calculatedColumnFormula>
    </tableColumn>
    <tableColumn id="16" xr3:uid="{BD6BC998-EEFD-4FF6-9227-C60269EA6E49}" name="Week 5" totalsRowFunction="sum" dataDxfId="85" totalsRowDxfId="84">
      <calculatedColumnFormula>IFERROR(INDEX('Pivot table'!$B$41:$F$71,MATCH($E20,'Pivot table'!$A$41:$A$71,0),MATCH(K$2,'Pivot table'!$B$2:$F$2,0)),0)</calculatedColumnFormula>
    </tableColumn>
    <tableColumn id="18" xr3:uid="{F154C631-6207-4788-923E-18E2F241AD5D}" name="Total" totalsRowFunction="sum" dataDxfId="83" totalsRowDxfId="82">
      <calculatedColumnFormula>VSR_Value[[#This Row],[Week 1]]+VSR_Value[[#This Row],[Week 2]]+VSR_Value[[#This Row],[Week 3]]+VSR_Value[[#This Row],[Week 4]]+VSR_Value[[#This Row],[Week 5]]</calculatedColumnFormula>
    </tableColumn>
    <tableColumn id="19" xr3:uid="{033B6EDB-112E-4975-AD66-F8C81024CC5B}" name="MTH TGT" totalsRowFunction="sum" dataDxfId="81" totalsRowDxfId="80">
      <calculatedColumnFormula>SUMIF(Table3[Column1],VSR_Value[[#This Row],[Territory]]&amp;VSR_Value[[#This Row],[Name]],Table3[Value TGT])</calculatedColumnFormula>
    </tableColumn>
    <tableColumn id="20" xr3:uid="{36069F39-7973-4493-80A0-8840FD4E7699}" name="% Achivd" totalsRowFunction="custom" dataDxfId="79" totalsRowDxfId="78" dataCellStyle="Percent">
      <calculatedColumnFormula>IFERROR(VSR_Value[[#This Row],[Total]]/VSR_Value[[#This Row],[MTH TGT]],0)</calculatedColumnFormula>
      <totalsRowFormula>VSR_Value[[#Totals],[Total]]/VSR_Value[[#Totals],[MTH TGT]]</totalsRowFormula>
    </tableColumn>
    <tableColumn id="21" xr3:uid="{0A0DE951-AA89-458E-A379-B1D5BA21C75E}" name="Rank" dataDxfId="77" totalsRowDxfId="76" dataCellStyle="Comma">
      <calculatedColumnFormula>_xlfn.RANK.AVG(VSR_Value[[#This Row],[% Achivd]],VSR_Value[% Achivd],0)</calculatedColumnFormula>
    </tableColumn>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24D017-C5B2-4243-B22D-CE6CAE30522C}" name="OMSR_Case" displayName="OMSR_Case" ref="A2:O15" totalsRowCount="1" headerRowDxfId="75" headerRowCellStyle="Comma 4">
  <autoFilter ref="A2:O14" xr:uid="{4D1B8C1E-F598-43AF-914C-675398EE93DA}"/>
  <sortState ref="A3:O14">
    <sortCondition ref="O2:O14"/>
  </sortState>
  <tableColumns count="15">
    <tableColumn id="1" xr3:uid="{22394B01-0B02-4E92-A3C5-653648B1DDE4}" name="Account Name" totalsRowLabel="Total" dataDxfId="74" totalsRowDxfId="73"/>
    <tableColumn id="2" xr3:uid="{0DEC2AA0-1E9E-4AD9-9438-6B295113E018}" name="Region" dataDxfId="72" totalsRowDxfId="71"/>
    <tableColumn id="3" xr3:uid="{1FC78FF8-1DD7-4F4C-9163-5E123765679A}" name="Territory" dataDxfId="70" totalsRowDxfId="69"/>
    <tableColumn id="4" xr3:uid="{8EFA9EE2-64A6-4B3D-A268-9788ECA6EF3C}" name="Channel" dataDxfId="68" totalsRowDxfId="67"/>
    <tableColumn id="5" xr3:uid="{24BC9DAB-A08D-40C7-A698-2BD32EA13C54}" name="Name" dataDxfId="66" totalsRowDxfId="65"/>
    <tableColumn id="6" xr3:uid="{A9F97D92-2A54-428F-98B0-F5A7241E1A99}" name="Manager" dataDxfId="64" totalsRowDxfId="63"/>
    <tableColumn id="7" xr3:uid="{B3253121-DF93-4954-8DEF-CC1077F7D014}" name="Week 1" totalsRowFunction="custom" dataDxfId="62" totalsRowDxfId="61">
      <calculatedColumnFormula>IFERROR(INDEX('Pivot table'!$B$3:$F$31,MATCH($E3,'Pivot table'!$A$3:$A$31,0),MATCH(G$2,'Pivot table'!$B$2:$F$2,0)),0)</calculatedColumnFormula>
      <totalsRowFormula>SUM(OMSR_Case[Week 1])</totalsRowFormula>
    </tableColumn>
    <tableColumn id="9" xr3:uid="{3E5C3C8E-308E-4F62-ABE3-EC1BD6231309}" name="Week 2" totalsRowFunction="sum" dataDxfId="60" totalsRowDxfId="59">
      <calculatedColumnFormula>IFERROR(INDEX('Pivot table'!$B$3:$F$31,MATCH($E3,'Pivot table'!$A$3:$A$31,0),MATCH(H$2,'Pivot table'!$B$2:$F$2,0)),0)</calculatedColumnFormula>
    </tableColumn>
    <tableColumn id="11" xr3:uid="{B7B2B21D-90CA-4145-AA30-590A496814FE}" name="Week 3" totalsRowFunction="sum" dataDxfId="58" totalsRowDxfId="57">
      <calculatedColumnFormula>IFERROR(INDEX('Pivot table'!$B$3:$F$31,MATCH($E3,'Pivot table'!$A$3:$A$31,0),MATCH(I$2,'Pivot table'!$B$2:$F$2,0)),0)</calculatedColumnFormula>
    </tableColumn>
    <tableColumn id="13" xr3:uid="{4807EB26-38FE-4A3A-8CA5-169638D6D7CC}" name="Week 4" totalsRowFunction="sum" dataDxfId="56" totalsRowDxfId="55">
      <calculatedColumnFormula>IFERROR(INDEX('Pivot table'!$B$3:$F$31,MATCH($E3,'Pivot table'!$A$3:$A$31,0),MATCH(J$2,'Pivot table'!$B$2:$F$2,0)),0)</calculatedColumnFormula>
    </tableColumn>
    <tableColumn id="15" xr3:uid="{207FE6DF-D113-4A37-8C01-F5FF03F7DC4E}" name="Week 5" totalsRowFunction="sum" dataDxfId="54" totalsRowDxfId="53">
      <calculatedColumnFormula>IFERROR(INDEX('Pivot table'!$B$3:$F$31,MATCH($E3,'Pivot table'!$A$3:$A$31,0),MATCH(K$2,'Pivot table'!$B$2:$F$2,0)),0)</calculatedColumnFormula>
    </tableColumn>
    <tableColumn id="17" xr3:uid="{28886229-0736-4A02-9F05-BB330206B321}" name="Total cases" totalsRowFunction="sum" dataDxfId="52" totalsRowDxfId="51">
      <calculatedColumnFormula>OMSR_Case[[#This Row],[Week 1]]+OMSR_Case[[#This Row],[Week 2]]+OMSR_Case[[#This Row],[Week 3]]+OMSR_Case[[#This Row],[Week 4]]+OMSR_Case[[#This Row],[Week 5]]</calculatedColumnFormula>
    </tableColumn>
    <tableColumn id="20" xr3:uid="{7F49B01A-473C-43CB-AC95-8E01011097EE}" name="MTH TGT" totalsRowFunction="sum" dataDxfId="50" totalsRowDxfId="49">
      <calculatedColumnFormula>SUMIF(Table3[Column1],OMSR_Case[[#This Row],[Territory]]&amp;OMSR_Case[[#This Row],[Name]],Table3[Cases TGT])</calculatedColumnFormula>
    </tableColumn>
    <tableColumn id="21" xr3:uid="{E5822FFB-BA61-4846-98F6-505D979DE4E0}" name="% Achieved" totalsRowFunction="custom" dataDxfId="48" totalsRowDxfId="47" dataCellStyle="Percent">
      <calculatedColumnFormula>IFERROR(OMSR_Case[[#This Row],[Total cases]]/OMSR_Case[[#This Row],[MTH TGT]],0)</calculatedColumnFormula>
      <totalsRowFormula>OMSR_Case[[#Totals],[Total cases]]/OMSR_Case[[#Totals],[MTH TGT]]</totalsRowFormula>
    </tableColumn>
    <tableColumn id="22" xr3:uid="{A61BAD36-8C76-472D-A044-646E4DD5F0A9}" name="Rank" dataDxfId="46" totalsRowDxfId="45" dataCellStyle="Comma">
      <calculatedColumnFormula>_xlfn.RANK.AVG(OMSR_Case[[#This Row],[% Achieved]],OMSR_Case[% Achieved],0)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C64F2B-3447-4073-8582-8347AA3DDE0E}" name="VSR_Case" displayName="VSR_Case" ref="A19:O42" totalsRowCount="1" headerRowDxfId="44" dataDxfId="43" headerRowCellStyle="Comma 4">
  <autoFilter ref="A19:O41" xr:uid="{7088657C-AF21-411E-A77C-2628931C165A}"/>
  <sortState ref="A20:O41">
    <sortCondition ref="O19:O41"/>
  </sortState>
  <tableColumns count="15">
    <tableColumn id="1" xr3:uid="{89959745-F503-4BB4-A7F7-1C032BF3FF71}" name="Account Name" totalsRowLabel="Total" dataDxfId="42" totalsRowDxfId="41"/>
    <tableColumn id="2" xr3:uid="{5878FC73-5005-4393-A96F-41F2F3194ABE}" name="Region" dataDxfId="40" totalsRowDxfId="39"/>
    <tableColumn id="3" xr3:uid="{A946F356-E2FC-4EAF-AED5-9970F8B9892B}" name="Territory" dataDxfId="38" totalsRowDxfId="37"/>
    <tableColumn id="4" xr3:uid="{AF150EAC-D602-4873-97E6-C07D1BCF3977}" name="Channel" dataDxfId="36" totalsRowDxfId="35"/>
    <tableColumn id="5" xr3:uid="{D65C2075-E630-4A04-8C7A-74C07BEA5A7B}" name="Name" dataDxfId="34" totalsRowDxfId="33"/>
    <tableColumn id="6" xr3:uid="{FD8809E0-6681-4107-BF74-01013EB69304}" name="Manager" dataDxfId="32" totalsRowDxfId="31"/>
    <tableColumn id="7" xr3:uid="{CE6D1B6D-9E2F-42C3-96F7-E2A782B37ED9}" name="Week 1" totalsRowFunction="sum" dataDxfId="30" totalsRowDxfId="29">
      <calculatedColumnFormula>IFERROR(INDEX('Pivot table'!$B$3:$F$34,MATCH($E20,'Pivot table'!$A$3:$A$34,0),MATCH(G$19,'Pivot table'!$B$2:$F$2,0)),0)</calculatedColumnFormula>
    </tableColumn>
    <tableColumn id="9" xr3:uid="{84E60D9B-19D6-445C-A802-99708E5F626E}" name="Week 2" totalsRowFunction="sum" dataDxfId="28" totalsRowDxfId="27">
      <calculatedColumnFormula>IFERROR(INDEX('Pivot table'!$B$3:$F$34,MATCH($E20,'Pivot table'!$A$3:$A$34,0),MATCH(H$19,'Pivot table'!$B$2:$F$2,0)),0)</calculatedColumnFormula>
    </tableColumn>
    <tableColumn id="11" xr3:uid="{022ECE18-43DE-4A79-8A48-FD97004A6E09}" name="Week 3" totalsRowFunction="sum" dataDxfId="26" totalsRowDxfId="25">
      <calculatedColumnFormula>IFERROR(INDEX('Pivot table'!$B$3:$F$34,MATCH($E20,'Pivot table'!$A$3:$A$34,0),MATCH(I$19,'Pivot table'!$B$2:$F$2,0)),0)</calculatedColumnFormula>
    </tableColumn>
    <tableColumn id="13" xr3:uid="{BA8C2E99-A65F-43E8-93F4-CFF1C59E5D6D}" name="Week 4" totalsRowFunction="sum" dataDxfId="24" totalsRowDxfId="23">
      <calculatedColumnFormula>IFERROR(INDEX('Pivot table'!$B$3:$F$34,MATCH($E20,'Pivot table'!$A$3:$A$34,0),MATCH(J$19,'Pivot table'!$B$2:$F$2,0)),0)</calculatedColumnFormula>
    </tableColumn>
    <tableColumn id="15" xr3:uid="{A0770E1F-4A1F-49FD-AEA1-6D7C7A27C5FC}" name="Week 5" totalsRowFunction="sum" dataDxfId="22" totalsRowDxfId="21">
      <calculatedColumnFormula>IFERROR(INDEX('Pivot table'!$B$3:$F$33,MATCH($E20,'Pivot table'!$A$3:$A$33,0),MATCH(K$19,'Pivot table'!$B$2:$F$2,0)),0)</calculatedColumnFormula>
    </tableColumn>
    <tableColumn id="17" xr3:uid="{6B80F288-635F-41D4-81B0-15161C04E55A}" name="Total cases" totalsRowFunction="sum" dataDxfId="20" totalsRowDxfId="19">
      <calculatedColumnFormula>VSR_Case[[#This Row],[Week 1]]+VSR_Case[[#This Row],[Week 2]]+VSR_Case[[#This Row],[Week 3]]+VSR_Case[[#This Row],[Week 4]]+VSR_Case[[#This Row],[Week 5]]</calculatedColumnFormula>
    </tableColumn>
    <tableColumn id="19" xr3:uid="{5FC9FB5C-E7D6-4961-9EE5-AB1D992C6705}" name="MTH TGT" totalsRowFunction="sum" dataDxfId="18" totalsRowDxfId="17">
      <calculatedColumnFormula>SUMIF(Table3[Column1],VSR_Case[[#This Row],[Territory]]&amp;VSR_Case[[#This Row],[Name]],Table3[Cases TGT])</calculatedColumnFormula>
    </tableColumn>
    <tableColumn id="20" xr3:uid="{1220E3FF-0B22-4066-AE58-E72AAC551A75}" name="% Achieved" totalsRowFunction="custom" dataDxfId="16" totalsRowDxfId="15" dataCellStyle="Percent">
      <calculatedColumnFormula>IFERROR(VSR_Case[[#This Row],[Total cases]]/VSR_Case[[#This Row],[MTH TGT]],0)</calculatedColumnFormula>
      <totalsRowFormula>VSR_Case[[#Totals],[Total cases]]/VSR_Case[[#Totals],[MTH TGT]]</totalsRowFormula>
    </tableColumn>
    <tableColumn id="21" xr3:uid="{51D9C15B-1F4E-45DE-8F35-CB35CF80F3A3}" name="Rank" dataDxfId="14" totalsRowDxfId="13" dataCellStyle="Comma">
      <calculatedColumnFormula>_xlfn.RANK.AVG(VSR_Case[[#This Row],[% Achieved]],VSR_Case[% Achieved],0)</calculatedColumnFormula>
    </tableColumn>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827459-D72C-4719-9BD9-CC813D34178F}" name="Table3" displayName="Table3" ref="A1:I37" totalsRowShown="0" headerRowDxfId="11" dataDxfId="10" tableBorderDxfId="9">
  <autoFilter ref="A1:I37" xr:uid="{9279403A-63B0-4872-9F8F-76A4C199F468}"/>
  <tableColumns count="9">
    <tableColumn id="1" xr3:uid="{EA1A6AD7-6576-404F-B61D-92602F4B24B4}" name="Account Name" dataDxfId="8"/>
    <tableColumn id="2" xr3:uid="{D758B9BE-73A0-45DA-A11B-DDE7BBDD337D}" name="Region" dataDxfId="7"/>
    <tableColumn id="3" xr3:uid="{64728601-47F3-41F8-A526-5EF7A3F342B7}" name="Territory" dataDxfId="6"/>
    <tableColumn id="4" xr3:uid="{EF58341C-ADCC-4203-A1D8-D799F1F883D0}" name="Channel" dataDxfId="5"/>
    <tableColumn id="5" xr3:uid="{3A1CF7B9-C288-41D8-90CB-892F5AA29B17}" name="Name" dataDxfId="4"/>
    <tableColumn id="6" xr3:uid="{0A4C8914-DC9A-4F53-BA6C-D6F7E555A84E}" name="Manager" dataDxfId="3"/>
    <tableColumn id="7" xr3:uid="{ED938E5E-4252-4610-BC6B-C04E27BFA0DF}" name="Cases TGT" dataDxfId="2"/>
    <tableColumn id="8" xr3:uid="{6384CEC2-96BF-411F-8D5C-49945466292D}" name="Value TGT" dataDxfId="1" dataCellStyle="Comma"/>
    <tableColumn id="10" xr3:uid="{659638FD-EE7F-4FBF-B9BE-0494F1038762}" name="Column1" dataDxfId="0">
      <calculatedColumnFormula>Table3[[#This Row],[Territory]]&amp;Table3[[#This Row],[Name]]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4364F-5BC7-441C-AD55-966AD6B8D952}">
  <sheetPr codeName="Sheet9"/>
  <dimension ref="A1:U42"/>
  <sheetViews>
    <sheetView zoomScaleNormal="100" workbookViewId="0">
      <pane xSplit="6" ySplit="2" topLeftCell="J3" activePane="bottomRight" state="frozen"/>
      <selection pane="topRight" activeCell="G1" sqref="G1"/>
      <selection pane="bottomLeft" activeCell="A3" sqref="A3"/>
      <selection pane="bottomRight" activeCell="P6" sqref="P6"/>
    </sheetView>
  </sheetViews>
  <sheetFormatPr defaultRowHeight="15" customHeight="1" x14ac:dyDescent="0.25"/>
  <cols>
    <col min="1" max="1" width="14.42578125" bestFit="1" customWidth="1"/>
    <col min="2" max="2" width="10.42578125" bestFit="1" customWidth="1"/>
    <col min="3" max="3" width="12" bestFit="1" customWidth="1"/>
    <col min="4" max="4" width="11.85546875" bestFit="1" customWidth="1"/>
    <col min="5" max="5" width="23.7109375" bestFit="1" customWidth="1"/>
    <col min="6" max="6" width="16.42578125" bestFit="1" customWidth="1"/>
    <col min="7" max="11" width="12.5703125" bestFit="1" customWidth="1"/>
    <col min="12" max="13" width="14.28515625" bestFit="1" customWidth="1"/>
    <col min="14" max="14" width="11.5703125" bestFit="1" customWidth="1"/>
    <col min="15" max="15" width="9.5703125" bestFit="1" customWidth="1"/>
    <col min="16" max="16" width="11.42578125" bestFit="1" customWidth="1"/>
    <col min="17" max="17" width="14.85546875" bestFit="1" customWidth="1"/>
    <col min="18" max="18" width="14.28515625" bestFit="1" customWidth="1"/>
    <col min="19" max="19" width="14.140625" customWidth="1"/>
    <col min="20" max="20" width="10.140625" customWidth="1"/>
    <col min="21" max="21" width="9.5703125" bestFit="1" customWidth="1"/>
  </cols>
  <sheetData>
    <row r="1" spans="1:21" ht="21.75" thickBot="1" x14ac:dyDescent="0.4">
      <c r="A1" s="84" t="s">
        <v>60</v>
      </c>
      <c r="B1" s="84"/>
      <c r="C1" s="84"/>
      <c r="D1" s="84"/>
      <c r="E1" s="84"/>
      <c r="F1" s="84"/>
      <c r="G1" s="40"/>
      <c r="H1" s="40"/>
      <c r="I1" s="85"/>
      <c r="J1" s="85"/>
      <c r="K1" s="85"/>
      <c r="L1" s="85"/>
      <c r="M1" s="85"/>
      <c r="N1" s="85"/>
      <c r="O1" s="85"/>
      <c r="P1" s="85"/>
      <c r="Q1" s="83"/>
      <c r="R1" s="83"/>
      <c r="S1" s="83"/>
      <c r="T1" s="83"/>
      <c r="U1" s="17"/>
    </row>
    <row r="2" spans="1:21" ht="15.75" thickBot="1" x14ac:dyDescent="0.3">
      <c r="A2" s="11" t="s">
        <v>36</v>
      </c>
      <c r="B2" s="3" t="s">
        <v>0</v>
      </c>
      <c r="C2" s="3" t="s">
        <v>1</v>
      </c>
      <c r="D2" s="4" t="s">
        <v>22</v>
      </c>
      <c r="E2" s="11" t="s">
        <v>10</v>
      </c>
      <c r="F2" s="11" t="s">
        <v>35</v>
      </c>
      <c r="G2" s="37" t="s">
        <v>13</v>
      </c>
      <c r="H2" s="37" t="s">
        <v>14</v>
      </c>
      <c r="I2" s="37" t="s">
        <v>15</v>
      </c>
      <c r="J2" s="37" t="s">
        <v>16</v>
      </c>
      <c r="K2" s="37" t="s">
        <v>17</v>
      </c>
      <c r="L2" s="8" t="s">
        <v>11</v>
      </c>
      <c r="M2" s="8" t="s">
        <v>57</v>
      </c>
      <c r="N2" s="18" t="s">
        <v>72</v>
      </c>
      <c r="O2" s="15" t="s">
        <v>59</v>
      </c>
    </row>
    <row r="3" spans="1:21" ht="15.75" x14ac:dyDescent="0.3">
      <c r="A3" s="1" t="s">
        <v>54</v>
      </c>
      <c r="B3" s="2" t="s">
        <v>23</v>
      </c>
      <c r="C3" s="1" t="s">
        <v>19</v>
      </c>
      <c r="D3" s="1" t="s">
        <v>31</v>
      </c>
      <c r="E3" s="1" t="s">
        <v>97</v>
      </c>
      <c r="F3" s="1" t="s">
        <v>42</v>
      </c>
      <c r="G3" s="10">
        <f>IFERROR(INDEX('Pivot table'!$B$41:$F$69,MATCH($E3,'Pivot table'!$A$3:$A$31,0),MATCH(G$2,'Pivot table'!$B$2:$F$2,0)),0)</f>
        <v>15961200</v>
      </c>
      <c r="H3" s="10">
        <f>IFERROR(INDEX('Pivot table'!$B$41:$F$69,MATCH($E3,'Pivot table'!$A$3:$A$31,0),MATCH(H$2,'Pivot table'!$B$2:$F$2,0)),0)</f>
        <v>11741400</v>
      </c>
      <c r="I3" s="10">
        <f>IFERROR(INDEX('Pivot table'!$B$41:$F$69,MATCH($E3,'Pivot table'!$A$3:$A$31,0),MATCH(I$2,'Pivot table'!$B$2:$F$2,0)),0)</f>
        <v>0</v>
      </c>
      <c r="J3" s="10">
        <f>IFERROR(INDEX('Pivot table'!$B$41:$F$69,MATCH($E3,'Pivot table'!$A$3:$A$31,0),MATCH(J$2,'Pivot table'!$B$2:$F$2,0)),0)</f>
        <v>0</v>
      </c>
      <c r="K3" s="10">
        <f>IFERROR(INDEX('Pivot table'!$B$41:$F$69,MATCH($E3,'Pivot table'!$A$3:$A$31,0),MATCH(K$2,'Pivot table'!$B$2:$F$2,0)),0)</f>
        <v>0</v>
      </c>
      <c r="L3" s="33">
        <f>SUM(OMSR_Value[[#This Row],[Week 1]:[Week 5]])</f>
        <v>27702600</v>
      </c>
      <c r="M3" s="39">
        <f>SUMIF(Table3[Column1],OMSR_Value[[#This Row],[Territory]]&amp;OMSR_Value[[#This Row],[Name]],Table3[Value TGT])</f>
        <v>31500000</v>
      </c>
      <c r="N3" s="25">
        <f>IFERROR(OMSR_Value[[#This Row],[Total]]/OMSR_Value[[#This Row],[MTH TGT]],0)</f>
        <v>0.87944761904761903</v>
      </c>
      <c r="O3" s="28">
        <f>_xlfn.RANK.AVG(OMSR_Value[[#This Row],[% Achivd]],OMSR_Value[% Achivd],0)</f>
        <v>1</v>
      </c>
    </row>
    <row r="4" spans="1:21" ht="15.75" x14ac:dyDescent="0.3">
      <c r="A4" s="1" t="s">
        <v>94</v>
      </c>
      <c r="B4" s="2" t="s">
        <v>23</v>
      </c>
      <c r="C4" s="1" t="s">
        <v>9</v>
      </c>
      <c r="D4" s="1" t="s">
        <v>31</v>
      </c>
      <c r="E4" s="1" t="s">
        <v>28</v>
      </c>
      <c r="F4" s="1" t="s">
        <v>30</v>
      </c>
      <c r="G4" s="10">
        <f>IFERROR(INDEX('Pivot table'!$B$41:$F$69,MATCH($E4,'Pivot table'!$A$3:$A$31,0),MATCH(G$2,'Pivot table'!$B$2:$F$2,0)),0)</f>
        <v>21924050</v>
      </c>
      <c r="H4" s="10">
        <f>IFERROR(INDEX('Pivot table'!$B$41:$F$69,MATCH($E4,'Pivot table'!$A$3:$A$31,0),MATCH(H$2,'Pivot table'!$B$2:$F$2,0)),0)</f>
        <v>22991650</v>
      </c>
      <c r="I4" s="10">
        <f>IFERROR(INDEX('Pivot table'!$B$41:$F$69,MATCH($E4,'Pivot table'!$A$3:$A$31,0),MATCH(I$2,'Pivot table'!$B$2:$F$2,0)),0)</f>
        <v>0</v>
      </c>
      <c r="J4" s="10">
        <f>IFERROR(INDEX('Pivot table'!$B$41:$F$69,MATCH($E4,'Pivot table'!$A$3:$A$31,0),MATCH(J$2,'Pivot table'!$B$2:$F$2,0)),0)</f>
        <v>0</v>
      </c>
      <c r="K4" s="10">
        <f>IFERROR(INDEX('Pivot table'!$B$41:$F$69,MATCH($E4,'Pivot table'!$A$3:$A$31,0),MATCH(K$2,'Pivot table'!$B$2:$F$2,0)),0)</f>
        <v>0</v>
      </c>
      <c r="L4" s="32">
        <f>SUM(OMSR_Value[[#This Row],[Week 1]:[Week 5]])</f>
        <v>44915700</v>
      </c>
      <c r="M4" s="31">
        <f>SUMIF(Table3[Column1],OMSR_Value[[#This Row],[Territory]]&amp;OMSR_Value[[#This Row],[Name]],Table3[Value TGT])</f>
        <v>63000000</v>
      </c>
      <c r="N4" s="25">
        <f>IFERROR(OMSR_Value[[#This Row],[Total]]/OMSR_Value[[#This Row],[MTH TGT]],0)</f>
        <v>0.71294761904761905</v>
      </c>
      <c r="O4" s="28">
        <f>_xlfn.RANK.AVG(OMSR_Value[[#This Row],[% Achivd]],OMSR_Value[% Achivd],0)</f>
        <v>2</v>
      </c>
      <c r="Q4" s="5"/>
    </row>
    <row r="5" spans="1:21" ht="15.75" x14ac:dyDescent="0.3">
      <c r="A5" s="1" t="s">
        <v>95</v>
      </c>
      <c r="B5" s="2" t="s">
        <v>23</v>
      </c>
      <c r="C5" s="1" t="s">
        <v>9</v>
      </c>
      <c r="D5" s="1" t="s">
        <v>31</v>
      </c>
      <c r="E5" s="1" t="s">
        <v>29</v>
      </c>
      <c r="F5" s="1" t="s">
        <v>30</v>
      </c>
      <c r="G5" s="10">
        <f>IFERROR(INDEX('Pivot table'!$B$41:$F$69,MATCH($E5,'Pivot table'!$A$3:$A$31,0),MATCH(G$2,'Pivot table'!$B$2:$F$2,0)),0)</f>
        <v>21106475</v>
      </c>
      <c r="H5" s="10">
        <f>IFERROR(INDEX('Pivot table'!$B$41:$F$69,MATCH($E5,'Pivot table'!$A$3:$A$31,0),MATCH(H$2,'Pivot table'!$B$2:$F$2,0)),0)</f>
        <v>21106475</v>
      </c>
      <c r="I5" s="10">
        <f>IFERROR(INDEX('Pivot table'!$B$41:$F$69,MATCH($E5,'Pivot table'!$A$3:$A$31,0),MATCH(I$2,'Pivot table'!$B$2:$F$2,0)),0)</f>
        <v>0</v>
      </c>
      <c r="J5" s="10">
        <f>IFERROR(INDEX('Pivot table'!$B$41:$F$69,MATCH($E5,'Pivot table'!$A$3:$A$31,0),MATCH(J$2,'Pivot table'!$B$2:$F$2,0)),0)</f>
        <v>0</v>
      </c>
      <c r="K5" s="10">
        <f>IFERROR(INDEX('Pivot table'!$B$41:$F$69,MATCH($E5,'Pivot table'!$A$3:$A$31,0),MATCH(K$2,'Pivot table'!$B$2:$F$2,0)),0)</f>
        <v>0</v>
      </c>
      <c r="L5" s="48">
        <f>SUM(OMSR_Value[[#This Row],[Week 1]:[Week 5]])</f>
        <v>42212950</v>
      </c>
      <c r="M5" s="49">
        <f>SUMIF(Table3[Column1],OMSR_Value[[#This Row],[Territory]]&amp;OMSR_Value[[#This Row],[Name]],Table3[Value TGT])</f>
        <v>63000000</v>
      </c>
      <c r="N5" s="25">
        <f>IFERROR(OMSR_Value[[#This Row],[Total]]/OMSR_Value[[#This Row],[MTH TGT]],0)</f>
        <v>0.67004682539682536</v>
      </c>
      <c r="O5" s="28">
        <f>_xlfn.RANK.AVG(OMSR_Value[[#This Row],[% Achivd]],OMSR_Value[% Achivd],0)</f>
        <v>3</v>
      </c>
    </row>
    <row r="6" spans="1:21" ht="15.75" x14ac:dyDescent="0.3">
      <c r="A6" s="44" t="s">
        <v>39</v>
      </c>
      <c r="B6" s="46" t="s">
        <v>6</v>
      </c>
      <c r="C6" s="44" t="s">
        <v>7</v>
      </c>
      <c r="D6" s="44" t="s">
        <v>31</v>
      </c>
      <c r="E6" s="44" t="s">
        <v>40</v>
      </c>
      <c r="F6" s="44" t="s">
        <v>67</v>
      </c>
      <c r="G6" s="10">
        <f>IFERROR(INDEX('Pivot table'!$B$41:$F$69,MATCH($E6,'Pivot table'!$A$3:$A$31,0),MATCH(G$2,'Pivot table'!$B$2:$F$2,0)),0)</f>
        <v>7867200</v>
      </c>
      <c r="H6" s="10">
        <f>IFERROR(INDEX('Pivot table'!$B$41:$F$69,MATCH($E6,'Pivot table'!$A$3:$A$31,0),MATCH(H$2,'Pivot table'!$B$2:$F$2,0)),0)</f>
        <v>7931200</v>
      </c>
      <c r="I6" s="10">
        <f>IFERROR(INDEX('Pivot table'!$B$41:$F$69,MATCH($E6,'Pivot table'!$A$3:$A$31,0),MATCH(I$2,'Pivot table'!$B$2:$F$2,0)),0)</f>
        <v>0</v>
      </c>
      <c r="J6" s="10">
        <f>IFERROR(INDEX('Pivot table'!$B$41:$F$69,MATCH($E6,'Pivot table'!$A$3:$A$31,0),MATCH(J$2,'Pivot table'!$B$2:$F$2,0)),0)</f>
        <v>0</v>
      </c>
      <c r="K6" s="10">
        <f>IFERROR(INDEX('Pivot table'!$B$41:$F$69,MATCH($E6,'Pivot table'!$A$3:$A$31,0),MATCH(K$2,'Pivot table'!$B$2:$F$2,0)),0)</f>
        <v>0</v>
      </c>
      <c r="L6" s="32">
        <f>SUM(OMSR_Value[[#This Row],[Week 1]:[Week 5]])</f>
        <v>15798400</v>
      </c>
      <c r="M6" s="31">
        <f>SUMIF(Table3[Column1],OMSR_Value[[#This Row],[Territory]]&amp;OMSR_Value[[#This Row],[Name]],Table3[Value TGT])</f>
        <v>31500000</v>
      </c>
      <c r="N6" s="25">
        <f>IFERROR(OMSR_Value[[#This Row],[Total]]/OMSR_Value[[#This Row],[MTH TGT]],0)</f>
        <v>0.50153650793650795</v>
      </c>
      <c r="O6" s="29">
        <f>_xlfn.RANK.AVG(OMSR_Value[[#This Row],[% Achivd]],OMSR_Value[% Achivd],0)</f>
        <v>4</v>
      </c>
    </row>
    <row r="7" spans="1:21" ht="15.75" x14ac:dyDescent="0.3">
      <c r="A7" s="44" t="s">
        <v>31</v>
      </c>
      <c r="B7" s="46" t="s">
        <v>6</v>
      </c>
      <c r="C7" s="44" t="s">
        <v>7</v>
      </c>
      <c r="D7" s="44" t="s">
        <v>31</v>
      </c>
      <c r="E7" s="44" t="s">
        <v>41</v>
      </c>
      <c r="F7" s="1" t="s">
        <v>118</v>
      </c>
      <c r="G7" s="10">
        <f>IFERROR(INDEX('Pivot table'!$B$41:$F$69,MATCH($E7,'Pivot table'!$A$3:$A$31,0),MATCH(G$2,'Pivot table'!$B$2:$F$2,0)),0)</f>
        <v>13852800</v>
      </c>
      <c r="H7" s="10">
        <f>IFERROR(INDEX('Pivot table'!$B$41:$F$69,MATCH($E7,'Pivot table'!$A$3:$A$31,0),MATCH(H$2,'Pivot table'!$B$2:$F$2,0)),0)</f>
        <v>14506400</v>
      </c>
      <c r="I7" s="10">
        <f>IFERROR(INDEX('Pivot table'!$B$41:$F$69,MATCH($E7,'Pivot table'!$A$3:$A$31,0),MATCH(I$2,'Pivot table'!$B$2:$F$2,0)),0)</f>
        <v>0</v>
      </c>
      <c r="J7" s="10">
        <f>IFERROR(INDEX('Pivot table'!$B$41:$F$69,MATCH($E7,'Pivot table'!$A$3:$A$31,0),MATCH(J$2,'Pivot table'!$B$2:$F$2,0)),0)</f>
        <v>0</v>
      </c>
      <c r="K7" s="10">
        <f>IFERROR(INDEX('Pivot table'!$B$41:$F$69,MATCH($E7,'Pivot table'!$A$3:$A$31,0),MATCH(K$2,'Pivot table'!$B$2:$F$2,0)),0)</f>
        <v>0</v>
      </c>
      <c r="L7" s="48">
        <f>SUM(OMSR_Value[[#This Row],[Week 1]:[Week 5]])</f>
        <v>28359200</v>
      </c>
      <c r="M7" s="49">
        <f>SUMIF(Table3[Column1],OMSR_Value[[#This Row],[Territory]]&amp;OMSR_Value[[#This Row],[Name]],Table3[Value TGT])</f>
        <v>63000000</v>
      </c>
      <c r="N7" s="25">
        <f>IFERROR(OMSR_Value[[#This Row],[Total]]/OMSR_Value[[#This Row],[MTH TGT]],0)</f>
        <v>0.45014603174603174</v>
      </c>
      <c r="O7" s="28">
        <f>_xlfn.RANK.AVG(OMSR_Value[[#This Row],[% Achivd]],OMSR_Value[% Achivd],0)</f>
        <v>5</v>
      </c>
    </row>
    <row r="8" spans="1:21" ht="15.75" x14ac:dyDescent="0.3">
      <c r="A8" s="1" t="s">
        <v>26</v>
      </c>
      <c r="B8" s="2" t="s">
        <v>23</v>
      </c>
      <c r="C8" s="1" t="s">
        <v>20</v>
      </c>
      <c r="D8" s="1" t="s">
        <v>31</v>
      </c>
      <c r="E8" s="1" t="s">
        <v>25</v>
      </c>
      <c r="F8" s="1" t="s">
        <v>27</v>
      </c>
      <c r="G8" s="10">
        <f>IFERROR(INDEX('Pivot table'!$B$41:$F$69,MATCH($E8,'Pivot table'!$A$3:$A$31,0),MATCH(G$2,'Pivot table'!$B$2:$F$2,0)),0)</f>
        <v>5676000</v>
      </c>
      <c r="H8" s="10">
        <f>IFERROR(INDEX('Pivot table'!$B$41:$F$69,MATCH($E8,'Pivot table'!$A$3:$A$31,0),MATCH(H$2,'Pivot table'!$B$2:$F$2,0)),0)</f>
        <v>5232000</v>
      </c>
      <c r="I8" s="10">
        <f>IFERROR(INDEX('Pivot table'!$B$41:$F$69,MATCH($E8,'Pivot table'!$A$3:$A$31,0),MATCH(I$2,'Pivot table'!$B$2:$F$2,0)),0)</f>
        <v>0</v>
      </c>
      <c r="J8" s="10">
        <f>IFERROR(INDEX('Pivot table'!$B$41:$F$69,MATCH($E8,'Pivot table'!$A$3:$A$31,0),MATCH(J$2,'Pivot table'!$B$2:$F$2,0)),0)</f>
        <v>0</v>
      </c>
      <c r="K8" s="10">
        <f>IFERROR(INDEX('Pivot table'!$B$41:$F$69,MATCH($E8,'Pivot table'!$A$3:$A$31,0),MATCH(K$2,'Pivot table'!$B$2:$F$2,0)),0)</f>
        <v>0</v>
      </c>
      <c r="L8" s="48">
        <f>SUM(OMSR_Value[[#This Row],[Week 1]:[Week 5]])</f>
        <v>10908000</v>
      </c>
      <c r="M8" s="49">
        <f>SUMIF(Table3[Column1],OMSR_Value[[#This Row],[Territory]]&amp;OMSR_Value[[#This Row],[Name]],Table3[Value TGT])</f>
        <v>31500000</v>
      </c>
      <c r="N8" s="25">
        <f>IFERROR(OMSR_Value[[#This Row],[Total]]/OMSR_Value[[#This Row],[MTH TGT]],0)</f>
        <v>0.34628571428571431</v>
      </c>
      <c r="O8" s="28">
        <f>_xlfn.RANK.AVG(OMSR_Value[[#This Row],[% Achivd]],OMSR_Value[% Achivd],0)</f>
        <v>6</v>
      </c>
    </row>
    <row r="9" spans="1:21" ht="15.75" x14ac:dyDescent="0.3">
      <c r="A9" s="45" t="s">
        <v>93</v>
      </c>
      <c r="B9" s="47" t="s">
        <v>23</v>
      </c>
      <c r="C9" s="45" t="s">
        <v>2</v>
      </c>
      <c r="D9" s="45" t="s">
        <v>31</v>
      </c>
      <c r="E9" s="45" t="s">
        <v>49</v>
      </c>
      <c r="F9" s="45" t="s">
        <v>24</v>
      </c>
      <c r="G9" s="10">
        <f>IFERROR(INDEX('Pivot table'!$B$41:$F$69,MATCH($E9,'Pivot table'!$A$3:$A$31,0),MATCH(G$2,'Pivot table'!$B$2:$F$2,0)),0)</f>
        <v>6930735</v>
      </c>
      <c r="H9" s="10">
        <f>IFERROR(INDEX('Pivot table'!$B$41:$F$69,MATCH($E9,'Pivot table'!$A$3:$A$31,0),MATCH(H$2,'Pivot table'!$B$2:$F$2,0)),0)</f>
        <v>13674800</v>
      </c>
      <c r="I9" s="10">
        <f>IFERROR(INDEX('Pivot table'!$B$41:$F$69,MATCH($E9,'Pivot table'!$A$3:$A$31,0),MATCH(I$2,'Pivot table'!$B$2:$F$2,0)),0)</f>
        <v>0</v>
      </c>
      <c r="J9" s="10">
        <f>IFERROR(INDEX('Pivot table'!$B$41:$F$69,MATCH($E9,'Pivot table'!$A$3:$A$31,0),MATCH(J$2,'Pivot table'!$B$2:$F$2,0)),0)</f>
        <v>0</v>
      </c>
      <c r="K9" s="10">
        <f>IFERROR(INDEX('Pivot table'!$B$41:$F$69,MATCH($E9,'Pivot table'!$A$3:$A$31,0),MATCH(K$2,'Pivot table'!$B$2:$F$2,0)),0)</f>
        <v>0</v>
      </c>
      <c r="L9" s="48">
        <f>SUM(OMSR_Value[[#This Row],[Week 1]:[Week 5]])</f>
        <v>20605535</v>
      </c>
      <c r="M9" s="49">
        <f>SUMIF(Table3[Column1],OMSR_Value[[#This Row],[Territory]]&amp;OMSR_Value[[#This Row],[Name]],Table3[Value TGT])</f>
        <v>63000000</v>
      </c>
      <c r="N9" s="25">
        <f>IFERROR(OMSR_Value[[#This Row],[Total]]/OMSR_Value[[#This Row],[MTH TGT]],0)</f>
        <v>0.32707198412698413</v>
      </c>
      <c r="O9" s="28">
        <f>_xlfn.RANK.AVG(OMSR_Value[[#This Row],[% Achivd]],OMSR_Value[% Achivd],0)</f>
        <v>7</v>
      </c>
    </row>
    <row r="10" spans="1:21" ht="15.75" x14ac:dyDescent="0.3">
      <c r="A10" s="45" t="s">
        <v>50</v>
      </c>
      <c r="B10" s="47" t="s">
        <v>23</v>
      </c>
      <c r="C10" s="45" t="s">
        <v>3</v>
      </c>
      <c r="D10" s="45" t="s">
        <v>31</v>
      </c>
      <c r="E10" s="45" t="s">
        <v>62</v>
      </c>
      <c r="F10" s="45" t="s">
        <v>119</v>
      </c>
      <c r="G10" s="10">
        <f>IFERROR(INDEX('Pivot table'!$B$41:$F$69,MATCH($E10,'Pivot table'!$A$3:$A$31,0),MATCH(G$2,'Pivot table'!$B$2:$F$2,0)),0)</f>
        <v>10334800</v>
      </c>
      <c r="H10" s="10">
        <f>IFERROR(INDEX('Pivot table'!$B$41:$F$69,MATCH($E10,'Pivot table'!$A$3:$A$31,0),MATCH(H$2,'Pivot table'!$B$2:$F$2,0)),0)</f>
        <v>8954400</v>
      </c>
      <c r="I10" s="10">
        <f>IFERROR(INDEX('Pivot table'!$B$41:$F$69,MATCH($E10,'Pivot table'!$A$3:$A$31,0),MATCH(I$2,'Pivot table'!$B$2:$F$2,0)),0)</f>
        <v>0</v>
      </c>
      <c r="J10" s="10">
        <f>IFERROR(INDEX('Pivot table'!$B$41:$F$69,MATCH($E10,'Pivot table'!$A$3:$A$31,0),MATCH(J$2,'Pivot table'!$B$2:$F$2,0)),0)</f>
        <v>0</v>
      </c>
      <c r="K10" s="10">
        <f>IFERROR(INDEX('Pivot table'!$B$41:$F$69,MATCH($E10,'Pivot table'!$A$3:$A$31,0),MATCH(K$2,'Pivot table'!$B$2:$F$2,0)),0)</f>
        <v>0</v>
      </c>
      <c r="L10" s="32">
        <f>SUM(OMSR_Value[[#This Row],[Week 1]:[Week 5]])</f>
        <v>19289200</v>
      </c>
      <c r="M10" s="31">
        <f>SUMIF(Table3[Column1],OMSR_Value[[#This Row],[Territory]]&amp;OMSR_Value[[#This Row],[Name]],Table3[Value TGT])</f>
        <v>63000000</v>
      </c>
      <c r="N10" s="25">
        <f>IFERROR(OMSR_Value[[#This Row],[Total]]/OMSR_Value[[#This Row],[MTH TGT]],0)</f>
        <v>0.30617777777777777</v>
      </c>
      <c r="O10" s="28">
        <f>_xlfn.RANK.AVG(OMSR_Value[[#This Row],[% Achivd]],OMSR_Value[% Achivd],0)</f>
        <v>8</v>
      </c>
    </row>
    <row r="11" spans="1:21" ht="15.75" x14ac:dyDescent="0.3">
      <c r="A11" s="1" t="s">
        <v>31</v>
      </c>
      <c r="B11" s="2" t="s">
        <v>4</v>
      </c>
      <c r="C11" s="1" t="s">
        <v>37</v>
      </c>
      <c r="D11" s="1" t="s">
        <v>31</v>
      </c>
      <c r="E11" s="1" t="s">
        <v>38</v>
      </c>
      <c r="F11" s="1" t="s">
        <v>82</v>
      </c>
      <c r="G11" s="10">
        <f>IFERROR(INDEX('Pivot table'!$B$41:$F$69,MATCH($E11,'Pivot table'!$A$3:$A$31,0),MATCH(G$2,'Pivot table'!$B$2:$F$2,0)),0)</f>
        <v>16470400</v>
      </c>
      <c r="H11" s="10">
        <f>IFERROR(INDEX('Pivot table'!$B$41:$F$69,MATCH($E11,'Pivot table'!$A$3:$A$31,0),MATCH(H$2,'Pivot table'!$B$2:$F$2,0)),0)</f>
        <v>410400</v>
      </c>
      <c r="I11" s="10">
        <f>IFERROR(INDEX('Pivot table'!$B$41:$F$69,MATCH($E11,'Pivot table'!$A$3:$A$31,0),MATCH(I$2,'Pivot table'!$B$2:$F$2,0)),0)</f>
        <v>0</v>
      </c>
      <c r="J11" s="10">
        <f>IFERROR(INDEX('Pivot table'!$B$41:$F$69,MATCH($E11,'Pivot table'!$A$3:$A$31,0),MATCH(J$2,'Pivot table'!$B$2:$F$2,0)),0)</f>
        <v>0</v>
      </c>
      <c r="K11" s="10">
        <f>IFERROR(INDEX('Pivot table'!$B$41:$F$69,MATCH($E11,'Pivot table'!$A$3:$A$31,0),MATCH(K$2,'Pivot table'!$B$2:$F$2,0)),0)</f>
        <v>0</v>
      </c>
      <c r="L11" s="50">
        <f>SUM(OMSR_Value[[#This Row],[Week 1]:[Week 5]])</f>
        <v>16880800</v>
      </c>
      <c r="M11" s="51">
        <f>SUMIF(Table3[Column1],OMSR_Value[[#This Row],[Territory]]&amp;OMSR_Value[[#This Row],[Name]],Table3[Value TGT])</f>
        <v>75600000</v>
      </c>
      <c r="N11" s="25">
        <f>IFERROR(OMSR_Value[[#This Row],[Total]]/OMSR_Value[[#This Row],[MTH TGT]],0)</f>
        <v>0.22329100529100529</v>
      </c>
      <c r="O11" s="28">
        <f>_xlfn.RANK.AVG(OMSR_Value[[#This Row],[% Achivd]],OMSR_Value[% Achivd],0)</f>
        <v>9</v>
      </c>
    </row>
    <row r="12" spans="1:21" ht="15.75" x14ac:dyDescent="0.3">
      <c r="A12" s="1" t="s">
        <v>31</v>
      </c>
      <c r="B12" s="2" t="s">
        <v>4</v>
      </c>
      <c r="C12" s="1" t="s">
        <v>37</v>
      </c>
      <c r="D12" s="1" t="s">
        <v>31</v>
      </c>
      <c r="E12" s="1" t="s">
        <v>74</v>
      </c>
      <c r="F12" s="1" t="s">
        <v>82</v>
      </c>
      <c r="G12" s="10">
        <f>IFERROR(INDEX('Pivot table'!$B$41:$F$69,MATCH($E12,'Pivot table'!$A$3:$A$31,0),MATCH(G$2,'Pivot table'!$B$2:$F$2,0)),0)</f>
        <v>12224000</v>
      </c>
      <c r="H12" s="10">
        <f>IFERROR(INDEX('Pivot table'!$B$41:$F$69,MATCH($E12,'Pivot table'!$A$3:$A$31,0),MATCH(H$2,'Pivot table'!$B$2:$F$2,0)),0)</f>
        <v>342000</v>
      </c>
      <c r="I12" s="10">
        <f>IFERROR(INDEX('Pivot table'!$B$41:$F$69,MATCH($E12,'Pivot table'!$A$3:$A$31,0),MATCH(I$2,'Pivot table'!$B$2:$F$2,0)),0)</f>
        <v>0</v>
      </c>
      <c r="J12" s="10">
        <f>IFERROR(INDEX('Pivot table'!$B$41:$F$69,MATCH($E12,'Pivot table'!$A$3:$A$31,0),MATCH(J$2,'Pivot table'!$B$2:$F$2,0)),0)</f>
        <v>0</v>
      </c>
      <c r="K12" s="10">
        <f>IFERROR(INDEX('Pivot table'!$B$41:$F$69,MATCH($E12,'Pivot table'!$A$3:$A$31,0),MATCH(K$2,'Pivot table'!$B$2:$F$2,0)),0)</f>
        <v>0</v>
      </c>
      <c r="L12" s="32">
        <f>SUM(OMSR_Value[[#This Row],[Week 1]:[Week 5]])</f>
        <v>12566000</v>
      </c>
      <c r="M12" s="31">
        <f>SUMIF(Table3[Column1],OMSR_Value[[#This Row],[Territory]]&amp;OMSR_Value[[#This Row],[Name]],Table3[Value TGT])</f>
        <v>63000000</v>
      </c>
      <c r="N12" s="43">
        <f>IFERROR(OMSR_Value[[#This Row],[Total]]/OMSR_Value[[#This Row],[MTH TGT]],0)</f>
        <v>0.19946031746031745</v>
      </c>
      <c r="O12" s="28">
        <f>_xlfn.RANK.AVG(OMSR_Value[[#This Row],[% Achivd]],OMSR_Value[% Achivd],0)</f>
        <v>10</v>
      </c>
    </row>
    <row r="13" spans="1:21" ht="15.75" x14ac:dyDescent="0.3">
      <c r="A13" s="1" t="s">
        <v>43</v>
      </c>
      <c r="B13" s="2" t="s">
        <v>4</v>
      </c>
      <c r="C13" s="1" t="s">
        <v>5</v>
      </c>
      <c r="D13" s="1" t="s">
        <v>31</v>
      </c>
      <c r="E13" s="1" t="s">
        <v>44</v>
      </c>
      <c r="F13" s="1" t="s">
        <v>86</v>
      </c>
      <c r="G13" s="10">
        <f>IFERROR(INDEX('Pivot table'!$B$41:$F$69,MATCH($E13,'Pivot table'!$A$3:$A$31,0),MATCH(G$2,'Pivot table'!$B$2:$F$2,0)),0)</f>
        <v>0</v>
      </c>
      <c r="H13" s="10">
        <f>IFERROR(INDEX('Pivot table'!$B$41:$F$69,MATCH($E13,'Pivot table'!$A$3:$A$31,0),MATCH(H$2,'Pivot table'!$B$2:$F$2,0)),0)</f>
        <v>0</v>
      </c>
      <c r="I13" s="10">
        <f>IFERROR(INDEX('Pivot table'!$B$41:$F$69,MATCH($E13,'Pivot table'!$A$3:$A$31,0),MATCH(I$2,'Pivot table'!$B$2:$F$2,0)),0)</f>
        <v>0</v>
      </c>
      <c r="J13" s="10">
        <f>IFERROR(INDEX('Pivot table'!$B$41:$F$69,MATCH($E13,'Pivot table'!$A$3:$A$31,0),MATCH(J$2,'Pivot table'!$B$2:$F$2,0)),0)</f>
        <v>0</v>
      </c>
      <c r="K13" s="10">
        <f>IFERROR(INDEX('Pivot table'!$B$41:$F$69,MATCH($E13,'Pivot table'!$A$3:$A$31,0),MATCH(K$2,'Pivot table'!$B$2:$F$2,0)),0)</f>
        <v>0</v>
      </c>
      <c r="L13" s="48">
        <f>SUM(OMSR_Value[[#This Row],[Week 1]:[Week 5]])</f>
        <v>0</v>
      </c>
      <c r="M13" s="49">
        <f>SUMIF(Table3[Column1],OMSR_Value[[#This Row],[Territory]]&amp;OMSR_Value[[#This Row],[Name]],Table3[Value TGT])</f>
        <v>63000000</v>
      </c>
      <c r="N13" s="25">
        <f>IFERROR(OMSR_Value[[#This Row],[Total]]/OMSR_Value[[#This Row],[MTH TGT]],0)</f>
        <v>0</v>
      </c>
      <c r="O13" s="28">
        <f>_xlfn.RANK.AVG(OMSR_Value[[#This Row],[% Achivd]],OMSR_Value[% Achivd],0)</f>
        <v>11.5</v>
      </c>
    </row>
    <row r="14" spans="1:21" ht="15.75" x14ac:dyDescent="0.3">
      <c r="A14" s="1" t="s">
        <v>31</v>
      </c>
      <c r="B14" s="2" t="s">
        <v>4</v>
      </c>
      <c r="C14" s="1" t="s">
        <v>5</v>
      </c>
      <c r="D14" s="1" t="s">
        <v>31</v>
      </c>
      <c r="E14" s="1" t="s">
        <v>88</v>
      </c>
      <c r="F14" s="1" t="s">
        <v>86</v>
      </c>
      <c r="G14" s="10">
        <f>IFERROR(INDEX('Pivot table'!$B$41:$F$69,MATCH($E14,'Pivot table'!$A$3:$A$31,0),MATCH(G$2,'Pivot table'!$B$2:$F$2,0)),0)</f>
        <v>0</v>
      </c>
      <c r="H14" s="10">
        <f>IFERROR(INDEX('Pivot table'!$B$41:$F$69,MATCH($E14,'Pivot table'!$A$3:$A$31,0),MATCH(H$2,'Pivot table'!$B$2:$F$2,0)),0)</f>
        <v>0</v>
      </c>
      <c r="I14" s="10">
        <f>IFERROR(INDEX('Pivot table'!$B$41:$F$69,MATCH($E14,'Pivot table'!$A$3:$A$31,0),MATCH(I$2,'Pivot table'!$B$2:$F$2,0)),0)</f>
        <v>0</v>
      </c>
      <c r="J14" s="10">
        <f>IFERROR(INDEX('Pivot table'!$B$41:$F$69,MATCH($E14,'Pivot table'!$A$3:$A$31,0),MATCH(J$2,'Pivot table'!$B$2:$F$2,0)),0)</f>
        <v>0</v>
      </c>
      <c r="K14" s="10">
        <f>IFERROR(INDEX('Pivot table'!$B$41:$F$69,MATCH($E14,'Pivot table'!$A$3:$A$31,0),MATCH(K$2,'Pivot table'!$B$2:$F$2,0)),0)</f>
        <v>0</v>
      </c>
      <c r="L14" s="32">
        <f>SUM(OMSR_Value[[#This Row],[Week 1]:[Week 5]])</f>
        <v>0</v>
      </c>
      <c r="M14" s="31">
        <f>SUMIF(Table3[Column1],OMSR_Value[[#This Row],[Territory]]&amp;OMSR_Value[[#This Row],[Name]],Table3[Value TGT])</f>
        <v>63000000</v>
      </c>
      <c r="N14" s="43">
        <f>IFERROR(OMSR_Value[[#This Row],[Total]]/OMSR_Value[[#This Row],[MTH TGT]],0)</f>
        <v>0</v>
      </c>
      <c r="O14" s="28">
        <f>_xlfn.RANK.AVG(OMSR_Value[[#This Row],[% Achivd]],OMSR_Value[% Achivd],0)</f>
        <v>11.5</v>
      </c>
      <c r="T14" s="24"/>
      <c r="U14" s="17"/>
    </row>
    <row r="15" spans="1:21" x14ac:dyDescent="0.25">
      <c r="A15" s="14" t="s">
        <v>11</v>
      </c>
      <c r="B15" s="20"/>
      <c r="C15" s="21"/>
      <c r="D15" s="19"/>
      <c r="E15" s="22"/>
      <c r="F15" s="23"/>
      <c r="G15" s="5">
        <f>SUBTOTAL(109,OMSR_Value[Week 1])</f>
        <v>132347660</v>
      </c>
      <c r="H15" s="5">
        <f>SUBTOTAL(109,OMSR_Value[Week 2])</f>
        <v>106890725</v>
      </c>
      <c r="I15" s="5">
        <f>SUBTOTAL(109,OMSR_Value[Week 3])</f>
        <v>0</v>
      </c>
      <c r="J15" s="5">
        <f>SUBTOTAL(109,OMSR_Value[Week 4])</f>
        <v>0</v>
      </c>
      <c r="K15" s="5">
        <f>SUBTOTAL(109,OMSR_Value[Week 5])</f>
        <v>0</v>
      </c>
      <c r="L15" s="31">
        <f>SUBTOTAL(109,OMSR_Value[Total])</f>
        <v>239238385</v>
      </c>
      <c r="M15" s="31">
        <f>SUBTOTAL(109,OMSR_Value[MTH TGT])</f>
        <v>674100000</v>
      </c>
      <c r="N15" s="35">
        <f>OMSR_Value[[#Totals],[Total]]/OMSR_Value[[#Totals],[MTH TGT]]</f>
        <v>0.35490043762053108</v>
      </c>
      <c r="O15" s="34"/>
    </row>
    <row r="16" spans="1:21" x14ac:dyDescent="0.25">
      <c r="A16" s="12"/>
      <c r="B16" s="38"/>
      <c r="C16" s="38"/>
      <c r="D16" s="38"/>
      <c r="E16" s="16"/>
      <c r="F16" s="12"/>
    </row>
    <row r="17" spans="1:17" x14ac:dyDescent="0.25">
      <c r="A17" s="12"/>
      <c r="B17" s="38"/>
      <c r="C17" s="38"/>
      <c r="D17" s="38"/>
      <c r="E17" s="16"/>
      <c r="F17" s="12"/>
    </row>
    <row r="18" spans="1:17" ht="21.75" thickBot="1" x14ac:dyDescent="0.4">
      <c r="A18" s="84" t="s">
        <v>61</v>
      </c>
      <c r="B18" s="84"/>
      <c r="C18" s="84"/>
      <c r="D18" s="84"/>
      <c r="E18" s="84"/>
      <c r="F18" s="84"/>
      <c r="Q18" s="5"/>
    </row>
    <row r="19" spans="1:17" ht="15.75" thickBot="1" x14ac:dyDescent="0.3">
      <c r="A19" s="13" t="s">
        <v>36</v>
      </c>
      <c r="B19" s="6" t="s">
        <v>0</v>
      </c>
      <c r="C19" s="6" t="s">
        <v>1</v>
      </c>
      <c r="D19" s="7" t="s">
        <v>22</v>
      </c>
      <c r="E19" s="13" t="s">
        <v>10</v>
      </c>
      <c r="F19" s="13" t="s">
        <v>35</v>
      </c>
      <c r="G19" s="37" t="s">
        <v>13</v>
      </c>
      <c r="H19" s="37" t="s">
        <v>14</v>
      </c>
      <c r="I19" s="37" t="s">
        <v>15</v>
      </c>
      <c r="J19" s="37" t="s">
        <v>16</v>
      </c>
      <c r="K19" s="37" t="s">
        <v>17</v>
      </c>
      <c r="L19" s="9" t="s">
        <v>11</v>
      </c>
      <c r="M19" s="9" t="s">
        <v>57</v>
      </c>
      <c r="N19" s="18" t="s">
        <v>72</v>
      </c>
      <c r="O19" s="27" t="s">
        <v>59</v>
      </c>
    </row>
    <row r="20" spans="1:17" ht="15.75" x14ac:dyDescent="0.3">
      <c r="A20" s="1" t="s">
        <v>89</v>
      </c>
      <c r="B20" s="2" t="s">
        <v>4</v>
      </c>
      <c r="C20" s="1" t="s">
        <v>56</v>
      </c>
      <c r="D20" s="1" t="s">
        <v>21</v>
      </c>
      <c r="E20" s="59" t="s">
        <v>124</v>
      </c>
      <c r="F20" s="1" t="s">
        <v>90</v>
      </c>
      <c r="G20" s="10">
        <f>IFERROR(INDEX('Pivot table'!$B$41:$F$72,MATCH($E20,'Pivot table'!$A$41:$A$72,0),MATCH(G$2,'Pivot table'!$B$2:$F$2,0)),0)</f>
        <v>10229600</v>
      </c>
      <c r="H20" s="10">
        <f>IFERROR(INDEX('Pivot table'!$B$41:$F$72,MATCH($E20,'Pivot table'!$A$41:$A$72,0),MATCH(H$2,'Pivot table'!$B$2:$F$2,0)),0)</f>
        <v>9071000</v>
      </c>
      <c r="I20" s="10">
        <f>IFERROR(INDEX('Pivot table'!$B$41:$F$72,MATCH($E20,'Pivot table'!$A$41:$A$72,0),MATCH(I$2,'Pivot table'!$B$2:$F$2,0)),0)</f>
        <v>0</v>
      </c>
      <c r="J20" s="10">
        <f>IFERROR(INDEX('Pivot table'!$B$41:$F$72,MATCH($E20,'Pivot table'!$A$41:$A$72,0),MATCH(J$2,'Pivot table'!$B$2:$F$2,0)),0)</f>
        <v>0</v>
      </c>
      <c r="K20" s="10">
        <f>IFERROR(INDEX('Pivot table'!$B$41:$F$71,MATCH($E20,'Pivot table'!$A$41:$A$71,0),MATCH(K$2,'Pivot table'!$B$2:$F$2,0)),0)</f>
        <v>0</v>
      </c>
      <c r="L20" s="33">
        <f>VSR_Value[[#This Row],[Week 1]]+VSR_Value[[#This Row],[Week 2]]+VSR_Value[[#This Row],[Week 3]]+VSR_Value[[#This Row],[Week 4]]+VSR_Value[[#This Row],[Week 5]]</f>
        <v>19300600</v>
      </c>
      <c r="M20" s="48">
        <f>SUMIF(Table3[Column1],VSR_Value[[#This Row],[Territory]]&amp;VSR_Value[[#This Row],[Name]],Table3[Value TGT])</f>
        <v>11700000</v>
      </c>
      <c r="N20" s="25">
        <f>IFERROR(VSR_Value[[#This Row],[Total]]/VSR_Value[[#This Row],[MTH TGT]],0)</f>
        <v>1.6496239316239316</v>
      </c>
      <c r="O20" s="30">
        <f>_xlfn.RANK.AVG(VSR_Value[[#This Row],[% Achivd]],VSR_Value[% Achivd],0)</f>
        <v>1</v>
      </c>
    </row>
    <row r="21" spans="1:17" ht="15.75" x14ac:dyDescent="0.3">
      <c r="A21" s="44" t="s">
        <v>53</v>
      </c>
      <c r="B21" s="2" t="s">
        <v>6</v>
      </c>
      <c r="C21" s="44" t="s">
        <v>7</v>
      </c>
      <c r="D21" s="44" t="s">
        <v>21</v>
      </c>
      <c r="E21" s="44" t="s">
        <v>51</v>
      </c>
      <c r="F21" s="44" t="s">
        <v>67</v>
      </c>
      <c r="G21" s="10">
        <f>IFERROR(INDEX('Pivot table'!$B$41:$F$72,MATCH($E21,'Pivot table'!$A$41:$A$72,0),MATCH(G$2,'Pivot table'!$B$2:$F$2,0)),0)</f>
        <v>9243600</v>
      </c>
      <c r="H21" s="10">
        <f>IFERROR(INDEX('Pivot table'!$B$41:$F$72,MATCH($E21,'Pivot table'!$A$41:$A$72,0),MATCH(H$2,'Pivot table'!$B$2:$F$2,0)),0)</f>
        <v>10176000</v>
      </c>
      <c r="I21" s="10">
        <f>IFERROR(INDEX('Pivot table'!$B$41:$F$72,MATCH($E21,'Pivot table'!$A$41:$A$72,0),MATCH(I$2,'Pivot table'!$B$2:$F$2,0)),0)</f>
        <v>0</v>
      </c>
      <c r="J21" s="10">
        <f>IFERROR(INDEX('Pivot table'!$B$41:$F$72,MATCH($E21,'Pivot table'!$A$41:$A$72,0),MATCH(J$2,'Pivot table'!$B$2:$F$2,0)),0)</f>
        <v>0</v>
      </c>
      <c r="K21" s="10">
        <f>IFERROR(INDEX('Pivot table'!$B$41:$F$71,MATCH($E21,'Pivot table'!$A$41:$A$71,0),MATCH(K$2,'Pivot table'!$B$2:$F$2,0)),0)</f>
        <v>0</v>
      </c>
      <c r="L21" s="33">
        <f>VSR_Value[[#This Row],[Week 1]]+VSR_Value[[#This Row],[Week 2]]+VSR_Value[[#This Row],[Week 3]]+VSR_Value[[#This Row],[Week 4]]+VSR_Value[[#This Row],[Week 5]]</f>
        <v>19419600</v>
      </c>
      <c r="M21" s="33">
        <f>SUMIF(Table3[Column1],VSR_Value[[#This Row],[Territory]]&amp;VSR_Value[[#This Row],[Name]],Table3[Value TGT])</f>
        <v>14625000</v>
      </c>
      <c r="N21" s="25">
        <f>IFERROR(VSR_Value[[#This Row],[Total]]/VSR_Value[[#This Row],[MTH TGT]],0)</f>
        <v>1.3278358974358975</v>
      </c>
      <c r="O21" s="30">
        <f>_xlfn.RANK.AVG(VSR_Value[[#This Row],[% Achivd]],VSR_Value[% Achivd],0)</f>
        <v>2</v>
      </c>
    </row>
    <row r="22" spans="1:17" ht="15.75" x14ac:dyDescent="0.3">
      <c r="A22" s="1" t="s">
        <v>64</v>
      </c>
      <c r="B22" s="2" t="s">
        <v>23</v>
      </c>
      <c r="C22" s="1" t="s">
        <v>80</v>
      </c>
      <c r="D22" s="1" t="s">
        <v>21</v>
      </c>
      <c r="E22" s="1" t="s">
        <v>79</v>
      </c>
      <c r="F22" s="1" t="s">
        <v>66</v>
      </c>
      <c r="G22" s="10">
        <f>IFERROR(INDEX('Pivot table'!$B$41:$F$72,MATCH($E22,'Pivot table'!$A$41:$A$72,0),MATCH(G$2,'Pivot table'!$B$2:$F$2,0)),0)</f>
        <v>3392400</v>
      </c>
      <c r="H22" s="10">
        <f>IFERROR(INDEX('Pivot table'!$B$41:$F$72,MATCH($E22,'Pivot table'!$A$41:$A$72,0),MATCH(H$2,'Pivot table'!$B$2:$F$2,0)),0)</f>
        <v>13189400</v>
      </c>
      <c r="I22" s="10">
        <f>IFERROR(INDEX('Pivot table'!$B$41:$F$72,MATCH($E22,'Pivot table'!$A$41:$A$72,0),MATCH(I$2,'Pivot table'!$B$2:$F$2,0)),0)</f>
        <v>0</v>
      </c>
      <c r="J22" s="10">
        <f>IFERROR(INDEX('Pivot table'!$B$41:$F$72,MATCH($E22,'Pivot table'!$A$41:$A$72,0),MATCH(J$2,'Pivot table'!$B$2:$F$2,0)),0)</f>
        <v>0</v>
      </c>
      <c r="K22" s="10">
        <f>IFERROR(INDEX('Pivot table'!$B$41:$F$71,MATCH($E22,'Pivot table'!$A$41:$A$71,0),MATCH(K$2,'Pivot table'!$B$2:$F$2,0)),0)</f>
        <v>0</v>
      </c>
      <c r="L22" s="33">
        <f>VSR_Value[[#This Row],[Week 1]]+VSR_Value[[#This Row],[Week 2]]+VSR_Value[[#This Row],[Week 3]]+VSR_Value[[#This Row],[Week 4]]+VSR_Value[[#This Row],[Week 5]]</f>
        <v>16581800</v>
      </c>
      <c r="M22" s="33">
        <f>SUMIF(Table3[Column1],VSR_Value[[#This Row],[Territory]]&amp;VSR_Value[[#This Row],[Name]],Table3[Value TGT])</f>
        <v>14625000</v>
      </c>
      <c r="N22" s="25">
        <f>IFERROR(VSR_Value[[#This Row],[Total]]/VSR_Value[[#This Row],[MTH TGT]],0)</f>
        <v>1.1337982905982906</v>
      </c>
      <c r="O22" s="30">
        <f>_xlfn.RANK.AVG(VSR_Value[[#This Row],[% Achivd]],VSR_Value[% Achivd],0)</f>
        <v>3</v>
      </c>
    </row>
    <row r="23" spans="1:17" ht="15.75" x14ac:dyDescent="0.3">
      <c r="A23" s="1" t="s">
        <v>54</v>
      </c>
      <c r="B23" s="2" t="s">
        <v>23</v>
      </c>
      <c r="C23" s="1" t="s">
        <v>19</v>
      </c>
      <c r="D23" s="1" t="s">
        <v>21</v>
      </c>
      <c r="E23" s="1" t="s">
        <v>83</v>
      </c>
      <c r="F23" s="1" t="s">
        <v>42</v>
      </c>
      <c r="G23" s="10">
        <f>IFERROR(INDEX('Pivot table'!$B$41:$F$72,MATCH($E23,'Pivot table'!$A$41:$A$72,0),MATCH(G$2,'Pivot table'!$B$2:$F$2,0)),0)</f>
        <v>6649800</v>
      </c>
      <c r="H23" s="10">
        <f>IFERROR(INDEX('Pivot table'!$B$41:$F$72,MATCH($E23,'Pivot table'!$A$41:$A$72,0),MATCH(H$2,'Pivot table'!$B$2:$F$2,0)),0)</f>
        <v>4713600</v>
      </c>
      <c r="I23" s="10">
        <f>IFERROR(INDEX('Pivot table'!$B$41:$F$72,MATCH($E23,'Pivot table'!$A$41:$A$72,0),MATCH(I$2,'Pivot table'!$B$2:$F$2,0)),0)</f>
        <v>0</v>
      </c>
      <c r="J23" s="10">
        <f>IFERROR(INDEX('Pivot table'!$B$41:$F$72,MATCH($E23,'Pivot table'!$A$41:$A$72,0),MATCH(J$2,'Pivot table'!$B$2:$F$2,0)),0)</f>
        <v>0</v>
      </c>
      <c r="K23" s="10">
        <f>IFERROR(INDEX('Pivot table'!$B$41:$F$71,MATCH($E23,'Pivot table'!$A$41:$A$71,0),MATCH(K$2,'Pivot table'!$B$2:$F$2,0)),0)</f>
        <v>0</v>
      </c>
      <c r="L23" s="33">
        <f>VSR_Value[[#This Row],[Week 1]]+VSR_Value[[#This Row],[Week 2]]+VSR_Value[[#This Row],[Week 3]]+VSR_Value[[#This Row],[Week 4]]+VSR_Value[[#This Row],[Week 5]]</f>
        <v>11363400</v>
      </c>
      <c r="M23" s="33">
        <f>SUMIF(Table3[Column1],VSR_Value[[#This Row],[Territory]]&amp;VSR_Value[[#This Row],[Name]],Table3[Value TGT])</f>
        <v>11700000</v>
      </c>
      <c r="N23" s="25">
        <f>IFERROR(VSR_Value[[#This Row],[Total]]/VSR_Value[[#This Row],[MTH TGT]],0)</f>
        <v>0.97123076923076923</v>
      </c>
      <c r="O23" s="30">
        <f>_xlfn.RANK.AVG(VSR_Value[[#This Row],[% Achivd]],VSR_Value[% Achivd],0)</f>
        <v>4</v>
      </c>
    </row>
    <row r="24" spans="1:17" ht="15.75" x14ac:dyDescent="0.3">
      <c r="A24" s="44" t="s">
        <v>76</v>
      </c>
      <c r="B24" s="46" t="s">
        <v>6</v>
      </c>
      <c r="C24" s="44" t="s">
        <v>7</v>
      </c>
      <c r="D24" s="44" t="s">
        <v>21</v>
      </c>
      <c r="E24" s="44" t="s">
        <v>52</v>
      </c>
      <c r="F24" s="44" t="s">
        <v>118</v>
      </c>
      <c r="G24" s="10">
        <f>IFERROR(INDEX('Pivot table'!$B$41:$F$72,MATCH($E24,'Pivot table'!$A$41:$A$72,0),MATCH(G$2,'Pivot table'!$B$2:$F$2,0)),0)</f>
        <v>5984400</v>
      </c>
      <c r="H24" s="10">
        <f>IFERROR(INDEX('Pivot table'!$B$41:$F$72,MATCH($E24,'Pivot table'!$A$41:$A$72,0),MATCH(H$2,'Pivot table'!$B$2:$F$2,0)),0)</f>
        <v>8142000</v>
      </c>
      <c r="I24" s="10">
        <f>IFERROR(INDEX('Pivot table'!$B$41:$F$72,MATCH($E24,'Pivot table'!$A$41:$A$72,0),MATCH(I$2,'Pivot table'!$B$2:$F$2,0)),0)</f>
        <v>0</v>
      </c>
      <c r="J24" s="10">
        <f>IFERROR(INDEX('Pivot table'!$B$41:$F$72,MATCH($E24,'Pivot table'!$A$41:$A$72,0),MATCH(J$2,'Pivot table'!$B$2:$F$2,0)),0)</f>
        <v>0</v>
      </c>
      <c r="K24" s="10">
        <f>IFERROR(INDEX('Pivot table'!$B$41:$F$71,MATCH($E24,'Pivot table'!$A$41:$A$71,0),MATCH(K$2,'Pivot table'!$B$2:$F$2,0)),0)</f>
        <v>0</v>
      </c>
      <c r="L24" s="33">
        <f>VSR_Value[[#This Row],[Week 1]]+VSR_Value[[#This Row],[Week 2]]+VSR_Value[[#This Row],[Week 3]]+VSR_Value[[#This Row],[Week 4]]+VSR_Value[[#This Row],[Week 5]]</f>
        <v>14126400</v>
      </c>
      <c r="M24" s="77">
        <f>SUMIF(Table3[Column1],VSR_Value[[#This Row],[Territory]]&amp;VSR_Value[[#This Row],[Name]],Table3[Value TGT])</f>
        <v>14625000</v>
      </c>
      <c r="N24" s="25">
        <f>IFERROR(VSR_Value[[#This Row],[Total]]/VSR_Value[[#This Row],[MTH TGT]],0)</f>
        <v>0.96590769230769236</v>
      </c>
      <c r="O24" s="30">
        <f>_xlfn.RANK.AVG(VSR_Value[[#This Row],[% Achivd]],VSR_Value[% Achivd],0)</f>
        <v>5</v>
      </c>
    </row>
    <row r="25" spans="1:17" ht="15.75" x14ac:dyDescent="0.3">
      <c r="A25" s="44" t="s">
        <v>76</v>
      </c>
      <c r="B25" s="46" t="s">
        <v>6</v>
      </c>
      <c r="C25" s="44" t="s">
        <v>7</v>
      </c>
      <c r="D25" s="44" t="s">
        <v>21</v>
      </c>
      <c r="E25" s="44" t="s">
        <v>75</v>
      </c>
      <c r="F25" s="44" t="s">
        <v>118</v>
      </c>
      <c r="G25" s="10">
        <f>IFERROR(INDEX('Pivot table'!$B$41:$F$72,MATCH($E25,'Pivot table'!$A$41:$A$72,0),MATCH(G$2,'Pivot table'!$B$2:$F$2,0)),0)</f>
        <v>4454400</v>
      </c>
      <c r="H25" s="10">
        <f>IFERROR(INDEX('Pivot table'!$B$41:$F$72,MATCH($E25,'Pivot table'!$A$41:$A$72,0),MATCH(H$2,'Pivot table'!$B$2:$F$2,0)),0)</f>
        <v>5192400</v>
      </c>
      <c r="I25" s="10">
        <f>IFERROR(INDEX('Pivot table'!$B$41:$F$72,MATCH($E25,'Pivot table'!$A$41:$A$72,0),MATCH(I$2,'Pivot table'!$B$2:$F$2,0)),0)</f>
        <v>0</v>
      </c>
      <c r="J25" s="10">
        <f>IFERROR(INDEX('Pivot table'!$B$41:$F$72,MATCH($E25,'Pivot table'!$A$41:$A$72,0),MATCH(J$2,'Pivot table'!$B$2:$F$2,0)),0)</f>
        <v>0</v>
      </c>
      <c r="K25" s="10">
        <f>IFERROR(INDEX('Pivot table'!$B$41:$F$71,MATCH($E25,'Pivot table'!$A$41:$A$71,0),MATCH(K$2,'Pivot table'!$B$2:$F$2,0)),0)</f>
        <v>0</v>
      </c>
      <c r="L25" s="33">
        <f>VSR_Value[[#This Row],[Week 1]]+VSR_Value[[#This Row],[Week 2]]+VSR_Value[[#This Row],[Week 3]]+VSR_Value[[#This Row],[Week 4]]+VSR_Value[[#This Row],[Week 5]]</f>
        <v>9646800</v>
      </c>
      <c r="M25" s="33">
        <f>SUMIF(Table3[Column1],VSR_Value[[#This Row],[Territory]]&amp;VSR_Value[[#This Row],[Name]],Table3[Value TGT])</f>
        <v>11700000</v>
      </c>
      <c r="N25" s="25">
        <f>IFERROR(VSR_Value[[#This Row],[Total]]/VSR_Value[[#This Row],[MTH TGT]],0)</f>
        <v>0.82451282051282049</v>
      </c>
      <c r="O25" s="30">
        <f>_xlfn.RANK.AVG(VSR_Value[[#This Row],[% Achivd]],VSR_Value[% Achivd],0)</f>
        <v>6</v>
      </c>
    </row>
    <row r="26" spans="1:17" ht="15.75" x14ac:dyDescent="0.3">
      <c r="A26" s="1" t="s">
        <v>89</v>
      </c>
      <c r="B26" s="66" t="s">
        <v>4</v>
      </c>
      <c r="C26" s="1" t="s">
        <v>56</v>
      </c>
      <c r="D26" s="1" t="s">
        <v>21</v>
      </c>
      <c r="E26" s="1" t="s">
        <v>123</v>
      </c>
      <c r="F26" s="1" t="s">
        <v>90</v>
      </c>
      <c r="G26" s="10">
        <f>IFERROR(INDEX('Pivot table'!$B$41:$F$72,MATCH($E26,'Pivot table'!$A$41:$A$72,0),MATCH(G$2,'Pivot table'!$B$2:$F$2,0)),0)</f>
        <v>0</v>
      </c>
      <c r="H26" s="10">
        <f>IFERROR(INDEX('Pivot table'!$B$41:$F$72,MATCH($E26,'Pivot table'!$A$41:$A$72,0),MATCH(H$2,'Pivot table'!$B$2:$F$2,0)),0)</f>
        <v>9489000</v>
      </c>
      <c r="I26" s="10">
        <f>IFERROR(INDEX('Pivot table'!$B$41:$F$72,MATCH($E26,'Pivot table'!$A$41:$A$72,0),MATCH(I$2,'Pivot table'!$B$2:$F$2,0)),0)</f>
        <v>0</v>
      </c>
      <c r="J26" s="10">
        <f>IFERROR(INDEX('Pivot table'!$B$41:$F$72,MATCH($E26,'Pivot table'!$A$41:$A$72,0),MATCH(J$2,'Pivot table'!$B$2:$F$2,0)),0)</f>
        <v>0</v>
      </c>
      <c r="K26" s="10">
        <f>IFERROR(INDEX('Pivot table'!$B$41:$F$71,MATCH($E26,'Pivot table'!$A$41:$A$71,0),MATCH(K$2,'Pivot table'!$B$2:$F$2,0)),0)</f>
        <v>0</v>
      </c>
      <c r="L26" s="33">
        <f>VSR_Value[[#This Row],[Week 1]]+VSR_Value[[#This Row],[Week 2]]+VSR_Value[[#This Row],[Week 3]]+VSR_Value[[#This Row],[Week 4]]+VSR_Value[[#This Row],[Week 5]]</f>
        <v>9489000</v>
      </c>
      <c r="M26" s="33">
        <f>SUMIF(Table3[Column1],VSR_Value[[#This Row],[Territory]]&amp;VSR_Value[[#This Row],[Name]],Table3[Value TGT])</f>
        <v>11700000</v>
      </c>
      <c r="N26" s="25">
        <f>IFERROR(VSR_Value[[#This Row],[Total]]/VSR_Value[[#This Row],[MTH TGT]],0)</f>
        <v>0.81102564102564101</v>
      </c>
      <c r="O26" s="30">
        <f>_xlfn.RANK.AVG(VSR_Value[[#This Row],[% Achivd]],VSR_Value[% Achivd],0)</f>
        <v>7</v>
      </c>
    </row>
    <row r="27" spans="1:17" ht="15.75" x14ac:dyDescent="0.3">
      <c r="A27" s="45" t="s">
        <v>34</v>
      </c>
      <c r="B27" s="47" t="s">
        <v>23</v>
      </c>
      <c r="C27" s="45" t="s">
        <v>12</v>
      </c>
      <c r="D27" s="45" t="s">
        <v>21</v>
      </c>
      <c r="E27" s="45" t="s">
        <v>48</v>
      </c>
      <c r="F27" s="45" t="s">
        <v>33</v>
      </c>
      <c r="G27" s="10">
        <f>IFERROR(INDEX('Pivot table'!$B$41:$F$72,MATCH($E27,'Pivot table'!$A$41:$A$72,0),MATCH(G$2,'Pivot table'!$B$2:$F$2,0)),0)</f>
        <v>2940000</v>
      </c>
      <c r="H27" s="10">
        <f>IFERROR(INDEX('Pivot table'!$B$41:$F$72,MATCH($E27,'Pivot table'!$A$41:$A$72,0),MATCH(H$2,'Pivot table'!$B$2:$F$2,0)),0)</f>
        <v>4061800</v>
      </c>
      <c r="I27" s="10">
        <f>IFERROR(INDEX('Pivot table'!$B$41:$F$72,MATCH($E27,'Pivot table'!$A$41:$A$72,0),MATCH(I$2,'Pivot table'!$B$2:$F$2,0)),0)</f>
        <v>0</v>
      </c>
      <c r="J27" s="10">
        <f>IFERROR(INDEX('Pivot table'!$B$41:$F$72,MATCH($E27,'Pivot table'!$A$41:$A$72,0),MATCH(J$2,'Pivot table'!$B$2:$F$2,0)),0)</f>
        <v>0</v>
      </c>
      <c r="K27" s="10">
        <f>IFERROR(INDEX('Pivot table'!$B$41:$F$71,MATCH($E27,'Pivot table'!$A$41:$A$71,0),MATCH(K$2,'Pivot table'!$B$2:$F$2,0)),0)</f>
        <v>0</v>
      </c>
      <c r="L27" s="33">
        <f>VSR_Value[[#This Row],[Week 1]]+VSR_Value[[#This Row],[Week 2]]+VSR_Value[[#This Row],[Week 3]]+VSR_Value[[#This Row],[Week 4]]+VSR_Value[[#This Row],[Week 5]]</f>
        <v>7001800</v>
      </c>
      <c r="M27" s="33">
        <f>SUMIF(Table3[Column1],VSR_Value[[#This Row],[Territory]]&amp;VSR_Value[[#This Row],[Name]],Table3[Value TGT])</f>
        <v>11700000</v>
      </c>
      <c r="N27" s="25">
        <f>IFERROR(VSR_Value[[#This Row],[Total]]/VSR_Value[[#This Row],[MTH TGT]],0)</f>
        <v>0.59844444444444445</v>
      </c>
      <c r="O27" s="30">
        <f>_xlfn.RANK.AVG(VSR_Value[[#This Row],[% Achivd]],VSR_Value[% Achivd],0)</f>
        <v>8</v>
      </c>
    </row>
    <row r="28" spans="1:17" ht="15.75" x14ac:dyDescent="0.3">
      <c r="A28" s="41" t="s">
        <v>77</v>
      </c>
      <c r="B28" s="42" t="s">
        <v>6</v>
      </c>
      <c r="C28" s="41" t="s">
        <v>68</v>
      </c>
      <c r="D28" s="41" t="s">
        <v>21</v>
      </c>
      <c r="E28" s="41" t="s">
        <v>78</v>
      </c>
      <c r="F28" s="41" t="s">
        <v>69</v>
      </c>
      <c r="G28" s="10">
        <f>IFERROR(INDEX('Pivot table'!$B$41:$F$72,MATCH($E28,'Pivot table'!$A$41:$A$72,0),MATCH(G$2,'Pivot table'!$B$2:$F$2,0)),0)</f>
        <v>3150000</v>
      </c>
      <c r="H28" s="10">
        <f>IFERROR(INDEX('Pivot table'!$B$41:$F$72,MATCH($E28,'Pivot table'!$A$41:$A$72,0),MATCH(H$2,'Pivot table'!$B$2:$F$2,0)),0)</f>
        <v>3150000</v>
      </c>
      <c r="I28" s="10">
        <f>IFERROR(INDEX('Pivot table'!$B$41:$F$72,MATCH($E28,'Pivot table'!$A$41:$A$72,0),MATCH(I$2,'Pivot table'!$B$2:$F$2,0)),0)</f>
        <v>0</v>
      </c>
      <c r="J28" s="10">
        <f>IFERROR(INDEX('Pivot table'!$B$41:$F$72,MATCH($E28,'Pivot table'!$A$41:$A$72,0),MATCH(J$2,'Pivot table'!$B$2:$F$2,0)),0)</f>
        <v>0</v>
      </c>
      <c r="K28" s="10">
        <f>IFERROR(INDEX('Pivot table'!$B$41:$F$71,MATCH($E28,'Pivot table'!$A$41:$A$71,0),MATCH(K$2,'Pivot table'!$B$2:$F$2,0)),0)</f>
        <v>0</v>
      </c>
      <c r="L28" s="33">
        <f>VSR_Value[[#This Row],[Week 1]]+VSR_Value[[#This Row],[Week 2]]+VSR_Value[[#This Row],[Week 3]]+VSR_Value[[#This Row],[Week 4]]+VSR_Value[[#This Row],[Week 5]]</f>
        <v>6300000</v>
      </c>
      <c r="M28" s="33">
        <f>SUMIF(Table3[Column1],VSR_Value[[#This Row],[Territory]]&amp;VSR_Value[[#This Row],[Name]],Table3[Value TGT])</f>
        <v>11700000</v>
      </c>
      <c r="N28" s="25">
        <f>IFERROR(VSR_Value[[#This Row],[Total]]/VSR_Value[[#This Row],[MTH TGT]],0)</f>
        <v>0.53846153846153844</v>
      </c>
      <c r="O28" s="30">
        <f>_xlfn.RANK.AVG(VSR_Value[[#This Row],[% Achivd]],VSR_Value[% Achivd],0)</f>
        <v>9</v>
      </c>
    </row>
    <row r="29" spans="1:17" ht="15.75" x14ac:dyDescent="0.3">
      <c r="A29" s="45" t="s">
        <v>50</v>
      </c>
      <c r="B29" s="47" t="s">
        <v>23</v>
      </c>
      <c r="C29" s="45" t="s">
        <v>3</v>
      </c>
      <c r="D29" s="82" t="s">
        <v>21</v>
      </c>
      <c r="E29" s="41" t="s">
        <v>104</v>
      </c>
      <c r="F29" s="82" t="s">
        <v>119</v>
      </c>
      <c r="G29" s="10">
        <f>IFERROR(INDEX('Pivot table'!$B$41:$F$72,MATCH($E29,'Pivot table'!$A$41:$A$72,0),MATCH(G$2,'Pivot table'!$B$2:$F$2,0)),0)</f>
        <v>3045600</v>
      </c>
      <c r="H29" s="10">
        <f>IFERROR(INDEX('Pivot table'!$B$41:$F$72,MATCH($E29,'Pivot table'!$A$41:$A$72,0),MATCH(H$2,'Pivot table'!$B$2:$F$2,0)),0)</f>
        <v>2632000</v>
      </c>
      <c r="I29" s="10">
        <f>IFERROR(INDEX('Pivot table'!$B$41:$F$72,MATCH($E29,'Pivot table'!$A$41:$A$72,0),MATCH(I$2,'Pivot table'!$B$2:$F$2,0)),0)</f>
        <v>0</v>
      </c>
      <c r="J29" s="10">
        <f>IFERROR(INDEX('Pivot table'!$B$41:$F$72,MATCH($E29,'Pivot table'!$A$41:$A$72,0),MATCH(J$2,'Pivot table'!$B$2:$F$2,0)),0)</f>
        <v>0</v>
      </c>
      <c r="K29" s="10">
        <f>IFERROR(INDEX('Pivot table'!$B$41:$F$71,MATCH($E29,'Pivot table'!$A$41:$A$71,0),MATCH(K$2,'Pivot table'!$B$2:$F$2,0)),0)</f>
        <v>0</v>
      </c>
      <c r="L29" s="33">
        <f>VSR_Value[[#This Row],[Week 1]]+VSR_Value[[#This Row],[Week 2]]+VSR_Value[[#This Row],[Week 3]]+VSR_Value[[#This Row],[Week 4]]+VSR_Value[[#This Row],[Week 5]]</f>
        <v>5677600</v>
      </c>
      <c r="M29" s="33">
        <f>SUMIF(Table3[Column1],VSR_Value[[#This Row],[Territory]]&amp;VSR_Value[[#This Row],[Name]],Table3[Value TGT])</f>
        <v>11700000</v>
      </c>
      <c r="N29" s="25">
        <f>IFERROR(VSR_Value[[#This Row],[Total]]/VSR_Value[[#This Row],[MTH TGT]],0)</f>
        <v>0.48526495726495728</v>
      </c>
      <c r="O29" s="30">
        <f>_xlfn.RANK.AVG(VSR_Value[[#This Row],[% Achivd]],VSR_Value[% Achivd],0)</f>
        <v>10</v>
      </c>
    </row>
    <row r="30" spans="1:17" ht="15.75" x14ac:dyDescent="0.3">
      <c r="A30" s="45" t="s">
        <v>87</v>
      </c>
      <c r="B30" s="47" t="s">
        <v>23</v>
      </c>
      <c r="C30" s="45" t="s">
        <v>18</v>
      </c>
      <c r="D30" s="45" t="s">
        <v>21</v>
      </c>
      <c r="E30" s="41" t="s">
        <v>103</v>
      </c>
      <c r="F30" s="1" t="s">
        <v>117</v>
      </c>
      <c r="G30" s="10">
        <f>IFERROR(INDEX('Pivot table'!$B$41:$F$72,MATCH($E30,'Pivot table'!$A$41:$A$72,0),MATCH(G$2,'Pivot table'!$B$2:$F$2,0)),0)</f>
        <v>3131300</v>
      </c>
      <c r="H30" s="10">
        <f>IFERROR(INDEX('Pivot table'!$B$41:$F$72,MATCH($E30,'Pivot table'!$A$41:$A$72,0),MATCH(H$2,'Pivot table'!$B$2:$F$2,0)),0)</f>
        <v>3131300</v>
      </c>
      <c r="I30" s="10">
        <f>IFERROR(INDEX('Pivot table'!$B$41:$F$72,MATCH($E30,'Pivot table'!$A$41:$A$72,0),MATCH(I$2,'Pivot table'!$B$2:$F$2,0)),0)</f>
        <v>0</v>
      </c>
      <c r="J30" s="10">
        <f>IFERROR(INDEX('Pivot table'!$B$41:$F$72,MATCH($E30,'Pivot table'!$A$41:$A$72,0),MATCH(J$2,'Pivot table'!$B$2:$F$2,0)),0)</f>
        <v>0</v>
      </c>
      <c r="K30" s="10">
        <f>IFERROR(INDEX('Pivot table'!$B$41:$F$71,MATCH($E30,'Pivot table'!$A$41:$A$71,0),MATCH(K$2,'Pivot table'!$B$2:$F$2,0)),0)</f>
        <v>0</v>
      </c>
      <c r="L30" s="33">
        <f>VSR_Value[[#This Row],[Week 1]]+VSR_Value[[#This Row],[Week 2]]+VSR_Value[[#This Row],[Week 3]]+VSR_Value[[#This Row],[Week 4]]+VSR_Value[[#This Row],[Week 5]]</f>
        <v>6262600</v>
      </c>
      <c r="M30" s="33">
        <f>SUMIF(Table3[Column1],VSR_Value[[#This Row],[Territory]]&amp;VSR_Value[[#This Row],[Name]],Table3[Value TGT])</f>
        <v>14625000</v>
      </c>
      <c r="N30" s="25">
        <f>IFERROR(VSR_Value[[#This Row],[Total]]/VSR_Value[[#This Row],[MTH TGT]],0)</f>
        <v>0.4282119658119658</v>
      </c>
      <c r="O30" s="30">
        <f>_xlfn.RANK.AVG(VSR_Value[[#This Row],[% Achivd]],VSR_Value[% Achivd],0)</f>
        <v>11</v>
      </c>
    </row>
    <row r="31" spans="1:17" ht="15.75" x14ac:dyDescent="0.3">
      <c r="A31" s="45" t="s">
        <v>46</v>
      </c>
      <c r="B31" s="47" t="s">
        <v>4</v>
      </c>
      <c r="C31" s="45" t="s">
        <v>8</v>
      </c>
      <c r="D31" s="45" t="s">
        <v>21</v>
      </c>
      <c r="E31" s="45" t="s">
        <v>55</v>
      </c>
      <c r="F31" s="45" t="s">
        <v>45</v>
      </c>
      <c r="G31" s="10">
        <f>IFERROR(INDEX('Pivot table'!$B$41:$F$72,MATCH($E31,'Pivot table'!$A$41:$A$72,0),MATCH(G$2,'Pivot table'!$B$2:$F$2,0)),0)</f>
        <v>3955200</v>
      </c>
      <c r="H31" s="10">
        <f>IFERROR(INDEX('Pivot table'!$B$41:$F$72,MATCH($E31,'Pivot table'!$A$41:$A$72,0),MATCH(H$2,'Pivot table'!$B$2:$F$2,0)),0)</f>
        <v>0</v>
      </c>
      <c r="I31" s="10">
        <f>IFERROR(INDEX('Pivot table'!$B$41:$F$72,MATCH($E31,'Pivot table'!$A$41:$A$72,0),MATCH(I$2,'Pivot table'!$B$2:$F$2,0)),0)</f>
        <v>0</v>
      </c>
      <c r="J31" s="10">
        <f>IFERROR(INDEX('Pivot table'!$B$41:$F$72,MATCH($E31,'Pivot table'!$A$41:$A$72,0),MATCH(J$2,'Pivot table'!$B$2:$F$2,0)),0)</f>
        <v>0</v>
      </c>
      <c r="K31" s="10">
        <f>IFERROR(INDEX('Pivot table'!$B$41:$F$71,MATCH($E31,'Pivot table'!$A$41:$A$71,0),MATCH(K$2,'Pivot table'!$B$2:$F$2,0)),0)</f>
        <v>0</v>
      </c>
      <c r="L31" s="33">
        <f>VSR_Value[[#This Row],[Week 1]]+VSR_Value[[#This Row],[Week 2]]+VSR_Value[[#This Row],[Week 3]]+VSR_Value[[#This Row],[Week 4]]+VSR_Value[[#This Row],[Week 5]]</f>
        <v>3955200</v>
      </c>
      <c r="M31" s="33">
        <f>SUMIF(Table3[Column1],VSR_Value[[#This Row],[Territory]]&amp;VSR_Value[[#This Row],[Name]],Table3[Value TGT])</f>
        <v>11700000</v>
      </c>
      <c r="N31" s="25">
        <f>IFERROR(VSR_Value[[#This Row],[Total]]/VSR_Value[[#This Row],[MTH TGT]],0)</f>
        <v>0.33805128205128204</v>
      </c>
      <c r="O31" s="30">
        <f>_xlfn.RANK.AVG(VSR_Value[[#This Row],[% Achivd]],VSR_Value[% Achivd],0)</f>
        <v>12</v>
      </c>
    </row>
    <row r="32" spans="1:17" ht="15" customHeight="1" x14ac:dyDescent="0.3">
      <c r="A32" s="45" t="s">
        <v>46</v>
      </c>
      <c r="B32" s="47" t="s">
        <v>4</v>
      </c>
      <c r="C32" s="45" t="s">
        <v>8</v>
      </c>
      <c r="D32" s="45" t="s">
        <v>21</v>
      </c>
      <c r="E32" s="45" t="s">
        <v>84</v>
      </c>
      <c r="F32" s="45" t="s">
        <v>45</v>
      </c>
      <c r="G32" s="10">
        <f>IFERROR(INDEX('Pivot table'!$B$41:$F$72,MATCH($E32,'Pivot table'!$A$41:$A$72,0),MATCH(G$2,'Pivot table'!$B$2:$F$2,0)),0)</f>
        <v>3889200</v>
      </c>
      <c r="H32" s="10">
        <f>IFERROR(INDEX('Pivot table'!$B$41:$F$72,MATCH($E32,'Pivot table'!$A$41:$A$72,0),MATCH(H$2,'Pivot table'!$B$2:$F$2,0)),0)</f>
        <v>0</v>
      </c>
      <c r="I32" s="10">
        <f>IFERROR(INDEX('Pivot table'!$B$41:$F$72,MATCH($E32,'Pivot table'!$A$41:$A$72,0),MATCH(I$2,'Pivot table'!$B$2:$F$2,0)),0)</f>
        <v>0</v>
      </c>
      <c r="J32" s="10">
        <f>IFERROR(INDEX('Pivot table'!$B$41:$F$72,MATCH($E32,'Pivot table'!$A$41:$A$72,0),MATCH(J$2,'Pivot table'!$B$2:$F$2,0)),0)</f>
        <v>0</v>
      </c>
      <c r="K32" s="10">
        <f>IFERROR(INDEX('Pivot table'!$B$41:$F$71,MATCH($E32,'Pivot table'!$A$41:$A$71,0),MATCH(K$2,'Pivot table'!$B$2:$F$2,0)),0)</f>
        <v>0</v>
      </c>
      <c r="L32" s="33">
        <f>VSR_Value[[#This Row],[Week 1]]+VSR_Value[[#This Row],[Week 2]]+VSR_Value[[#This Row],[Week 3]]+VSR_Value[[#This Row],[Week 4]]+VSR_Value[[#This Row],[Week 5]]</f>
        <v>3889200</v>
      </c>
      <c r="M32" s="33">
        <f>SUMIF(Table3[Column1],VSR_Value[[#This Row],[Territory]]&amp;VSR_Value[[#This Row],[Name]],Table3[Value TGT])</f>
        <v>11700000</v>
      </c>
      <c r="N32" s="25">
        <f>IFERROR(VSR_Value[[#This Row],[Total]]/VSR_Value[[#This Row],[MTH TGT]],0)</f>
        <v>0.3324102564102564</v>
      </c>
      <c r="O32" s="30">
        <f>_xlfn.RANK.AVG(VSR_Value[[#This Row],[% Achivd]],VSR_Value[% Achivd],0)</f>
        <v>13</v>
      </c>
    </row>
    <row r="33" spans="1:15" ht="15" customHeight="1" x14ac:dyDescent="0.3">
      <c r="A33" s="45" t="s">
        <v>87</v>
      </c>
      <c r="B33" s="47" t="s">
        <v>23</v>
      </c>
      <c r="C33" s="45" t="s">
        <v>96</v>
      </c>
      <c r="D33" s="67" t="s">
        <v>21</v>
      </c>
      <c r="E33" s="41" t="s">
        <v>63</v>
      </c>
      <c r="F33" s="1" t="s">
        <v>117</v>
      </c>
      <c r="G33" s="10">
        <f>IFERROR(INDEX('Pivot table'!$B$41:$F$72,MATCH($E33,'Pivot table'!$A$41:$A$72,0),MATCH(G$2,'Pivot table'!$B$2:$F$2,0)),0)</f>
        <v>1560000</v>
      </c>
      <c r="H33" s="10">
        <f>IFERROR(INDEX('Pivot table'!$B$41:$F$72,MATCH($E33,'Pivot table'!$A$41:$A$72,0),MATCH(H$2,'Pivot table'!$B$2:$F$2,0)),0)</f>
        <v>1560000</v>
      </c>
      <c r="I33" s="10">
        <f>IFERROR(INDEX('Pivot table'!$B$41:$F$72,MATCH($E33,'Pivot table'!$A$41:$A$72,0),MATCH(I$2,'Pivot table'!$B$2:$F$2,0)),0)</f>
        <v>0</v>
      </c>
      <c r="J33" s="10">
        <f>IFERROR(INDEX('Pivot table'!$B$41:$F$72,MATCH($E33,'Pivot table'!$A$41:$A$72,0),MATCH(J$2,'Pivot table'!$B$2:$F$2,0)),0)</f>
        <v>0</v>
      </c>
      <c r="K33" s="10">
        <f>IFERROR(INDEX('Pivot table'!$B$41:$F$71,MATCH($E33,'Pivot table'!$A$41:$A$71,0),MATCH(K$2,'Pivot table'!$B$2:$F$2,0)),0)</f>
        <v>0</v>
      </c>
      <c r="L33" s="33">
        <f>VSR_Value[[#This Row],[Week 1]]+VSR_Value[[#This Row],[Week 2]]+VSR_Value[[#This Row],[Week 3]]+VSR_Value[[#This Row],[Week 4]]+VSR_Value[[#This Row],[Week 5]]</f>
        <v>3120000</v>
      </c>
      <c r="M33" s="33">
        <f>SUMIF(Table3[Column1],VSR_Value[[#This Row],[Territory]]&amp;VSR_Value[[#This Row],[Name]],Table3[Value TGT])</f>
        <v>11700000</v>
      </c>
      <c r="N33" s="25">
        <f>IFERROR(VSR_Value[[#This Row],[Total]]/VSR_Value[[#This Row],[MTH TGT]],0)</f>
        <v>0.26666666666666666</v>
      </c>
      <c r="O33" s="30">
        <f>_xlfn.RANK.AVG(VSR_Value[[#This Row],[% Achivd]],VSR_Value[% Achivd],0)</f>
        <v>14</v>
      </c>
    </row>
    <row r="34" spans="1:15" ht="15" customHeight="1" x14ac:dyDescent="0.3">
      <c r="A34" s="45" t="s">
        <v>46</v>
      </c>
      <c r="B34" s="47" t="s">
        <v>4</v>
      </c>
      <c r="C34" s="45" t="s">
        <v>91</v>
      </c>
      <c r="D34" s="70" t="s">
        <v>21</v>
      </c>
      <c r="E34" s="45" t="s">
        <v>85</v>
      </c>
      <c r="F34" s="70" t="s">
        <v>45</v>
      </c>
      <c r="G34" s="10">
        <f>IFERROR(INDEX('Pivot table'!$B$41:$F$72,MATCH($E34,'Pivot table'!$A$41:$A$72,0),MATCH(G$2,'Pivot table'!$B$2:$F$2,0)),0)</f>
        <v>2826000</v>
      </c>
      <c r="H34" s="10">
        <f>IFERROR(INDEX('Pivot table'!$B$41:$F$72,MATCH($E34,'Pivot table'!$A$41:$A$72,0),MATCH(H$2,'Pivot table'!$B$2:$F$2,0)),0)</f>
        <v>0</v>
      </c>
      <c r="I34" s="10">
        <f>IFERROR(INDEX('Pivot table'!$B$41:$F$72,MATCH($E34,'Pivot table'!$A$41:$A$72,0),MATCH(I$2,'Pivot table'!$B$2:$F$2,0)),0)</f>
        <v>0</v>
      </c>
      <c r="J34" s="10">
        <f>IFERROR(INDEX('Pivot table'!$B$41:$F$72,MATCH($E34,'Pivot table'!$A$41:$A$72,0),MATCH(J$2,'Pivot table'!$B$2:$F$2,0)),0)</f>
        <v>0</v>
      </c>
      <c r="K34" s="10">
        <f>IFERROR(INDEX('Pivot table'!$B$41:$F$71,MATCH($E34,'Pivot table'!$A$41:$A$71,0),MATCH(K$2,'Pivot table'!$B$2:$F$2,0)),0)</f>
        <v>0</v>
      </c>
      <c r="L34" s="33">
        <f>VSR_Value[[#This Row],[Week 1]]+VSR_Value[[#This Row],[Week 2]]+VSR_Value[[#This Row],[Week 3]]+VSR_Value[[#This Row],[Week 4]]+VSR_Value[[#This Row],[Week 5]]</f>
        <v>2826000</v>
      </c>
      <c r="M34" s="33">
        <f>SUMIF(Table3[Column1],VSR_Value[[#This Row],[Territory]]&amp;VSR_Value[[#This Row],[Name]],Table3[Value TGT])</f>
        <v>11700000</v>
      </c>
      <c r="N34" s="25">
        <f>IFERROR(VSR_Value[[#This Row],[Total]]/VSR_Value[[#This Row],[MTH TGT]],0)</f>
        <v>0.24153846153846154</v>
      </c>
      <c r="O34" s="30">
        <f>_xlfn.RANK.AVG(VSR_Value[[#This Row],[% Achivd]],VSR_Value[% Achivd],0)</f>
        <v>15</v>
      </c>
    </row>
    <row r="35" spans="1:15" ht="15" customHeight="1" x14ac:dyDescent="0.3">
      <c r="A35" s="45" t="s">
        <v>46</v>
      </c>
      <c r="B35" s="47" t="s">
        <v>4</v>
      </c>
      <c r="C35" s="45" t="s">
        <v>8</v>
      </c>
      <c r="D35" s="70" t="s">
        <v>21</v>
      </c>
      <c r="E35" s="86" t="s">
        <v>47</v>
      </c>
      <c r="F35" s="70" t="s">
        <v>45</v>
      </c>
      <c r="G35" s="10">
        <f>IFERROR(INDEX('Pivot table'!$B$41:$F$72,MATCH($E35,'Pivot table'!$A$41:$A$72,0),MATCH(G$2,'Pivot table'!$B$2:$F$2,0)),0)</f>
        <v>2238800</v>
      </c>
      <c r="H35" s="10">
        <f>IFERROR(INDEX('Pivot table'!$B$41:$F$72,MATCH($E35,'Pivot table'!$A$41:$A$72,0),MATCH(H$2,'Pivot table'!$B$2:$F$2,0)),0)</f>
        <v>0</v>
      </c>
      <c r="I35" s="10">
        <f>IFERROR(INDEX('Pivot table'!$B$41:$F$72,MATCH($E35,'Pivot table'!$A$41:$A$72,0),MATCH(I$2,'Pivot table'!$B$2:$F$2,0)),0)</f>
        <v>0</v>
      </c>
      <c r="J35" s="10">
        <f>IFERROR(INDEX('Pivot table'!$B$41:$F$72,MATCH($E35,'Pivot table'!$A$41:$A$72,0),MATCH(J$2,'Pivot table'!$B$2:$F$2,0)),0)</f>
        <v>0</v>
      </c>
      <c r="K35" s="10">
        <f>IFERROR(INDEX('Pivot table'!$B$41:$F$71,MATCH($E35,'Pivot table'!$A$41:$A$71,0),MATCH(K$2,'Pivot table'!$B$2:$F$2,0)),0)</f>
        <v>0</v>
      </c>
      <c r="L35" s="33">
        <f>VSR_Value[[#This Row],[Week 1]]+VSR_Value[[#This Row],[Week 2]]+VSR_Value[[#This Row],[Week 3]]+VSR_Value[[#This Row],[Week 4]]+VSR_Value[[#This Row],[Week 5]]</f>
        <v>2238800</v>
      </c>
      <c r="M35" s="33">
        <f>SUMIF(Table3[Column1],VSR_Value[[#This Row],[Territory]]&amp;VSR_Value[[#This Row],[Name]],Table3[Value TGT])</f>
        <v>11700000</v>
      </c>
      <c r="N35" s="25">
        <f>IFERROR(VSR_Value[[#This Row],[Total]]/VSR_Value[[#This Row],[MTH TGT]],0)</f>
        <v>0.19135042735042734</v>
      </c>
      <c r="O35" s="30">
        <f>_xlfn.RANK.AVG(VSR_Value[[#This Row],[% Achivd]],VSR_Value[% Achivd],0)</f>
        <v>16</v>
      </c>
    </row>
    <row r="36" spans="1:15" ht="15" customHeight="1" x14ac:dyDescent="0.3">
      <c r="A36" s="45" t="s">
        <v>105</v>
      </c>
      <c r="B36" s="70" t="s">
        <v>112</v>
      </c>
      <c r="C36" s="45" t="s">
        <v>109</v>
      </c>
      <c r="D36" s="1" t="s">
        <v>111</v>
      </c>
      <c r="E36" s="45" t="s">
        <v>110</v>
      </c>
      <c r="F36" s="1" t="s">
        <v>108</v>
      </c>
      <c r="G36" s="10">
        <f>IFERROR(INDEX('Pivot table'!$B$41:$F$72,MATCH($E36,'Pivot table'!$A$41:$A$72,0),MATCH(G$2,'Pivot table'!$B$2:$F$2,0)),0)</f>
        <v>1320000</v>
      </c>
      <c r="H36" s="10">
        <f>IFERROR(INDEX('Pivot table'!$B$41:$F$72,MATCH($E36,'Pivot table'!$A$41:$A$72,0),MATCH(H$2,'Pivot table'!$B$2:$F$2,0)),0)</f>
        <v>0</v>
      </c>
      <c r="I36" s="10">
        <f>IFERROR(INDEX('Pivot table'!$B$41:$F$72,MATCH($E36,'Pivot table'!$A$41:$A$72,0),MATCH(I$2,'Pivot table'!$B$2:$F$2,0)),0)</f>
        <v>0</v>
      </c>
      <c r="J36" s="10">
        <f>IFERROR(INDEX('Pivot table'!$B$41:$F$72,MATCH($E36,'Pivot table'!$A$41:$A$72,0),MATCH(J$2,'Pivot table'!$B$2:$F$2,0)),0)</f>
        <v>0</v>
      </c>
      <c r="K36" s="10">
        <f>IFERROR(INDEX('Pivot table'!$B$41:$F$71,MATCH($E36,'Pivot table'!$A$41:$A$71,0),MATCH(K$2,'Pivot table'!$B$2:$F$2,0)),0)</f>
        <v>0</v>
      </c>
      <c r="L36" s="33">
        <f>VSR_Value[[#This Row],[Week 1]]+VSR_Value[[#This Row],[Week 2]]+VSR_Value[[#This Row],[Week 3]]+VSR_Value[[#This Row],[Week 4]]+VSR_Value[[#This Row],[Week 5]]</f>
        <v>1320000</v>
      </c>
      <c r="M36" s="33">
        <f>SUMIF(Table3[Column1],VSR_Value[[#This Row],[Territory]]&amp;VSR_Value[[#This Row],[Name]],Table3[Value TGT])</f>
        <v>8000000</v>
      </c>
      <c r="N36" s="25">
        <f>IFERROR(VSR_Value[[#This Row],[Total]]/VSR_Value[[#This Row],[MTH TGT]],0)</f>
        <v>0.16500000000000001</v>
      </c>
      <c r="O36" s="30">
        <f>_xlfn.RANK.AVG(VSR_Value[[#This Row],[% Achivd]],VSR_Value[% Achivd],0)</f>
        <v>17</v>
      </c>
    </row>
    <row r="37" spans="1:15" ht="15" customHeight="1" x14ac:dyDescent="0.3">
      <c r="A37" s="45" t="s">
        <v>53</v>
      </c>
      <c r="B37" s="47" t="s">
        <v>6</v>
      </c>
      <c r="C37" s="45" t="s">
        <v>92</v>
      </c>
      <c r="D37" s="67" t="s">
        <v>21</v>
      </c>
      <c r="E37" s="45" t="s">
        <v>120</v>
      </c>
      <c r="F37" s="67" t="s">
        <v>69</v>
      </c>
      <c r="G37" s="10">
        <f>IFERROR(INDEX('Pivot table'!$B$41:$F$72,MATCH($E37,'Pivot table'!$A$41:$A$72,0),MATCH(G$2,'Pivot table'!$B$2:$F$2,0)),0)</f>
        <v>0</v>
      </c>
      <c r="H37" s="10">
        <f>IFERROR(INDEX('Pivot table'!$B$41:$F$72,MATCH($E37,'Pivot table'!$A$41:$A$72,0),MATCH(H$2,'Pivot table'!$B$2:$F$2,0)),0)</f>
        <v>0</v>
      </c>
      <c r="I37" s="10">
        <f>IFERROR(INDEX('Pivot table'!$B$41:$F$72,MATCH($E37,'Pivot table'!$A$41:$A$72,0),MATCH(I$2,'Pivot table'!$B$2:$F$2,0)),0)</f>
        <v>0</v>
      </c>
      <c r="J37" s="10">
        <f>IFERROR(INDEX('Pivot table'!$B$41:$F$72,MATCH($E37,'Pivot table'!$A$41:$A$72,0),MATCH(J$2,'Pivot table'!$B$2:$F$2,0)),0)</f>
        <v>0</v>
      </c>
      <c r="K37" s="10">
        <f>IFERROR(INDEX('Pivot table'!$B$41:$F$71,MATCH($E37,'Pivot table'!$A$41:$A$71,0),MATCH(K$2,'Pivot table'!$B$2:$F$2,0)),0)</f>
        <v>0</v>
      </c>
      <c r="L37" s="33">
        <f>VSR_Value[[#This Row],[Week 1]]+VSR_Value[[#This Row],[Week 2]]+VSR_Value[[#This Row],[Week 3]]+VSR_Value[[#This Row],[Week 4]]+VSR_Value[[#This Row],[Week 5]]</f>
        <v>0</v>
      </c>
      <c r="M37" s="33">
        <f>SUMIF(Table3[Column1],VSR_Value[[#This Row],[Territory]]&amp;VSR_Value[[#This Row],[Name]],Table3[Value TGT])</f>
        <v>11700000</v>
      </c>
      <c r="N37" s="25">
        <f>IFERROR(VSR_Value[[#This Row],[Total]]/VSR_Value[[#This Row],[MTH TGT]],0)</f>
        <v>0</v>
      </c>
      <c r="O37" s="30">
        <f>_xlfn.RANK.AVG(VSR_Value[[#This Row],[% Achivd]],VSR_Value[% Achivd],0)</f>
        <v>20</v>
      </c>
    </row>
    <row r="38" spans="1:15" ht="15" customHeight="1" x14ac:dyDescent="0.3">
      <c r="A38" s="45" t="s">
        <v>105</v>
      </c>
      <c r="B38" s="70" t="s">
        <v>112</v>
      </c>
      <c r="C38" s="52" t="s">
        <v>106</v>
      </c>
      <c r="D38" s="71" t="s">
        <v>111</v>
      </c>
      <c r="E38" s="45" t="s">
        <v>107</v>
      </c>
      <c r="F38" s="72" t="s">
        <v>108</v>
      </c>
      <c r="G38" s="10">
        <f>IFERROR(INDEX('Pivot table'!$B$41:$F$72,MATCH($E38,'Pivot table'!$A$41:$A$72,0),MATCH(G$2,'Pivot table'!$B$2:$F$2,0)),0)</f>
        <v>0</v>
      </c>
      <c r="H38" s="10">
        <f>IFERROR(INDEX('Pivot table'!$B$41:$F$72,MATCH($E38,'Pivot table'!$A$41:$A$72,0),MATCH(H$2,'Pivot table'!$B$2:$F$2,0)),0)</f>
        <v>0</v>
      </c>
      <c r="I38" s="10">
        <f>IFERROR(INDEX('Pivot table'!$B$41:$F$72,MATCH($E38,'Pivot table'!$A$41:$A$72,0),MATCH(I$2,'Pivot table'!$B$2:$F$2,0)),0)</f>
        <v>0</v>
      </c>
      <c r="J38" s="10">
        <f>IFERROR(INDEX('Pivot table'!$B$41:$F$72,MATCH($E38,'Pivot table'!$A$41:$A$72,0),MATCH(J$2,'Pivot table'!$B$2:$F$2,0)),0)</f>
        <v>0</v>
      </c>
      <c r="K38" s="10">
        <f>IFERROR(INDEX('Pivot table'!$B$41:$F$71,MATCH($E38,'Pivot table'!$A$41:$A$71,0),MATCH(K$2,'Pivot table'!$B$2:$F$2,0)),0)</f>
        <v>0</v>
      </c>
      <c r="L38" s="33">
        <f>VSR_Value[[#This Row],[Week 1]]+VSR_Value[[#This Row],[Week 2]]+VSR_Value[[#This Row],[Week 3]]+VSR_Value[[#This Row],[Week 4]]+VSR_Value[[#This Row],[Week 5]]</f>
        <v>0</v>
      </c>
      <c r="M38" s="33">
        <f>SUMIF(Table3[Column1],VSR_Value[[#This Row],[Territory]]&amp;VSR_Value[[#This Row],[Name]],Table3[Value TGT])</f>
        <v>8000000</v>
      </c>
      <c r="N38" s="25">
        <f>IFERROR(VSR_Value[[#This Row],[Total]]/VSR_Value[[#This Row],[MTH TGT]],0)</f>
        <v>0</v>
      </c>
      <c r="O38" s="30">
        <f>_xlfn.RANK.AVG(VSR_Value[[#This Row],[% Achivd]],VSR_Value[% Achivd],0)</f>
        <v>20</v>
      </c>
    </row>
    <row r="39" spans="1:15" ht="15" customHeight="1" x14ac:dyDescent="0.3">
      <c r="A39" s="1" t="s">
        <v>53</v>
      </c>
      <c r="B39" s="67" t="s">
        <v>6</v>
      </c>
      <c r="C39" s="1" t="s">
        <v>7</v>
      </c>
      <c r="D39" s="1" t="s">
        <v>21</v>
      </c>
      <c r="E39" s="1" t="s">
        <v>113</v>
      </c>
      <c r="F39" s="1" t="s">
        <v>67</v>
      </c>
      <c r="G39" s="10">
        <f>IFERROR(INDEX('Pivot table'!$B$41:$F$72,MATCH($E39,'Pivot table'!$A$41:$A$72,0),MATCH(G$2,'Pivot table'!$B$2:$F$2,0)),0)</f>
        <v>0</v>
      </c>
      <c r="H39" s="10">
        <f>IFERROR(INDEX('Pivot table'!$B$41:$F$72,MATCH($E39,'Pivot table'!$A$41:$A$72,0),MATCH(H$2,'Pivot table'!$B$2:$F$2,0)),0)</f>
        <v>0</v>
      </c>
      <c r="I39" s="10">
        <f>IFERROR(INDEX('Pivot table'!$B$41:$F$72,MATCH($E39,'Pivot table'!$A$41:$A$72,0),MATCH(I$2,'Pivot table'!$B$2:$F$2,0)),0)</f>
        <v>0</v>
      </c>
      <c r="J39" s="10">
        <f>IFERROR(INDEX('Pivot table'!$B$41:$F$72,MATCH($E39,'Pivot table'!$A$41:$A$72,0),MATCH(J$2,'Pivot table'!$B$2:$F$2,0)),0)</f>
        <v>0</v>
      </c>
      <c r="K39" s="10">
        <f>IFERROR(INDEX('Pivot table'!$B$41:$F$71,MATCH($E39,'Pivot table'!$A$41:$A$71,0),MATCH(K$2,'Pivot table'!$B$2:$F$2,0)),0)</f>
        <v>0</v>
      </c>
      <c r="L39" s="33">
        <f>VSR_Value[[#This Row],[Week 1]]+VSR_Value[[#This Row],[Week 2]]+VSR_Value[[#This Row],[Week 3]]+VSR_Value[[#This Row],[Week 4]]+VSR_Value[[#This Row],[Week 5]]</f>
        <v>0</v>
      </c>
      <c r="M39" s="33">
        <f>SUMIF(Table3[Column1],VSR_Value[[#This Row],[Territory]]&amp;VSR_Value[[#This Row],[Name]],Table3[Value TGT])</f>
        <v>11700000</v>
      </c>
      <c r="N39" s="25">
        <f>IFERROR(VSR_Value[[#This Row],[Total]]/VSR_Value[[#This Row],[MTH TGT]],0)</f>
        <v>0</v>
      </c>
      <c r="O39" s="30">
        <f>_xlfn.RANK.AVG(VSR_Value[[#This Row],[% Achivd]],VSR_Value[% Achivd],0)</f>
        <v>20</v>
      </c>
    </row>
    <row r="40" spans="1:15" ht="15" customHeight="1" x14ac:dyDescent="0.3">
      <c r="A40" s="1" t="s">
        <v>64</v>
      </c>
      <c r="B40" s="67" t="s">
        <v>23</v>
      </c>
      <c r="C40" s="1" t="s">
        <v>2</v>
      </c>
      <c r="D40" s="1" t="s">
        <v>21</v>
      </c>
      <c r="E40" s="1" t="s">
        <v>116</v>
      </c>
      <c r="F40" s="1" t="s">
        <v>66</v>
      </c>
      <c r="G40" s="10">
        <f>IFERROR(INDEX('Pivot table'!$B$41:$F$72,MATCH($E40,'Pivot table'!$A$41:$A$72,0),MATCH(G$2,'Pivot table'!$B$2:$F$2,0)),0)</f>
        <v>0</v>
      </c>
      <c r="H40" s="10">
        <f>IFERROR(INDEX('Pivot table'!$B$41:$F$72,MATCH($E40,'Pivot table'!$A$41:$A$72,0),MATCH(H$2,'Pivot table'!$B$2:$F$2,0)),0)</f>
        <v>0</v>
      </c>
      <c r="I40" s="10">
        <f>IFERROR(INDEX('Pivot table'!$B$41:$F$72,MATCH($E40,'Pivot table'!$A$41:$A$72,0),MATCH(I$2,'Pivot table'!$B$2:$F$2,0)),0)</f>
        <v>0</v>
      </c>
      <c r="J40" s="10">
        <f>IFERROR(INDEX('Pivot table'!$B$41:$F$72,MATCH($E40,'Pivot table'!$A$41:$A$72,0),MATCH(J$2,'Pivot table'!$B$2:$F$2,0)),0)</f>
        <v>0</v>
      </c>
      <c r="K40" s="10">
        <f>IFERROR(INDEX('Pivot table'!$B$41:$F$71,MATCH($E40,'Pivot table'!$A$41:$A$71,0),MATCH(K$2,'Pivot table'!$B$2:$F$2,0)),0)</f>
        <v>0</v>
      </c>
      <c r="L40" s="33">
        <f>VSR_Value[[#This Row],[Week 1]]+VSR_Value[[#This Row],[Week 2]]+VSR_Value[[#This Row],[Week 3]]+VSR_Value[[#This Row],[Week 4]]+VSR_Value[[#This Row],[Week 5]]</f>
        <v>0</v>
      </c>
      <c r="M40" s="33">
        <f>SUMIF(Table3[Column1],VSR_Value[[#This Row],[Territory]]&amp;VSR_Value[[#This Row],[Name]],Table3[Value TGT])</f>
        <v>11700000</v>
      </c>
      <c r="N40" s="25">
        <f>IFERROR(VSR_Value[[#This Row],[Total]]/VSR_Value[[#This Row],[MTH TGT]],0)</f>
        <v>0</v>
      </c>
      <c r="O40" s="30">
        <f>_xlfn.RANK.AVG(VSR_Value[[#This Row],[% Achivd]],VSR_Value[% Achivd],0)</f>
        <v>20</v>
      </c>
    </row>
    <row r="41" spans="1:15" ht="15" customHeight="1" x14ac:dyDescent="0.3">
      <c r="A41" s="1" t="s">
        <v>26</v>
      </c>
      <c r="B41" s="67" t="s">
        <v>23</v>
      </c>
      <c r="C41" s="1" t="s">
        <v>20</v>
      </c>
      <c r="D41" s="1" t="s">
        <v>21</v>
      </c>
      <c r="E41" s="44" t="s">
        <v>115</v>
      </c>
      <c r="F41" s="1" t="s">
        <v>27</v>
      </c>
      <c r="G41" s="10">
        <f>IFERROR(INDEX('Pivot table'!$B$41:$F$72,MATCH($E41,'Pivot table'!$A$41:$A$72,0),MATCH(G$2,'Pivot table'!$B$2:$F$2,0)),0)</f>
        <v>0</v>
      </c>
      <c r="H41" s="10">
        <f>IFERROR(INDEX('Pivot table'!$B$41:$F$72,MATCH($E41,'Pivot table'!$A$41:$A$72,0),MATCH(H$2,'Pivot table'!$B$2:$F$2,0)),0)</f>
        <v>0</v>
      </c>
      <c r="I41" s="10">
        <f>IFERROR(INDEX('Pivot table'!$B$41:$F$72,MATCH($E41,'Pivot table'!$A$41:$A$72,0),MATCH(I$2,'Pivot table'!$B$2:$F$2,0)),0)</f>
        <v>0</v>
      </c>
      <c r="J41" s="10">
        <f>IFERROR(INDEX('Pivot table'!$B$41:$F$72,MATCH($E41,'Pivot table'!$A$41:$A$72,0),MATCH(J$2,'Pivot table'!$B$2:$F$2,0)),0)</f>
        <v>0</v>
      </c>
      <c r="K41" s="10">
        <f>IFERROR(INDEX('Pivot table'!$B$41:$F$71,MATCH($E41,'Pivot table'!$A$41:$A$71,0),MATCH(K$2,'Pivot table'!$B$2:$F$2,0)),0)</f>
        <v>0</v>
      </c>
      <c r="L41" s="33">
        <f>VSR_Value[[#This Row],[Week 1]]+VSR_Value[[#This Row],[Week 2]]+VSR_Value[[#This Row],[Week 3]]+VSR_Value[[#This Row],[Week 4]]+VSR_Value[[#This Row],[Week 5]]</f>
        <v>0</v>
      </c>
      <c r="M41" s="33">
        <f>SUMIF(Table3[Column1],VSR_Value[[#This Row],[Territory]]&amp;VSR_Value[[#This Row],[Name]],Table3[Value TGT])</f>
        <v>11700000</v>
      </c>
      <c r="N41" s="25">
        <f>IFERROR(VSR_Value[[#This Row],[Total]]/VSR_Value[[#This Row],[MTH TGT]],0)</f>
        <v>0</v>
      </c>
      <c r="O41" s="30">
        <f>_xlfn.RANK.AVG(VSR_Value[[#This Row],[% Achivd]],VSR_Value[% Achivd],0)</f>
        <v>20</v>
      </c>
    </row>
    <row r="42" spans="1:15" ht="15" customHeight="1" x14ac:dyDescent="0.3">
      <c r="A42" s="1" t="s">
        <v>11</v>
      </c>
      <c r="B42" s="1"/>
      <c r="C42" s="1"/>
      <c r="D42" s="1"/>
      <c r="E42" s="1"/>
      <c r="F42" s="1"/>
      <c r="G42" s="5">
        <f>SUBTOTAL(109,VSR_Value[Week 1])</f>
        <v>68010300</v>
      </c>
      <c r="H42" s="5">
        <f>SUBTOTAL(109,VSR_Value[Week 2])</f>
        <v>74508500</v>
      </c>
      <c r="I42" s="5">
        <f>SUBTOTAL(109,VSR_Value[Week 3])</f>
        <v>0</v>
      </c>
      <c r="J42" s="5">
        <f>SUBTOTAL(109,VSR_Value[Week 4])</f>
        <v>0</v>
      </c>
      <c r="K42" s="5">
        <f>SUBTOTAL(109,VSR_Value[Week 5])</f>
        <v>0</v>
      </c>
      <c r="L42" s="32">
        <f>SUBTOTAL(109,VSR_Value[Total])</f>
        <v>142518800</v>
      </c>
      <c r="M42" s="32">
        <f>SUBTOTAL(109,VSR_Value[MTH TGT])</f>
        <v>261700000</v>
      </c>
      <c r="N42" s="36">
        <f>VSR_Value[[#Totals],[Total]]/VSR_Value[[#Totals],[MTH TGT]]</f>
        <v>0.54458846006878103</v>
      </c>
      <c r="O42" s="5"/>
    </row>
  </sheetData>
  <mergeCells count="7">
    <mergeCell ref="Q1:T1"/>
    <mergeCell ref="A18:F18"/>
    <mergeCell ref="A1:F1"/>
    <mergeCell ref="I1:J1"/>
    <mergeCell ref="K1:L1"/>
    <mergeCell ref="M1:N1"/>
    <mergeCell ref="O1:P1"/>
  </mergeCells>
  <conditionalFormatting sqref="O20:O41">
    <cfRule type="colorScale" priority="54">
      <colorScale>
        <cfvo type="min"/>
        <cfvo type="percentile" val="50"/>
        <cfvo type="max"/>
        <color rgb="FF63BE7B"/>
        <color rgb="FFFFEB84"/>
        <color rgb="FFF8696B"/>
      </colorScale>
    </cfRule>
  </conditionalFormatting>
  <conditionalFormatting sqref="O3:O14">
    <cfRule type="colorScale" priority="56">
      <colorScale>
        <cfvo type="min"/>
        <cfvo type="percentile" val="50"/>
        <cfvo type="max"/>
        <color rgb="FF63BE7B"/>
        <color rgb="FFFFEB84"/>
        <color rgb="FFF8696B"/>
      </colorScale>
    </cfRule>
  </conditionalFormatting>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DC565-9086-474F-8045-8EE20FC9F24A}">
  <sheetPr codeName="Sheet12"/>
  <dimension ref="A1:U42"/>
  <sheetViews>
    <sheetView tabSelected="1" zoomScaleNormal="100" workbookViewId="0">
      <pane xSplit="6" ySplit="2" topLeftCell="L24" activePane="bottomRight" state="frozen"/>
      <selection pane="topRight" activeCell="G1" sqref="G1"/>
      <selection pane="bottomLeft" activeCell="A3" sqref="A3"/>
      <selection pane="bottomRight" activeCell="P30" sqref="P30"/>
    </sheetView>
  </sheetViews>
  <sheetFormatPr defaultColWidth="9.140625" defaultRowHeight="15" customHeight="1" x14ac:dyDescent="0.25"/>
  <cols>
    <col min="1" max="1" width="14.42578125" bestFit="1" customWidth="1"/>
    <col min="2" max="2" width="10.42578125" bestFit="1" customWidth="1"/>
    <col min="3" max="3" width="12" bestFit="1" customWidth="1"/>
    <col min="4" max="4" width="11.28515625" bestFit="1" customWidth="1"/>
    <col min="5" max="5" width="23.7109375" bestFit="1" customWidth="1"/>
    <col min="6" max="6" width="16.42578125" bestFit="1" customWidth="1"/>
    <col min="7" max="7" width="13.5703125" bestFit="1" customWidth="1"/>
    <col min="8" max="8" width="11.5703125" bestFit="1" customWidth="1"/>
    <col min="9" max="9" width="13.85546875" bestFit="1" customWidth="1"/>
    <col min="10" max="10" width="12.5703125" bestFit="1" customWidth="1"/>
    <col min="11" max="11" width="14.140625" bestFit="1" customWidth="1"/>
    <col min="12" max="12" width="13.42578125" bestFit="1" customWidth="1"/>
    <col min="13" max="13" width="14.42578125" bestFit="1" customWidth="1"/>
    <col min="14" max="14" width="12.5703125" bestFit="1" customWidth="1"/>
    <col min="15" max="15" width="14.7109375" bestFit="1" customWidth="1"/>
    <col min="16" max="16" width="11.42578125" bestFit="1" customWidth="1"/>
    <col min="17" max="17" width="14.85546875" bestFit="1" customWidth="1"/>
    <col min="18" max="18" width="14.28515625" bestFit="1" customWidth="1"/>
    <col min="19" max="19" width="14.140625" customWidth="1"/>
    <col min="20" max="20" width="10.140625" customWidth="1"/>
    <col min="21" max="21" width="9.5703125" bestFit="1" customWidth="1"/>
  </cols>
  <sheetData>
    <row r="1" spans="1:21" ht="21.75" thickBot="1" x14ac:dyDescent="0.4">
      <c r="A1" s="84" t="s">
        <v>60</v>
      </c>
      <c r="B1" s="84"/>
      <c r="C1" s="84"/>
      <c r="D1" s="84"/>
      <c r="E1" s="84"/>
      <c r="F1" s="84"/>
      <c r="G1" s="40"/>
      <c r="H1" s="40"/>
      <c r="I1" s="40"/>
      <c r="J1" s="40"/>
      <c r="K1" s="40"/>
      <c r="L1" s="40"/>
      <c r="M1" s="40"/>
      <c r="N1" s="40"/>
      <c r="O1" s="40"/>
      <c r="P1" s="40"/>
      <c r="U1" s="17"/>
    </row>
    <row r="2" spans="1:21" ht="15.75" thickBot="1" x14ac:dyDescent="0.3">
      <c r="A2" s="11" t="s">
        <v>36</v>
      </c>
      <c r="B2" s="3" t="s">
        <v>0</v>
      </c>
      <c r="C2" s="3" t="s">
        <v>1</v>
      </c>
      <c r="D2" s="4" t="s">
        <v>22</v>
      </c>
      <c r="E2" s="11" t="s">
        <v>10</v>
      </c>
      <c r="F2" s="11" t="s">
        <v>35</v>
      </c>
      <c r="G2" s="37" t="s">
        <v>13</v>
      </c>
      <c r="H2" s="37" t="s">
        <v>14</v>
      </c>
      <c r="I2" s="37" t="s">
        <v>15</v>
      </c>
      <c r="J2" s="37" t="s">
        <v>16</v>
      </c>
      <c r="K2" s="37" t="s">
        <v>17</v>
      </c>
      <c r="L2" s="37" t="s">
        <v>73</v>
      </c>
      <c r="M2" s="8" t="s">
        <v>57</v>
      </c>
      <c r="N2" s="18" t="s">
        <v>58</v>
      </c>
      <c r="O2" s="15" t="s">
        <v>59</v>
      </c>
    </row>
    <row r="3" spans="1:21" x14ac:dyDescent="0.25">
      <c r="A3" s="1" t="s">
        <v>54</v>
      </c>
      <c r="B3" s="2" t="s">
        <v>23</v>
      </c>
      <c r="C3" s="1" t="s">
        <v>19</v>
      </c>
      <c r="D3" s="1" t="s">
        <v>31</v>
      </c>
      <c r="E3" s="1" t="s">
        <v>97</v>
      </c>
      <c r="F3" s="1" t="s">
        <v>42</v>
      </c>
      <c r="G3" s="10">
        <f>IFERROR(INDEX('Pivot table'!$B$3:$F$31,MATCH($E3,'Pivot table'!$A$3:$A$31,0),MATCH(G$2,'Pivot table'!$B$2:$F$2,0)),0)</f>
        <v>618</v>
      </c>
      <c r="H3" s="10">
        <f>IFERROR(INDEX('Pivot table'!$B$3:$F$31,MATCH($E3,'Pivot table'!$A$3:$A$31,0),MATCH(H$2,'Pivot table'!$B$2:$F$2,0)),0)</f>
        <v>460</v>
      </c>
      <c r="I3" s="10">
        <f>IFERROR(INDEX('Pivot table'!$B$3:$F$31,MATCH($E3,'Pivot table'!$A$3:$A$31,0),MATCH(I$2,'Pivot table'!$B$2:$F$2,0)),0)</f>
        <v>0</v>
      </c>
      <c r="J3" s="10">
        <f>IFERROR(INDEX('Pivot table'!$B$3:$F$31,MATCH($E3,'Pivot table'!$A$3:$A$31,0),MATCH(J$2,'Pivot table'!$B$2:$F$2,0)),0)</f>
        <v>0</v>
      </c>
      <c r="K3" s="10">
        <f>IFERROR(INDEX('Pivot table'!$B$3:$F$31,MATCH($E3,'Pivot table'!$A$3:$A$31,0),MATCH(K$2,'Pivot table'!$B$2:$F$2,0)),0)</f>
        <v>0</v>
      </c>
      <c r="L3" s="5">
        <f>OMSR_Case[[#This Row],[Week 1]]+OMSR_Case[[#This Row],[Week 2]]+OMSR_Case[[#This Row],[Week 3]]+OMSR_Case[[#This Row],[Week 4]]+OMSR_Case[[#This Row],[Week 5]]</f>
        <v>1078</v>
      </c>
      <c r="M3" s="39">
        <f>SUMIF(Table3[Column1],OMSR_Case[[#This Row],[Territory]]&amp;OMSR_Case[[#This Row],[Name]],Table3[Cases TGT])</f>
        <v>2500</v>
      </c>
      <c r="N3" s="25">
        <f>IFERROR(OMSR_Case[[#This Row],[Total cases]]/OMSR_Case[[#This Row],[MTH TGT]],0)</f>
        <v>0.43120000000000003</v>
      </c>
      <c r="O3" s="28">
        <f>_xlfn.RANK.AVG(OMSR_Case[[#This Row],[% Achieved]],OMSR_Case[% Achieved],0)</f>
        <v>1</v>
      </c>
    </row>
    <row r="4" spans="1:21" x14ac:dyDescent="0.25">
      <c r="A4" s="1" t="s">
        <v>94</v>
      </c>
      <c r="B4" s="2" t="s">
        <v>23</v>
      </c>
      <c r="C4" s="1" t="s">
        <v>9</v>
      </c>
      <c r="D4" s="1" t="s">
        <v>31</v>
      </c>
      <c r="E4" s="1" t="s">
        <v>28</v>
      </c>
      <c r="F4" s="1" t="s">
        <v>30</v>
      </c>
      <c r="G4" s="10">
        <f>IFERROR(INDEX('Pivot table'!$B$3:$F$31,MATCH($E4,'Pivot table'!$A$3:$A$31,0),MATCH(G$2,'Pivot table'!$B$2:$F$2,0)),0)</f>
        <v>797</v>
      </c>
      <c r="H4" s="10">
        <f>IFERROR(INDEX('Pivot table'!$B$3:$F$31,MATCH($E4,'Pivot table'!$A$3:$A$31,0),MATCH(H$2,'Pivot table'!$B$2:$F$2,0)),0)</f>
        <v>838</v>
      </c>
      <c r="I4" s="10">
        <f>IFERROR(INDEX('Pivot table'!$B$3:$F$31,MATCH($E4,'Pivot table'!$A$3:$A$31,0),MATCH(I$2,'Pivot table'!$B$2:$F$2,0)),0)</f>
        <v>0</v>
      </c>
      <c r="J4" s="10">
        <f>IFERROR(INDEX('Pivot table'!$B$3:$F$31,MATCH($E4,'Pivot table'!$A$3:$A$31,0),MATCH(J$2,'Pivot table'!$B$2:$F$2,0)),0)</f>
        <v>0</v>
      </c>
      <c r="K4" s="10">
        <f>IFERROR(INDEX('Pivot table'!$B$3:$F$31,MATCH($E4,'Pivot table'!$A$3:$A$31,0),MATCH(K$2,'Pivot table'!$B$2:$F$2,0)),0)</f>
        <v>0</v>
      </c>
      <c r="L4" s="5">
        <f>OMSR_Case[[#This Row],[Week 1]]+OMSR_Case[[#This Row],[Week 2]]+OMSR_Case[[#This Row],[Week 3]]+OMSR_Case[[#This Row],[Week 4]]+OMSR_Case[[#This Row],[Week 5]]</f>
        <v>1635</v>
      </c>
      <c r="M4" s="39">
        <f>SUMIF(Table3[Column1],OMSR_Case[[#This Row],[Territory]]&amp;OMSR_Case[[#This Row],[Name]],Table3[Cases TGT])</f>
        <v>5000</v>
      </c>
      <c r="N4" s="25">
        <f>IFERROR(OMSR_Case[[#This Row],[Total cases]]/OMSR_Case[[#This Row],[MTH TGT]],0)</f>
        <v>0.32700000000000001</v>
      </c>
      <c r="O4" s="28">
        <f>_xlfn.RANK.AVG(OMSR_Case[[#This Row],[% Achieved]],OMSR_Case[% Achieved],0)</f>
        <v>2</v>
      </c>
    </row>
    <row r="5" spans="1:21" x14ac:dyDescent="0.25">
      <c r="A5" s="1" t="s">
        <v>95</v>
      </c>
      <c r="B5" s="2" t="s">
        <v>23</v>
      </c>
      <c r="C5" s="1" t="s">
        <v>9</v>
      </c>
      <c r="D5" s="1" t="s">
        <v>31</v>
      </c>
      <c r="E5" s="1" t="s">
        <v>29</v>
      </c>
      <c r="F5" s="1" t="s">
        <v>30</v>
      </c>
      <c r="G5" s="10">
        <f>IFERROR(INDEX('Pivot table'!$B$3:$F$31,MATCH($E5,'Pivot table'!$A$3:$A$31,0),MATCH(G$2,'Pivot table'!$B$2:$F$2,0)),0)</f>
        <v>771</v>
      </c>
      <c r="H5" s="10">
        <f>IFERROR(INDEX('Pivot table'!$B$3:$F$31,MATCH($E5,'Pivot table'!$A$3:$A$31,0),MATCH(H$2,'Pivot table'!$B$2:$F$2,0)),0)</f>
        <v>771</v>
      </c>
      <c r="I5" s="10">
        <f>IFERROR(INDEX('Pivot table'!$B$3:$F$31,MATCH($E5,'Pivot table'!$A$3:$A$31,0),MATCH(I$2,'Pivot table'!$B$2:$F$2,0)),0)</f>
        <v>0</v>
      </c>
      <c r="J5" s="10">
        <f>IFERROR(INDEX('Pivot table'!$B$3:$F$31,MATCH($E5,'Pivot table'!$A$3:$A$31,0),MATCH(J$2,'Pivot table'!$B$2:$F$2,0)),0)</f>
        <v>0</v>
      </c>
      <c r="K5" s="10">
        <f>IFERROR(INDEX('Pivot table'!$B$3:$F$31,MATCH($E5,'Pivot table'!$A$3:$A$31,0),MATCH(K$2,'Pivot table'!$B$2:$F$2,0)),0)</f>
        <v>0</v>
      </c>
      <c r="L5" s="5">
        <f>OMSR_Case[[#This Row],[Week 1]]+OMSR_Case[[#This Row],[Week 2]]+OMSR_Case[[#This Row],[Week 3]]+OMSR_Case[[#This Row],[Week 4]]+OMSR_Case[[#This Row],[Week 5]]</f>
        <v>1542</v>
      </c>
      <c r="M5" s="39">
        <f>SUMIF(Table3[Column1],OMSR_Case[[#This Row],[Territory]]&amp;OMSR_Case[[#This Row],[Name]],Table3[Cases TGT])</f>
        <v>5000</v>
      </c>
      <c r="N5" s="25">
        <f>IFERROR(OMSR_Case[[#This Row],[Total cases]]/OMSR_Case[[#This Row],[MTH TGT]],0)</f>
        <v>0.30840000000000001</v>
      </c>
      <c r="O5" s="28">
        <f>_xlfn.RANK.AVG(OMSR_Case[[#This Row],[% Achieved]],OMSR_Case[% Achieved],0)</f>
        <v>3</v>
      </c>
    </row>
    <row r="6" spans="1:21" x14ac:dyDescent="0.25">
      <c r="A6" s="44" t="s">
        <v>39</v>
      </c>
      <c r="B6" s="46" t="s">
        <v>6</v>
      </c>
      <c r="C6" s="44" t="s">
        <v>7</v>
      </c>
      <c r="D6" s="44" t="s">
        <v>31</v>
      </c>
      <c r="E6" s="44" t="s">
        <v>40</v>
      </c>
      <c r="F6" s="44" t="s">
        <v>67</v>
      </c>
      <c r="G6" s="10">
        <f>IFERROR(INDEX('Pivot table'!$B$3:$F$31,MATCH($E6,'Pivot table'!$A$3:$A$31,0),MATCH(G$2,'Pivot table'!$B$2:$F$2,0)),0)</f>
        <v>272</v>
      </c>
      <c r="H6" s="10">
        <f>IFERROR(INDEX('Pivot table'!$B$3:$F$31,MATCH($E6,'Pivot table'!$A$3:$A$31,0),MATCH(H$2,'Pivot table'!$B$2:$F$2,0)),0)</f>
        <v>292</v>
      </c>
      <c r="I6" s="10">
        <f>IFERROR(INDEX('Pivot table'!$B$3:$F$31,MATCH($E6,'Pivot table'!$A$3:$A$31,0),MATCH(I$2,'Pivot table'!$B$2:$F$2,0)),0)</f>
        <v>0</v>
      </c>
      <c r="J6" s="10">
        <f>IFERROR(INDEX('Pivot table'!$B$3:$F$31,MATCH($E6,'Pivot table'!$A$3:$A$31,0),MATCH(J$2,'Pivot table'!$B$2:$F$2,0)),0)</f>
        <v>0</v>
      </c>
      <c r="K6" s="10">
        <f>IFERROR(INDEX('Pivot table'!$B$3:$F$31,MATCH($E6,'Pivot table'!$A$3:$A$31,0),MATCH(K$2,'Pivot table'!$B$2:$F$2,0)),0)</f>
        <v>0</v>
      </c>
      <c r="L6" s="5">
        <f>OMSR_Case[[#This Row],[Week 1]]+OMSR_Case[[#This Row],[Week 2]]+OMSR_Case[[#This Row],[Week 3]]+OMSR_Case[[#This Row],[Week 4]]+OMSR_Case[[#This Row],[Week 5]]</f>
        <v>564</v>
      </c>
      <c r="M6" s="39">
        <f>SUMIF(Table3[Column1],OMSR_Case[[#This Row],[Territory]]&amp;OMSR_Case[[#This Row],[Name]],Table3[Cases TGT])</f>
        <v>2500</v>
      </c>
      <c r="N6" s="25">
        <f>IFERROR(OMSR_Case[[#This Row],[Total cases]]/OMSR_Case[[#This Row],[MTH TGT]],0)</f>
        <v>0.22559999999999999</v>
      </c>
      <c r="O6" s="29">
        <f>_xlfn.RANK.AVG(OMSR_Case[[#This Row],[% Achieved]],OMSR_Case[% Achieved],0)</f>
        <v>4</v>
      </c>
    </row>
    <row r="7" spans="1:21" x14ac:dyDescent="0.25">
      <c r="A7" s="44" t="s">
        <v>31</v>
      </c>
      <c r="B7" s="46" t="s">
        <v>6</v>
      </c>
      <c r="C7" s="44" t="s">
        <v>7</v>
      </c>
      <c r="D7" s="44" t="s">
        <v>31</v>
      </c>
      <c r="E7" s="44" t="s">
        <v>41</v>
      </c>
      <c r="F7" s="1" t="s">
        <v>118</v>
      </c>
      <c r="G7" s="10">
        <f>IFERROR(INDEX('Pivot table'!$B$3:$F$31,MATCH($E7,'Pivot table'!$A$3:$A$31,0),MATCH(G$2,'Pivot table'!$B$2:$F$2,0)),0)</f>
        <v>512</v>
      </c>
      <c r="H7" s="10">
        <f>IFERROR(INDEX('Pivot table'!$B$3:$F$31,MATCH($E7,'Pivot table'!$A$3:$A$31,0),MATCH(H$2,'Pivot table'!$B$2:$F$2,0)),0)</f>
        <v>524</v>
      </c>
      <c r="I7" s="10">
        <f>IFERROR(INDEX('Pivot table'!$B$3:$F$31,MATCH($E7,'Pivot table'!$A$3:$A$31,0),MATCH(I$2,'Pivot table'!$B$2:$F$2,0)),0)</f>
        <v>0</v>
      </c>
      <c r="J7" s="10">
        <f>IFERROR(INDEX('Pivot table'!$B$3:$F$31,MATCH($E7,'Pivot table'!$A$3:$A$31,0),MATCH(J$2,'Pivot table'!$B$2:$F$2,0)),0)</f>
        <v>0</v>
      </c>
      <c r="K7" s="10">
        <f>IFERROR(INDEX('Pivot table'!$B$3:$F$31,MATCH($E7,'Pivot table'!$A$3:$A$31,0),MATCH(K$2,'Pivot table'!$B$2:$F$2,0)),0)</f>
        <v>0</v>
      </c>
      <c r="L7" s="5">
        <f>OMSR_Case[[#This Row],[Week 1]]+OMSR_Case[[#This Row],[Week 2]]+OMSR_Case[[#This Row],[Week 3]]+OMSR_Case[[#This Row],[Week 4]]+OMSR_Case[[#This Row],[Week 5]]</f>
        <v>1036</v>
      </c>
      <c r="M7" s="39">
        <f>SUMIF(Table3[Column1],OMSR_Case[[#This Row],[Territory]]&amp;OMSR_Case[[#This Row],[Name]],Table3[Cases TGT])</f>
        <v>5000</v>
      </c>
      <c r="N7" s="25">
        <f>IFERROR(OMSR_Case[[#This Row],[Total cases]]/OMSR_Case[[#This Row],[MTH TGT]],0)</f>
        <v>0.2072</v>
      </c>
      <c r="O7" s="28">
        <f>_xlfn.RANK.AVG(OMSR_Case[[#This Row],[% Achieved]],OMSR_Case[% Achieved],0)</f>
        <v>5</v>
      </c>
    </row>
    <row r="8" spans="1:21" x14ac:dyDescent="0.25">
      <c r="A8" s="1" t="s">
        <v>26</v>
      </c>
      <c r="B8" s="2" t="s">
        <v>23</v>
      </c>
      <c r="C8" s="1" t="s">
        <v>20</v>
      </c>
      <c r="D8" s="1" t="s">
        <v>31</v>
      </c>
      <c r="E8" s="1" t="s">
        <v>25</v>
      </c>
      <c r="F8" s="1" t="s">
        <v>27</v>
      </c>
      <c r="G8" s="10">
        <f>IFERROR(INDEX('Pivot table'!$B$3:$F$31,MATCH($E8,'Pivot table'!$A$3:$A$31,0),MATCH(G$2,'Pivot table'!$B$2:$F$2,0)),0)</f>
        <v>230</v>
      </c>
      <c r="H8" s="10">
        <f>IFERROR(INDEX('Pivot table'!$B$3:$F$31,MATCH($E8,'Pivot table'!$A$3:$A$31,0),MATCH(H$2,'Pivot table'!$B$2:$F$2,0)),0)</f>
        <v>220</v>
      </c>
      <c r="I8" s="10">
        <f>IFERROR(INDEX('Pivot table'!$B$3:$F$31,MATCH($E8,'Pivot table'!$A$3:$A$31,0),MATCH(I$2,'Pivot table'!$B$2:$F$2,0)),0)</f>
        <v>0</v>
      </c>
      <c r="J8" s="10">
        <f>IFERROR(INDEX('Pivot table'!$B$3:$F$31,MATCH($E8,'Pivot table'!$A$3:$A$31,0),MATCH(J$2,'Pivot table'!$B$2:$F$2,0)),0)</f>
        <v>0</v>
      </c>
      <c r="K8" s="10">
        <f>IFERROR(INDEX('Pivot table'!$B$3:$F$31,MATCH($E8,'Pivot table'!$A$3:$A$31,0),MATCH(K$2,'Pivot table'!$B$2:$F$2,0)),0)</f>
        <v>0</v>
      </c>
      <c r="L8" s="5">
        <f>OMSR_Case[[#This Row],[Week 1]]+OMSR_Case[[#This Row],[Week 2]]+OMSR_Case[[#This Row],[Week 3]]+OMSR_Case[[#This Row],[Week 4]]+OMSR_Case[[#This Row],[Week 5]]</f>
        <v>450</v>
      </c>
      <c r="M8" s="39">
        <f>SUMIF(Table3[Column1],OMSR_Case[[#This Row],[Territory]]&amp;OMSR_Case[[#This Row],[Name]],Table3[Cases TGT])</f>
        <v>2500</v>
      </c>
      <c r="N8" s="25">
        <f>IFERROR(OMSR_Case[[#This Row],[Total cases]]/OMSR_Case[[#This Row],[MTH TGT]],0)</f>
        <v>0.18</v>
      </c>
      <c r="O8" s="28">
        <f>_xlfn.RANK.AVG(OMSR_Case[[#This Row],[% Achieved]],OMSR_Case[% Achieved],0)</f>
        <v>6</v>
      </c>
    </row>
    <row r="9" spans="1:21" x14ac:dyDescent="0.25">
      <c r="A9" s="45" t="s">
        <v>93</v>
      </c>
      <c r="B9" s="47" t="s">
        <v>23</v>
      </c>
      <c r="C9" s="45" t="s">
        <v>2</v>
      </c>
      <c r="D9" s="1" t="s">
        <v>31</v>
      </c>
      <c r="E9" s="45" t="s">
        <v>49</v>
      </c>
      <c r="F9" s="45" t="s">
        <v>24</v>
      </c>
      <c r="G9" s="10">
        <f>IFERROR(INDEX('Pivot table'!$B$3:$F$31,MATCH($E9,'Pivot table'!$A$3:$A$31,0),MATCH(G$2,'Pivot table'!$B$2:$F$2,0)),0)</f>
        <v>274</v>
      </c>
      <c r="H9" s="10">
        <f>IFERROR(INDEX('Pivot table'!$B$3:$F$31,MATCH($E9,'Pivot table'!$A$3:$A$31,0),MATCH(H$2,'Pivot table'!$B$2:$F$2,0)),0)</f>
        <v>542</v>
      </c>
      <c r="I9" s="10">
        <f>IFERROR(INDEX('Pivot table'!$B$3:$F$31,MATCH($E9,'Pivot table'!$A$3:$A$31,0),MATCH(I$2,'Pivot table'!$B$2:$F$2,0)),0)</f>
        <v>0</v>
      </c>
      <c r="J9" s="10">
        <f>IFERROR(INDEX('Pivot table'!$B$3:$F$31,MATCH($E9,'Pivot table'!$A$3:$A$31,0),MATCH(J$2,'Pivot table'!$B$2:$F$2,0)),0)</f>
        <v>0</v>
      </c>
      <c r="K9" s="10">
        <f>IFERROR(INDEX('Pivot table'!$B$3:$F$31,MATCH($E9,'Pivot table'!$A$3:$A$31,0),MATCH(K$2,'Pivot table'!$B$2:$F$2,0)),0)</f>
        <v>0</v>
      </c>
      <c r="L9" s="5">
        <f>OMSR_Case[[#This Row],[Week 1]]+OMSR_Case[[#This Row],[Week 2]]+OMSR_Case[[#This Row],[Week 3]]+OMSR_Case[[#This Row],[Week 4]]+OMSR_Case[[#This Row],[Week 5]]</f>
        <v>816</v>
      </c>
      <c r="M9" s="39">
        <f>SUMIF(Table3[Column1],OMSR_Case[[#This Row],[Territory]]&amp;OMSR_Case[[#This Row],[Name]],Table3[Cases TGT])</f>
        <v>5000</v>
      </c>
      <c r="N9" s="25">
        <f>IFERROR(OMSR_Case[[#This Row],[Total cases]]/OMSR_Case[[#This Row],[MTH TGT]],0)</f>
        <v>0.16320000000000001</v>
      </c>
      <c r="O9" s="28">
        <f>_xlfn.RANK.AVG(OMSR_Case[[#This Row],[% Achieved]],OMSR_Case[% Achieved],0)</f>
        <v>7</v>
      </c>
    </row>
    <row r="10" spans="1:21" x14ac:dyDescent="0.25">
      <c r="A10" s="45" t="s">
        <v>50</v>
      </c>
      <c r="B10" s="47" t="s">
        <v>23</v>
      </c>
      <c r="C10" s="45" t="s">
        <v>3</v>
      </c>
      <c r="D10" s="45" t="s">
        <v>31</v>
      </c>
      <c r="E10" s="45" t="s">
        <v>62</v>
      </c>
      <c r="F10" s="45" t="s">
        <v>119</v>
      </c>
      <c r="G10" s="10">
        <f>IFERROR(INDEX('Pivot table'!$B$3:$F$31,MATCH($E10,'Pivot table'!$A$3:$A$31,0),MATCH(G$2,'Pivot table'!$B$2:$F$2,0)),0)</f>
        <v>412</v>
      </c>
      <c r="H10" s="10">
        <f>IFERROR(INDEX('Pivot table'!$B$3:$F$31,MATCH($E10,'Pivot table'!$A$3:$A$31,0),MATCH(H$2,'Pivot table'!$B$2:$F$2,0)),0)</f>
        <v>335</v>
      </c>
      <c r="I10" s="10">
        <f>IFERROR(INDEX('Pivot table'!$B$3:$F$31,MATCH($E10,'Pivot table'!$A$3:$A$31,0),MATCH(I$2,'Pivot table'!$B$2:$F$2,0)),0)</f>
        <v>0</v>
      </c>
      <c r="J10" s="10">
        <f>IFERROR(INDEX('Pivot table'!$B$3:$F$31,MATCH($E10,'Pivot table'!$A$3:$A$31,0),MATCH(J$2,'Pivot table'!$B$2:$F$2,0)),0)</f>
        <v>0</v>
      </c>
      <c r="K10" s="10">
        <f>IFERROR(INDEX('Pivot table'!$B$3:$F$31,MATCH($E10,'Pivot table'!$A$3:$A$31,0),MATCH(K$2,'Pivot table'!$B$2:$F$2,0)),0)</f>
        <v>0</v>
      </c>
      <c r="L10" s="5">
        <f>OMSR_Case[[#This Row],[Week 1]]+OMSR_Case[[#This Row],[Week 2]]+OMSR_Case[[#This Row],[Week 3]]+OMSR_Case[[#This Row],[Week 4]]+OMSR_Case[[#This Row],[Week 5]]</f>
        <v>747</v>
      </c>
      <c r="M10" s="39">
        <f>SUMIF(Table3[Column1],OMSR_Case[[#This Row],[Territory]]&amp;OMSR_Case[[#This Row],[Name]],Table3[Cases TGT])</f>
        <v>5000</v>
      </c>
      <c r="N10" s="25">
        <f>IFERROR(OMSR_Case[[#This Row],[Total cases]]/OMSR_Case[[#This Row],[MTH TGT]],0)</f>
        <v>0.14940000000000001</v>
      </c>
      <c r="O10" s="28">
        <f>_xlfn.RANK.AVG(OMSR_Case[[#This Row],[% Achieved]],OMSR_Case[% Achieved],0)</f>
        <v>8</v>
      </c>
    </row>
    <row r="11" spans="1:21" x14ac:dyDescent="0.25">
      <c r="A11" s="1" t="s">
        <v>31</v>
      </c>
      <c r="B11" s="2" t="s">
        <v>4</v>
      </c>
      <c r="C11" s="1" t="s">
        <v>37</v>
      </c>
      <c r="D11" s="1" t="s">
        <v>31</v>
      </c>
      <c r="E11" s="1" t="s">
        <v>38</v>
      </c>
      <c r="F11" s="1" t="s">
        <v>82</v>
      </c>
      <c r="G11" s="10">
        <f>IFERROR(INDEX('Pivot table'!$B$3:$F$31,MATCH($E11,'Pivot table'!$A$3:$A$31,0),MATCH(G$2,'Pivot table'!$B$2:$F$2,0)),0)</f>
        <v>592</v>
      </c>
      <c r="H11" s="10">
        <f>IFERROR(INDEX('Pivot table'!$B$3:$F$31,MATCH($E11,'Pivot table'!$A$3:$A$31,0),MATCH(H$2,'Pivot table'!$B$2:$F$2,0)),0)</f>
        <v>18</v>
      </c>
      <c r="I11" s="10">
        <f>IFERROR(INDEX('Pivot table'!$B$3:$F$31,MATCH($E11,'Pivot table'!$A$3:$A$31,0),MATCH(I$2,'Pivot table'!$B$2:$F$2,0)),0)</f>
        <v>0</v>
      </c>
      <c r="J11" s="10">
        <f>IFERROR(INDEX('Pivot table'!$B$3:$F$31,MATCH($E11,'Pivot table'!$A$3:$A$31,0),MATCH(J$2,'Pivot table'!$B$2:$F$2,0)),0)</f>
        <v>0</v>
      </c>
      <c r="K11" s="10">
        <f>IFERROR(INDEX('Pivot table'!$B$3:$F$31,MATCH($E11,'Pivot table'!$A$3:$A$31,0),MATCH(K$2,'Pivot table'!$B$2:$F$2,0)),0)</f>
        <v>0</v>
      </c>
      <c r="L11" s="5">
        <f>OMSR_Case[[#This Row],[Week 1]]+OMSR_Case[[#This Row],[Week 2]]+OMSR_Case[[#This Row],[Week 3]]+OMSR_Case[[#This Row],[Week 4]]+OMSR_Case[[#This Row],[Week 5]]</f>
        <v>610</v>
      </c>
      <c r="M11" s="39">
        <f>SUMIF(Table3[Column1],OMSR_Case[[#This Row],[Territory]]&amp;OMSR_Case[[#This Row],[Name]],Table3[Cases TGT])</f>
        <v>6000</v>
      </c>
      <c r="N11" s="25">
        <f>IFERROR(OMSR_Case[[#This Row],[Total cases]]/OMSR_Case[[#This Row],[MTH TGT]],0)</f>
        <v>0.10166666666666667</v>
      </c>
      <c r="O11" s="28">
        <f>_xlfn.RANK.AVG(OMSR_Case[[#This Row],[% Achieved]],OMSR_Case[% Achieved],0)</f>
        <v>9</v>
      </c>
    </row>
    <row r="12" spans="1:21" x14ac:dyDescent="0.25">
      <c r="A12" s="1" t="s">
        <v>31</v>
      </c>
      <c r="B12" s="2" t="s">
        <v>4</v>
      </c>
      <c r="C12" s="1" t="s">
        <v>37</v>
      </c>
      <c r="D12" s="1" t="s">
        <v>31</v>
      </c>
      <c r="E12" s="1" t="s">
        <v>74</v>
      </c>
      <c r="F12" s="1" t="s">
        <v>82</v>
      </c>
      <c r="G12" s="10">
        <f>IFERROR(INDEX('Pivot table'!$B$3:$F$31,MATCH($E12,'Pivot table'!$A$3:$A$31,0),MATCH(G$2,'Pivot table'!$B$2:$F$2,0)),0)</f>
        <v>475</v>
      </c>
      <c r="H12" s="10">
        <f>IFERROR(INDEX('Pivot table'!$B$3:$F$31,MATCH($E12,'Pivot table'!$A$3:$A$31,0),MATCH(H$2,'Pivot table'!$B$2:$F$2,0)),0)</f>
        <v>15</v>
      </c>
      <c r="I12" s="10">
        <f>IFERROR(INDEX('Pivot table'!$B$3:$F$31,MATCH($E12,'Pivot table'!$A$3:$A$31,0),MATCH(I$2,'Pivot table'!$B$2:$F$2,0)),0)</f>
        <v>0</v>
      </c>
      <c r="J12" s="10">
        <f>IFERROR(INDEX('Pivot table'!$B$3:$F$31,MATCH($E12,'Pivot table'!$A$3:$A$31,0),MATCH(J$2,'Pivot table'!$B$2:$F$2,0)),0)</f>
        <v>0</v>
      </c>
      <c r="K12" s="10">
        <f>IFERROR(INDEX('Pivot table'!$B$3:$F$31,MATCH($E12,'Pivot table'!$A$3:$A$31,0),MATCH(K$2,'Pivot table'!$B$2:$F$2,0)),0)</f>
        <v>0</v>
      </c>
      <c r="L12" s="5">
        <f>OMSR_Case[[#This Row],[Week 1]]+OMSR_Case[[#This Row],[Week 2]]+OMSR_Case[[#This Row],[Week 3]]+OMSR_Case[[#This Row],[Week 4]]+OMSR_Case[[#This Row],[Week 5]]</f>
        <v>490</v>
      </c>
      <c r="M12" s="39">
        <f>SUMIF(Table3[Column1],OMSR_Case[[#This Row],[Territory]]&amp;OMSR_Case[[#This Row],[Name]],Table3[Cases TGT])</f>
        <v>5000</v>
      </c>
      <c r="N12" s="25">
        <f>IFERROR(OMSR_Case[[#This Row],[Total cases]]/OMSR_Case[[#This Row],[MTH TGT]],0)</f>
        <v>9.8000000000000004E-2</v>
      </c>
      <c r="O12" s="28">
        <f>_xlfn.RANK.AVG(OMSR_Case[[#This Row],[% Achieved]],OMSR_Case[% Achieved],0)</f>
        <v>10</v>
      </c>
    </row>
    <row r="13" spans="1:21" x14ac:dyDescent="0.25">
      <c r="A13" s="1" t="s">
        <v>43</v>
      </c>
      <c r="B13" s="2" t="s">
        <v>4</v>
      </c>
      <c r="C13" s="1" t="s">
        <v>5</v>
      </c>
      <c r="D13" s="1" t="s">
        <v>31</v>
      </c>
      <c r="E13" s="1" t="s">
        <v>44</v>
      </c>
      <c r="F13" s="1" t="s">
        <v>86</v>
      </c>
      <c r="G13" s="10">
        <f>IFERROR(INDEX('Pivot table'!$B$3:$F$31,MATCH($E13,'Pivot table'!$A$3:$A$31,0),MATCH(G$2,'Pivot table'!$B$2:$F$2,0)),0)</f>
        <v>0</v>
      </c>
      <c r="H13" s="10">
        <f>IFERROR(INDEX('Pivot table'!$B$3:$F$31,MATCH($E13,'Pivot table'!$A$3:$A$31,0),MATCH(H$2,'Pivot table'!$B$2:$F$2,0)),0)</f>
        <v>0</v>
      </c>
      <c r="I13" s="10">
        <f>IFERROR(INDEX('Pivot table'!$B$3:$F$31,MATCH($E13,'Pivot table'!$A$3:$A$31,0),MATCH(I$2,'Pivot table'!$B$2:$F$2,0)),0)</f>
        <v>0</v>
      </c>
      <c r="J13" s="10">
        <f>IFERROR(INDEX('Pivot table'!$B$3:$F$31,MATCH($E13,'Pivot table'!$A$3:$A$31,0),MATCH(J$2,'Pivot table'!$B$2:$F$2,0)),0)</f>
        <v>0</v>
      </c>
      <c r="K13" s="10">
        <f>IFERROR(INDEX('Pivot table'!$B$3:$F$31,MATCH($E13,'Pivot table'!$A$3:$A$31,0),MATCH(K$2,'Pivot table'!$B$2:$F$2,0)),0)</f>
        <v>0</v>
      </c>
      <c r="L13" s="5">
        <f>OMSR_Case[[#This Row],[Week 1]]+OMSR_Case[[#This Row],[Week 2]]+OMSR_Case[[#This Row],[Week 3]]+OMSR_Case[[#This Row],[Week 4]]+OMSR_Case[[#This Row],[Week 5]]</f>
        <v>0</v>
      </c>
      <c r="M13" s="39">
        <f>SUMIF(Table3[Column1],OMSR_Case[[#This Row],[Territory]]&amp;OMSR_Case[[#This Row],[Name]],Table3[Cases TGT])</f>
        <v>5000</v>
      </c>
      <c r="N13" s="43">
        <f>IFERROR(OMSR_Case[[#This Row],[Total cases]]/OMSR_Case[[#This Row],[MTH TGT]],0)</f>
        <v>0</v>
      </c>
      <c r="O13" s="28">
        <f>_xlfn.RANK.AVG(OMSR_Case[[#This Row],[% Achieved]],OMSR_Case[% Achieved],0)</f>
        <v>11.5</v>
      </c>
    </row>
    <row r="14" spans="1:21" x14ac:dyDescent="0.25">
      <c r="A14" s="1" t="s">
        <v>31</v>
      </c>
      <c r="B14" s="2" t="s">
        <v>4</v>
      </c>
      <c r="C14" s="1" t="s">
        <v>5</v>
      </c>
      <c r="D14" s="1" t="s">
        <v>31</v>
      </c>
      <c r="E14" s="1" t="s">
        <v>88</v>
      </c>
      <c r="F14" s="1" t="s">
        <v>86</v>
      </c>
      <c r="G14" s="10">
        <f>IFERROR(INDEX('Pivot table'!$B$3:$F$31,MATCH($E14,'Pivot table'!$A$3:$A$31,0),MATCH(G$2,'Pivot table'!$B$2:$F$2,0)),0)</f>
        <v>0</v>
      </c>
      <c r="H14" s="10">
        <f>IFERROR(INDEX('Pivot table'!$B$3:$F$31,MATCH($E14,'Pivot table'!$A$3:$A$31,0),MATCH(H$2,'Pivot table'!$B$2:$F$2,0)),0)</f>
        <v>0</v>
      </c>
      <c r="I14" s="10">
        <f>IFERROR(INDEX('Pivot table'!$B$3:$F$31,MATCH($E14,'Pivot table'!$A$3:$A$31,0),MATCH(I$2,'Pivot table'!$B$2:$F$2,0)),0)</f>
        <v>0</v>
      </c>
      <c r="J14" s="10">
        <f>IFERROR(INDEX('Pivot table'!$B$3:$F$31,MATCH($E14,'Pivot table'!$A$3:$A$31,0),MATCH(J$2,'Pivot table'!$B$2:$F$2,0)),0)</f>
        <v>0</v>
      </c>
      <c r="K14" s="10">
        <f>IFERROR(INDEX('Pivot table'!$B$3:$F$31,MATCH($E14,'Pivot table'!$A$3:$A$31,0),MATCH(K$2,'Pivot table'!$B$2:$F$2,0)),0)</f>
        <v>0</v>
      </c>
      <c r="L14" s="5">
        <f>OMSR_Case[[#This Row],[Week 1]]+OMSR_Case[[#This Row],[Week 2]]+OMSR_Case[[#This Row],[Week 3]]+OMSR_Case[[#This Row],[Week 4]]+OMSR_Case[[#This Row],[Week 5]]</f>
        <v>0</v>
      </c>
      <c r="M14" s="39">
        <f>SUMIF(Table3[Column1],OMSR_Case[[#This Row],[Territory]]&amp;OMSR_Case[[#This Row],[Name]],Table3[Cases TGT])</f>
        <v>5000</v>
      </c>
      <c r="N14" s="43">
        <f>IFERROR(OMSR_Case[[#This Row],[Total cases]]/OMSR_Case[[#This Row],[MTH TGT]],0)</f>
        <v>0</v>
      </c>
      <c r="O14" s="28">
        <f>_xlfn.RANK.AVG(OMSR_Case[[#This Row],[% Achieved]],OMSR_Case[% Achieved],0)</f>
        <v>11.5</v>
      </c>
      <c r="T14" s="24"/>
      <c r="U14" s="17"/>
    </row>
    <row r="15" spans="1:21" x14ac:dyDescent="0.25">
      <c r="A15" s="14" t="s">
        <v>11</v>
      </c>
      <c r="B15" s="20"/>
      <c r="C15" s="21"/>
      <c r="D15" s="19"/>
      <c r="E15" s="22"/>
      <c r="F15" s="23"/>
      <c r="G15" s="5">
        <f>SUM(OMSR_Case[Week 1])</f>
        <v>4953</v>
      </c>
      <c r="H15" s="5">
        <f>SUBTOTAL(109,OMSR_Case[Week 2])</f>
        <v>4015</v>
      </c>
      <c r="I15" s="5">
        <f>SUBTOTAL(109,OMSR_Case[Week 3])</f>
        <v>0</v>
      </c>
      <c r="J15" s="5">
        <f>SUBTOTAL(109,OMSR_Case[Week 4])</f>
        <v>0</v>
      </c>
      <c r="K15" s="5">
        <f>SUBTOTAL(109,OMSR_Case[Week 5])</f>
        <v>0</v>
      </c>
      <c r="L15" s="5">
        <f>SUBTOTAL(109,OMSR_Case[Total cases])</f>
        <v>8968</v>
      </c>
      <c r="M15" s="31">
        <f>SUBTOTAL(109,OMSR_Case[MTH TGT])</f>
        <v>53500</v>
      </c>
      <c r="N15" s="35">
        <f>OMSR_Case[[#Totals],[Total cases]]/OMSR_Case[[#Totals],[MTH TGT]]</f>
        <v>0.16762616822429907</v>
      </c>
      <c r="O15" s="34"/>
    </row>
    <row r="16" spans="1:21" x14ac:dyDescent="0.25">
      <c r="A16" s="12"/>
      <c r="B16" s="38"/>
      <c r="C16" s="38"/>
      <c r="D16" s="38"/>
      <c r="E16" s="16"/>
      <c r="F16" s="12"/>
    </row>
    <row r="17" spans="1:15" x14ac:dyDescent="0.25">
      <c r="A17" s="12"/>
      <c r="B17" s="38"/>
      <c r="C17" s="38"/>
      <c r="D17" s="38"/>
      <c r="E17" s="16"/>
      <c r="F17" s="12"/>
    </row>
    <row r="18" spans="1:15" ht="21.75" thickBot="1" x14ac:dyDescent="0.4">
      <c r="A18" s="84" t="s">
        <v>61</v>
      </c>
      <c r="B18" s="84"/>
      <c r="C18" s="84"/>
      <c r="D18" s="84"/>
      <c r="E18" s="84"/>
      <c r="F18" s="84"/>
    </row>
    <row r="19" spans="1:15" ht="15.75" thickBot="1" x14ac:dyDescent="0.3">
      <c r="A19" s="13" t="s">
        <v>36</v>
      </c>
      <c r="B19" s="6" t="s">
        <v>0</v>
      </c>
      <c r="C19" s="6" t="s">
        <v>1</v>
      </c>
      <c r="D19" s="7" t="s">
        <v>22</v>
      </c>
      <c r="E19" s="13" t="s">
        <v>10</v>
      </c>
      <c r="F19" s="13" t="s">
        <v>35</v>
      </c>
      <c r="G19" s="37" t="s">
        <v>13</v>
      </c>
      <c r="H19" s="37" t="s">
        <v>14</v>
      </c>
      <c r="I19" s="37" t="s">
        <v>15</v>
      </c>
      <c r="J19" s="37" t="s">
        <v>16</v>
      </c>
      <c r="K19" s="37" t="s">
        <v>17</v>
      </c>
      <c r="L19" s="37" t="s">
        <v>73</v>
      </c>
      <c r="M19" s="9" t="s">
        <v>57</v>
      </c>
      <c r="N19" s="26" t="s">
        <v>58</v>
      </c>
      <c r="O19" s="27" t="s">
        <v>59</v>
      </c>
    </row>
    <row r="20" spans="1:15" x14ac:dyDescent="0.25">
      <c r="A20" s="1" t="s">
        <v>89</v>
      </c>
      <c r="B20" s="66" t="s">
        <v>4</v>
      </c>
      <c r="C20" s="1" t="s">
        <v>56</v>
      </c>
      <c r="D20" s="1" t="s">
        <v>21</v>
      </c>
      <c r="E20" s="1" t="s">
        <v>124</v>
      </c>
      <c r="F20" s="1" t="s">
        <v>90</v>
      </c>
      <c r="G20" s="10">
        <f>IFERROR(INDEX('Pivot table'!$B$3:$F$34,MATCH($E20,'Pivot table'!$A$3:$A$34,0),MATCH(G$19,'Pivot table'!$B$2:$F$2,0)),0)</f>
        <v>413</v>
      </c>
      <c r="H20" s="10">
        <f>IFERROR(INDEX('Pivot table'!$B$3:$F$34,MATCH($E20,'Pivot table'!$A$3:$A$34,0),MATCH(H$19,'Pivot table'!$B$2:$F$2,0)),0)</f>
        <v>366</v>
      </c>
      <c r="I20" s="10">
        <f>IFERROR(INDEX('Pivot table'!$B$3:$F$34,MATCH($E20,'Pivot table'!$A$3:$A$34,0),MATCH(I$19,'Pivot table'!$B$2:$F$2,0)),0)</f>
        <v>0</v>
      </c>
      <c r="J20" s="10">
        <f>IFERROR(INDEX('Pivot table'!$B$3:$F$34,MATCH($E20,'Pivot table'!$A$3:$A$34,0),MATCH(J$19,'Pivot table'!$B$2:$F$2,0)),0)</f>
        <v>0</v>
      </c>
      <c r="K20" s="10">
        <f>IFERROR(INDEX('Pivot table'!$B$3:$F$33,MATCH($E20,'Pivot table'!$A$3:$A$33,0),MATCH(K$19,'Pivot table'!$B$2:$F$2,0)),0)</f>
        <v>0</v>
      </c>
      <c r="L20" s="10">
        <f>VSR_Case[[#This Row],[Week 1]]+VSR_Case[[#This Row],[Week 2]]+VSR_Case[[#This Row],[Week 3]]+VSR_Case[[#This Row],[Week 4]]+VSR_Case[[#This Row],[Week 5]]</f>
        <v>779</v>
      </c>
      <c r="M20" s="39">
        <f>SUMIF(Table3[Column1],VSR_Case[[#This Row],[Territory]]&amp;VSR_Case[[#This Row],[Name]],Table3[Cases TGT])</f>
        <v>1200</v>
      </c>
      <c r="N20" s="25">
        <f>IFERROR(VSR_Case[[#This Row],[Total cases]]/VSR_Case[[#This Row],[MTH TGT]],0)</f>
        <v>0.64916666666666667</v>
      </c>
      <c r="O20" s="30">
        <f>_xlfn.RANK.AVG(VSR_Case[[#This Row],[% Achieved]],VSR_Case[% Achieved],0)</f>
        <v>1</v>
      </c>
    </row>
    <row r="21" spans="1:15" x14ac:dyDescent="0.25">
      <c r="A21" s="1" t="s">
        <v>53</v>
      </c>
      <c r="B21" s="66" t="s">
        <v>6</v>
      </c>
      <c r="C21" s="1" t="s">
        <v>7</v>
      </c>
      <c r="D21" s="1" t="s">
        <v>21</v>
      </c>
      <c r="E21" s="1" t="s">
        <v>51</v>
      </c>
      <c r="F21" s="1" t="s">
        <v>67</v>
      </c>
      <c r="G21" s="10">
        <f>IFERROR(INDEX('Pivot table'!$B$3:$F$34,MATCH($E21,'Pivot table'!$A$3:$A$34,0),MATCH(G$19,'Pivot table'!$B$2:$F$2,0)),0)</f>
        <v>384</v>
      </c>
      <c r="H21" s="10">
        <f>IFERROR(INDEX('Pivot table'!$B$3:$F$34,MATCH($E21,'Pivot table'!$A$3:$A$34,0),MATCH(H$19,'Pivot table'!$B$2:$F$2,0)),0)</f>
        <v>437</v>
      </c>
      <c r="I21" s="10">
        <f>IFERROR(INDEX('Pivot table'!$B$3:$F$34,MATCH($E21,'Pivot table'!$A$3:$A$34,0),MATCH(I$19,'Pivot table'!$B$2:$F$2,0)),0)</f>
        <v>0</v>
      </c>
      <c r="J21" s="10">
        <f>IFERROR(INDEX('Pivot table'!$B$3:$F$34,MATCH($E21,'Pivot table'!$A$3:$A$34,0),MATCH(J$19,'Pivot table'!$B$2:$F$2,0)),0)</f>
        <v>0</v>
      </c>
      <c r="K21" s="10">
        <f>IFERROR(INDEX('Pivot table'!$B$3:$F$33,MATCH($E21,'Pivot table'!$A$3:$A$33,0),MATCH(K$19,'Pivot table'!$B$2:$F$2,0)),0)</f>
        <v>0</v>
      </c>
      <c r="L21" s="10">
        <f>VSR_Case[[#This Row],[Week 1]]+VSR_Case[[#This Row],[Week 2]]+VSR_Case[[#This Row],[Week 3]]+VSR_Case[[#This Row],[Week 4]]+VSR_Case[[#This Row],[Week 5]]</f>
        <v>821</v>
      </c>
      <c r="M21" s="39">
        <f>SUMIF(Table3[Column1],VSR_Case[[#This Row],[Territory]]&amp;VSR_Case[[#This Row],[Name]],Table3[Cases TGT])</f>
        <v>1500</v>
      </c>
      <c r="N21" s="25">
        <f>IFERROR(VSR_Case[[#This Row],[Total cases]]/VSR_Case[[#This Row],[MTH TGT]],0)</f>
        <v>0.54733333333333334</v>
      </c>
      <c r="O21" s="30">
        <f>_xlfn.RANK.AVG(VSR_Case[[#This Row],[% Achieved]],VSR_Case[% Achieved],0)</f>
        <v>2</v>
      </c>
    </row>
    <row r="22" spans="1:15" ht="15" customHeight="1" x14ac:dyDescent="0.25">
      <c r="A22" s="1" t="s">
        <v>64</v>
      </c>
      <c r="B22" s="2" t="s">
        <v>23</v>
      </c>
      <c r="C22" s="1" t="s">
        <v>80</v>
      </c>
      <c r="D22" s="1" t="s">
        <v>21</v>
      </c>
      <c r="E22" s="1" t="s">
        <v>79</v>
      </c>
      <c r="F22" s="1" t="s">
        <v>66</v>
      </c>
      <c r="G22" s="10">
        <f>IFERROR(INDEX('Pivot table'!$B$3:$F$34,MATCH($E22,'Pivot table'!$A$3:$A$34,0),MATCH(G$19,'Pivot table'!$B$2:$F$2,0)),0)</f>
        <v>138</v>
      </c>
      <c r="H22" s="10">
        <f>IFERROR(INDEX('Pivot table'!$B$3:$F$34,MATCH($E22,'Pivot table'!$A$3:$A$34,0),MATCH(H$19,'Pivot table'!$B$2:$F$2,0)),0)</f>
        <v>494</v>
      </c>
      <c r="I22" s="10">
        <f>IFERROR(INDEX('Pivot table'!$B$3:$F$34,MATCH($E22,'Pivot table'!$A$3:$A$34,0),MATCH(I$19,'Pivot table'!$B$2:$F$2,0)),0)</f>
        <v>0</v>
      </c>
      <c r="J22" s="10">
        <f>IFERROR(INDEX('Pivot table'!$B$3:$F$34,MATCH($E22,'Pivot table'!$A$3:$A$34,0),MATCH(J$19,'Pivot table'!$B$2:$F$2,0)),0)</f>
        <v>0</v>
      </c>
      <c r="K22" s="10">
        <f>IFERROR(INDEX('Pivot table'!$B$3:$F$33,MATCH($E22,'Pivot table'!$A$3:$A$33,0),MATCH(K$19,'Pivot table'!$B$2:$F$2,0)),0)</f>
        <v>0</v>
      </c>
      <c r="L22" s="10">
        <f>VSR_Case[[#This Row],[Week 1]]+VSR_Case[[#This Row],[Week 2]]+VSR_Case[[#This Row],[Week 3]]+VSR_Case[[#This Row],[Week 4]]+VSR_Case[[#This Row],[Week 5]]</f>
        <v>632</v>
      </c>
      <c r="M22" s="39">
        <f>SUMIF(Table3[Column1],VSR_Case[[#This Row],[Territory]]&amp;VSR_Case[[#This Row],[Name]],Table3[Cases TGT])</f>
        <v>1500</v>
      </c>
      <c r="N22" s="25">
        <f>IFERROR(VSR_Case[[#This Row],[Total cases]]/VSR_Case[[#This Row],[MTH TGT]],0)</f>
        <v>0.42133333333333334</v>
      </c>
      <c r="O22" s="30">
        <f>_xlfn.RANK.AVG(VSR_Case[[#This Row],[% Achieved]],VSR_Case[% Achieved],0)</f>
        <v>3</v>
      </c>
    </row>
    <row r="23" spans="1:15" ht="15" customHeight="1" x14ac:dyDescent="0.25">
      <c r="A23" s="44" t="s">
        <v>76</v>
      </c>
      <c r="B23" s="46" t="s">
        <v>6</v>
      </c>
      <c r="C23" s="44" t="s">
        <v>7</v>
      </c>
      <c r="D23" s="44" t="s">
        <v>21</v>
      </c>
      <c r="E23" s="44" t="s">
        <v>52</v>
      </c>
      <c r="F23" s="1" t="s">
        <v>118</v>
      </c>
      <c r="G23" s="10">
        <f>IFERROR(INDEX('Pivot table'!$B$3:$F$34,MATCH($E23,'Pivot table'!$A$3:$A$34,0),MATCH(G$19,'Pivot table'!$B$2:$F$2,0)),0)</f>
        <v>237</v>
      </c>
      <c r="H23" s="10">
        <f>IFERROR(INDEX('Pivot table'!$B$3:$F$34,MATCH($E23,'Pivot table'!$A$3:$A$34,0),MATCH(H$19,'Pivot table'!$B$2:$F$2,0)),0)</f>
        <v>340</v>
      </c>
      <c r="I23" s="10">
        <f>IFERROR(INDEX('Pivot table'!$B$3:$F$34,MATCH($E23,'Pivot table'!$A$3:$A$34,0),MATCH(I$19,'Pivot table'!$B$2:$F$2,0)),0)</f>
        <v>0</v>
      </c>
      <c r="J23" s="10">
        <f>IFERROR(INDEX('Pivot table'!$B$3:$F$34,MATCH($E23,'Pivot table'!$A$3:$A$34,0),MATCH(J$19,'Pivot table'!$B$2:$F$2,0)),0)</f>
        <v>0</v>
      </c>
      <c r="K23" s="10">
        <f>IFERROR(INDEX('Pivot table'!$B$3:$F$33,MATCH($E23,'Pivot table'!$A$3:$A$33,0),MATCH(K$19,'Pivot table'!$B$2:$F$2,0)),0)</f>
        <v>0</v>
      </c>
      <c r="L23" s="10">
        <f>VSR_Case[[#This Row],[Week 1]]+VSR_Case[[#This Row],[Week 2]]+VSR_Case[[#This Row],[Week 3]]+VSR_Case[[#This Row],[Week 4]]+VSR_Case[[#This Row],[Week 5]]</f>
        <v>577</v>
      </c>
      <c r="M23" s="39">
        <f>SUMIF(Table3[Column1],VSR_Case[[#This Row],[Territory]]&amp;VSR_Case[[#This Row],[Name]],Table3[Cases TGT])</f>
        <v>1500</v>
      </c>
      <c r="N23" s="25">
        <f>IFERROR(VSR_Case[[#This Row],[Total cases]]/VSR_Case[[#This Row],[MTH TGT]],0)</f>
        <v>0.38466666666666666</v>
      </c>
      <c r="O23" s="30">
        <f>_xlfn.RANK.AVG(VSR_Case[[#This Row],[% Achieved]],VSR_Case[% Achieved],0)</f>
        <v>4</v>
      </c>
    </row>
    <row r="24" spans="1:15" ht="15" customHeight="1" x14ac:dyDescent="0.25">
      <c r="A24" s="1" t="s">
        <v>54</v>
      </c>
      <c r="B24" s="2" t="s">
        <v>23</v>
      </c>
      <c r="C24" s="1" t="s">
        <v>19</v>
      </c>
      <c r="D24" s="1" t="s">
        <v>21</v>
      </c>
      <c r="E24" s="1" t="s">
        <v>83</v>
      </c>
      <c r="F24" s="1" t="s">
        <v>42</v>
      </c>
      <c r="G24" s="10">
        <f>IFERROR(INDEX('Pivot table'!$B$3:$F$34,MATCH($E24,'Pivot table'!$A$3:$A$34,0),MATCH(G$19,'Pivot table'!$B$2:$F$2,0)),0)</f>
        <v>260</v>
      </c>
      <c r="H24" s="10">
        <f>IFERROR(INDEX('Pivot table'!$B$3:$F$34,MATCH($E24,'Pivot table'!$A$3:$A$34,0),MATCH(H$19,'Pivot table'!$B$2:$F$2,0)),0)</f>
        <v>182</v>
      </c>
      <c r="I24" s="10">
        <f>IFERROR(INDEX('Pivot table'!$B$3:$F$34,MATCH($E24,'Pivot table'!$A$3:$A$34,0),MATCH(I$19,'Pivot table'!$B$2:$F$2,0)),0)</f>
        <v>0</v>
      </c>
      <c r="J24" s="10">
        <f>IFERROR(INDEX('Pivot table'!$B$3:$F$34,MATCH($E24,'Pivot table'!$A$3:$A$34,0),MATCH(J$19,'Pivot table'!$B$2:$F$2,0)),0)</f>
        <v>0</v>
      </c>
      <c r="K24" s="10">
        <f>IFERROR(INDEX('Pivot table'!$B$3:$F$33,MATCH($E24,'Pivot table'!$A$3:$A$33,0),MATCH(K$19,'Pivot table'!$B$2:$F$2,0)),0)</f>
        <v>0</v>
      </c>
      <c r="L24" s="10">
        <f>VSR_Case[[#This Row],[Week 1]]+VSR_Case[[#This Row],[Week 2]]+VSR_Case[[#This Row],[Week 3]]+VSR_Case[[#This Row],[Week 4]]+VSR_Case[[#This Row],[Week 5]]</f>
        <v>442</v>
      </c>
      <c r="M24" s="39">
        <f>SUMIF(Table3[Column1],VSR_Case[[#This Row],[Territory]]&amp;VSR_Case[[#This Row],[Name]],Table3[Cases TGT])</f>
        <v>1200</v>
      </c>
      <c r="N24" s="25">
        <f>IFERROR(VSR_Case[[#This Row],[Total cases]]/VSR_Case[[#This Row],[MTH TGT]],0)</f>
        <v>0.36833333333333335</v>
      </c>
      <c r="O24" s="30">
        <f>_xlfn.RANK.AVG(VSR_Case[[#This Row],[% Achieved]],VSR_Case[% Achieved],0)</f>
        <v>5</v>
      </c>
    </row>
    <row r="25" spans="1:15" ht="15" customHeight="1" x14ac:dyDescent="0.25">
      <c r="A25" s="44" t="s">
        <v>76</v>
      </c>
      <c r="B25" s="46" t="s">
        <v>6</v>
      </c>
      <c r="C25" s="44" t="s">
        <v>7</v>
      </c>
      <c r="D25" s="44" t="s">
        <v>21</v>
      </c>
      <c r="E25" s="44" t="s">
        <v>75</v>
      </c>
      <c r="F25" s="1" t="s">
        <v>118</v>
      </c>
      <c r="G25" s="10">
        <f>IFERROR(INDEX('Pivot table'!$B$3:$F$34,MATCH($E25,'Pivot table'!$A$3:$A$34,0),MATCH(G$19,'Pivot table'!$B$2:$F$2,0)),0)</f>
        <v>179</v>
      </c>
      <c r="H25" s="10">
        <f>IFERROR(INDEX('Pivot table'!$B$3:$F$34,MATCH($E25,'Pivot table'!$A$3:$A$34,0),MATCH(H$19,'Pivot table'!$B$2:$F$2,0)),0)</f>
        <v>209</v>
      </c>
      <c r="I25" s="10">
        <f>IFERROR(INDEX('Pivot table'!$B$3:$F$34,MATCH($E25,'Pivot table'!$A$3:$A$34,0),MATCH(I$19,'Pivot table'!$B$2:$F$2,0)),0)</f>
        <v>0</v>
      </c>
      <c r="J25" s="10">
        <f>IFERROR(INDEX('Pivot table'!$B$3:$F$34,MATCH($E25,'Pivot table'!$A$3:$A$34,0),MATCH(J$19,'Pivot table'!$B$2:$F$2,0)),0)</f>
        <v>0</v>
      </c>
      <c r="K25" s="10">
        <f>IFERROR(INDEX('Pivot table'!$B$3:$F$33,MATCH($E25,'Pivot table'!$A$3:$A$33,0),MATCH(K$19,'Pivot table'!$B$2:$F$2,0)),0)</f>
        <v>0</v>
      </c>
      <c r="L25" s="10">
        <f>VSR_Case[[#This Row],[Week 1]]+VSR_Case[[#This Row],[Week 2]]+VSR_Case[[#This Row],[Week 3]]+VSR_Case[[#This Row],[Week 4]]+VSR_Case[[#This Row],[Week 5]]</f>
        <v>388</v>
      </c>
      <c r="M25" s="39">
        <f>SUMIF(Table3[Column1],VSR_Case[[#This Row],[Territory]]&amp;VSR_Case[[#This Row],[Name]],Table3[Cases TGT])</f>
        <v>1200</v>
      </c>
      <c r="N25" s="25">
        <f>IFERROR(VSR_Case[[#This Row],[Total cases]]/VSR_Case[[#This Row],[MTH TGT]],0)</f>
        <v>0.32333333333333331</v>
      </c>
      <c r="O25" s="30">
        <f>_xlfn.RANK.AVG(VSR_Case[[#This Row],[% Achieved]],VSR_Case[% Achieved],0)</f>
        <v>6</v>
      </c>
    </row>
    <row r="26" spans="1:15" x14ac:dyDescent="0.25">
      <c r="A26" s="1" t="s">
        <v>89</v>
      </c>
      <c r="B26" s="66" t="s">
        <v>4</v>
      </c>
      <c r="C26" s="1" t="s">
        <v>56</v>
      </c>
      <c r="D26" s="1" t="s">
        <v>21</v>
      </c>
      <c r="E26" s="1" t="s">
        <v>123</v>
      </c>
      <c r="F26" s="1" t="s">
        <v>90</v>
      </c>
      <c r="G26" s="10">
        <f>IFERROR(INDEX('Pivot table'!$B$3:$F$34,MATCH($E26,'Pivot table'!$A$3:$A$34,0),MATCH(G$19,'Pivot table'!$B$2:$F$2,0)),0)</f>
        <v>0</v>
      </c>
      <c r="H26" s="10">
        <f>IFERROR(INDEX('Pivot table'!$B$3:$F$34,MATCH($E26,'Pivot table'!$A$3:$A$34,0),MATCH(H$19,'Pivot table'!$B$2:$F$2,0)),0)</f>
        <v>370</v>
      </c>
      <c r="I26" s="10">
        <f>IFERROR(INDEX('Pivot table'!$B$3:$F$34,MATCH($E26,'Pivot table'!$A$3:$A$34,0),MATCH(I$19,'Pivot table'!$B$2:$F$2,0)),0)</f>
        <v>0</v>
      </c>
      <c r="J26" s="10">
        <f>IFERROR(INDEX('Pivot table'!$B$3:$F$34,MATCH($E26,'Pivot table'!$A$3:$A$34,0),MATCH(J$19,'Pivot table'!$B$2:$F$2,0)),0)</f>
        <v>0</v>
      </c>
      <c r="K26" s="10">
        <f>IFERROR(INDEX('Pivot table'!$B$3:$F$33,MATCH($E26,'Pivot table'!$A$3:$A$33,0),MATCH(K$19,'Pivot table'!$B$2:$F$2,0)),0)</f>
        <v>0</v>
      </c>
      <c r="L26" s="10">
        <f>VSR_Case[[#This Row],[Week 1]]+VSR_Case[[#This Row],[Week 2]]+VSR_Case[[#This Row],[Week 3]]+VSR_Case[[#This Row],[Week 4]]+VSR_Case[[#This Row],[Week 5]]</f>
        <v>370</v>
      </c>
      <c r="M26" s="39">
        <f>SUMIF(Table3[Column1],VSR_Case[[#This Row],[Territory]]&amp;VSR_Case[[#This Row],[Name]],Table3[Cases TGT])</f>
        <v>1200</v>
      </c>
      <c r="N26" s="25">
        <f>IFERROR(VSR_Case[[#This Row],[Total cases]]/VSR_Case[[#This Row],[MTH TGT]],0)</f>
        <v>0.30833333333333335</v>
      </c>
      <c r="O26" s="30">
        <f>_xlfn.RANK.AVG(VSR_Case[[#This Row],[% Achieved]],VSR_Case[% Achieved],0)</f>
        <v>7</v>
      </c>
    </row>
    <row r="27" spans="1:15" ht="15.75" customHeight="1" x14ac:dyDescent="0.25">
      <c r="A27" s="1" t="s">
        <v>77</v>
      </c>
      <c r="B27" s="1" t="s">
        <v>6</v>
      </c>
      <c r="C27" s="1" t="s">
        <v>68</v>
      </c>
      <c r="D27" s="1" t="s">
        <v>21</v>
      </c>
      <c r="E27" s="1" t="s">
        <v>78</v>
      </c>
      <c r="F27" s="1" t="s">
        <v>69</v>
      </c>
      <c r="G27" s="10">
        <f>IFERROR(INDEX('Pivot table'!$B$3:$F$34,MATCH($E27,'Pivot table'!$A$3:$A$34,0),MATCH(G$19,'Pivot table'!$B$2:$F$2,0)),0)</f>
        <v>136</v>
      </c>
      <c r="H27" s="10">
        <f>IFERROR(INDEX('Pivot table'!$B$3:$F$34,MATCH($E27,'Pivot table'!$A$3:$A$34,0),MATCH(H$19,'Pivot table'!$B$2:$F$2,0)),0)</f>
        <v>136</v>
      </c>
      <c r="I27" s="10">
        <f>IFERROR(INDEX('Pivot table'!$B$3:$F$34,MATCH($E27,'Pivot table'!$A$3:$A$34,0),MATCH(I$19,'Pivot table'!$B$2:$F$2,0)),0)</f>
        <v>0</v>
      </c>
      <c r="J27" s="10">
        <f>IFERROR(INDEX('Pivot table'!$B$3:$F$34,MATCH($E27,'Pivot table'!$A$3:$A$34,0),MATCH(J$19,'Pivot table'!$B$2:$F$2,0)),0)</f>
        <v>0</v>
      </c>
      <c r="K27" s="10">
        <f>IFERROR(INDEX('Pivot table'!$B$3:$F$33,MATCH($E27,'Pivot table'!$A$3:$A$33,0),MATCH(K$19,'Pivot table'!$B$2:$F$2,0)),0)</f>
        <v>0</v>
      </c>
      <c r="L27" s="10">
        <f>VSR_Case[[#This Row],[Week 1]]+VSR_Case[[#This Row],[Week 2]]+VSR_Case[[#This Row],[Week 3]]+VSR_Case[[#This Row],[Week 4]]+VSR_Case[[#This Row],[Week 5]]</f>
        <v>272</v>
      </c>
      <c r="M27" s="39">
        <f>SUMIF(Table3[Column1],VSR_Case[[#This Row],[Territory]]&amp;VSR_Case[[#This Row],[Name]],Table3[Cases TGT])</f>
        <v>1200</v>
      </c>
      <c r="N27" s="25">
        <f>IFERROR(VSR_Case[[#This Row],[Total cases]]/VSR_Case[[#This Row],[MTH TGT]],0)</f>
        <v>0.22666666666666666</v>
      </c>
      <c r="O27" s="30">
        <f>_xlfn.RANK.AVG(VSR_Case[[#This Row],[% Achieved]],VSR_Case[% Achieved],0)</f>
        <v>8</v>
      </c>
    </row>
    <row r="28" spans="1:15" ht="15" customHeight="1" x14ac:dyDescent="0.25">
      <c r="A28" s="1" t="s">
        <v>34</v>
      </c>
      <c r="B28" s="67" t="s">
        <v>23</v>
      </c>
      <c r="C28" s="1" t="s">
        <v>12</v>
      </c>
      <c r="D28" s="1" t="s">
        <v>21</v>
      </c>
      <c r="E28" s="1" t="s">
        <v>48</v>
      </c>
      <c r="F28" s="1" t="s">
        <v>33</v>
      </c>
      <c r="G28" s="10">
        <f>IFERROR(INDEX('Pivot table'!$B$3:$F$34,MATCH($E28,'Pivot table'!$A$3:$A$34,0),MATCH(G$19,'Pivot table'!$B$2:$F$2,0)),0)</f>
        <v>105</v>
      </c>
      <c r="H28" s="10">
        <f>IFERROR(INDEX('Pivot table'!$B$3:$F$34,MATCH($E28,'Pivot table'!$A$3:$A$34,0),MATCH(H$19,'Pivot table'!$B$2:$F$2,0)),0)</f>
        <v>142</v>
      </c>
      <c r="I28" s="10">
        <f>IFERROR(INDEX('Pivot table'!$B$3:$F$34,MATCH($E28,'Pivot table'!$A$3:$A$34,0),MATCH(I$19,'Pivot table'!$B$2:$F$2,0)),0)</f>
        <v>0</v>
      </c>
      <c r="J28" s="10">
        <f>IFERROR(INDEX('Pivot table'!$B$3:$F$34,MATCH($E28,'Pivot table'!$A$3:$A$34,0),MATCH(J$19,'Pivot table'!$B$2:$F$2,0)),0)</f>
        <v>0</v>
      </c>
      <c r="K28" s="10">
        <f>IFERROR(INDEX('Pivot table'!$B$3:$F$33,MATCH($E28,'Pivot table'!$A$3:$A$33,0),MATCH(K$19,'Pivot table'!$B$2:$F$2,0)),0)</f>
        <v>0</v>
      </c>
      <c r="L28" s="10">
        <f>VSR_Case[[#This Row],[Week 1]]+VSR_Case[[#This Row],[Week 2]]+VSR_Case[[#This Row],[Week 3]]+VSR_Case[[#This Row],[Week 4]]+VSR_Case[[#This Row],[Week 5]]</f>
        <v>247</v>
      </c>
      <c r="M28" s="39">
        <f>SUMIF(Table3[Column1],VSR_Case[[#This Row],[Territory]]&amp;VSR_Case[[#This Row],[Name]],Table3[Cases TGT])</f>
        <v>1200</v>
      </c>
      <c r="N28" s="25">
        <f>IFERROR(VSR_Case[[#This Row],[Total cases]]/VSR_Case[[#This Row],[MTH TGT]],0)</f>
        <v>0.20583333333333334</v>
      </c>
      <c r="O28" s="30">
        <f>_xlfn.RANK.AVG(VSR_Case[[#This Row],[% Achieved]],VSR_Case[% Achieved],0)</f>
        <v>9</v>
      </c>
    </row>
    <row r="29" spans="1:15" ht="15.75" customHeight="1" x14ac:dyDescent="0.25">
      <c r="A29" s="1" t="s">
        <v>50</v>
      </c>
      <c r="B29" s="1" t="s">
        <v>23</v>
      </c>
      <c r="C29" s="1" t="s">
        <v>3</v>
      </c>
      <c r="D29" s="1" t="s">
        <v>21</v>
      </c>
      <c r="E29" s="1" t="s">
        <v>104</v>
      </c>
      <c r="F29" s="1" t="s">
        <v>118</v>
      </c>
      <c r="G29" s="10">
        <f>IFERROR(INDEX('Pivot table'!$B$3:$F$34,MATCH($E29,'Pivot table'!$A$3:$A$34,0),MATCH(G$19,'Pivot table'!$B$2:$F$2,0)),0)</f>
        <v>124</v>
      </c>
      <c r="H29" s="10">
        <f>IFERROR(INDEX('Pivot table'!$B$3:$F$34,MATCH($E29,'Pivot table'!$A$3:$A$34,0),MATCH(H$19,'Pivot table'!$B$2:$F$2,0)),0)</f>
        <v>109</v>
      </c>
      <c r="I29" s="10">
        <f>IFERROR(INDEX('Pivot table'!$B$3:$F$34,MATCH($E29,'Pivot table'!$A$3:$A$34,0),MATCH(I$19,'Pivot table'!$B$2:$F$2,0)),0)</f>
        <v>0</v>
      </c>
      <c r="J29" s="10">
        <f>IFERROR(INDEX('Pivot table'!$B$3:$F$34,MATCH($E29,'Pivot table'!$A$3:$A$34,0),MATCH(J$19,'Pivot table'!$B$2:$F$2,0)),0)</f>
        <v>0</v>
      </c>
      <c r="K29" s="10">
        <f>IFERROR(INDEX('Pivot table'!$B$3:$F$33,MATCH($E29,'Pivot table'!$A$3:$A$33,0),MATCH(K$19,'Pivot table'!$B$2:$F$2,0)),0)</f>
        <v>0</v>
      </c>
      <c r="L29" s="10">
        <f>VSR_Case[[#This Row],[Week 1]]+VSR_Case[[#This Row],[Week 2]]+VSR_Case[[#This Row],[Week 3]]+VSR_Case[[#This Row],[Week 4]]+VSR_Case[[#This Row],[Week 5]]</f>
        <v>233</v>
      </c>
      <c r="M29" s="39">
        <f>SUMIF(Table3[Column1],VSR_Case[[#This Row],[Territory]]&amp;VSR_Case[[#This Row],[Name]],Table3[Cases TGT])</f>
        <v>1200</v>
      </c>
      <c r="N29" s="25">
        <f>IFERROR(VSR_Case[[#This Row],[Total cases]]/VSR_Case[[#This Row],[MTH TGT]],0)</f>
        <v>0.19416666666666665</v>
      </c>
      <c r="O29" s="30">
        <f>_xlfn.RANK.AVG(VSR_Case[[#This Row],[% Achieved]],VSR_Case[% Achieved],0)</f>
        <v>10</v>
      </c>
    </row>
    <row r="30" spans="1:15" ht="15" customHeight="1" x14ac:dyDescent="0.25">
      <c r="A30" s="1" t="s">
        <v>87</v>
      </c>
      <c r="B30" s="1" t="s">
        <v>23</v>
      </c>
      <c r="C30" s="1" t="s">
        <v>18</v>
      </c>
      <c r="D30" s="1" t="s">
        <v>21</v>
      </c>
      <c r="E30" s="1" t="s">
        <v>103</v>
      </c>
      <c r="F30" s="1" t="s">
        <v>117</v>
      </c>
      <c r="G30" s="10">
        <f>IFERROR(INDEX('Pivot table'!$B$3:$F$34,MATCH($E30,'Pivot table'!$A$3:$A$34,0),MATCH(G$19,'Pivot table'!$B$2:$F$2,0)),0)</f>
        <v>131</v>
      </c>
      <c r="H30" s="10">
        <f>IFERROR(INDEX('Pivot table'!$B$3:$F$34,MATCH($E30,'Pivot table'!$A$3:$A$34,0),MATCH(H$19,'Pivot table'!$B$2:$F$2,0)),0)</f>
        <v>131</v>
      </c>
      <c r="I30" s="10">
        <f>IFERROR(INDEX('Pivot table'!$B$3:$F$34,MATCH($E30,'Pivot table'!$A$3:$A$34,0),MATCH(I$19,'Pivot table'!$B$2:$F$2,0)),0)</f>
        <v>0</v>
      </c>
      <c r="J30" s="10">
        <f>IFERROR(INDEX('Pivot table'!$B$3:$F$34,MATCH($E30,'Pivot table'!$A$3:$A$34,0),MATCH(J$19,'Pivot table'!$B$2:$F$2,0)),0)</f>
        <v>0</v>
      </c>
      <c r="K30" s="10">
        <f>IFERROR(INDEX('Pivot table'!$B$3:$F$33,MATCH($E30,'Pivot table'!$A$3:$A$33,0),MATCH(K$19,'Pivot table'!$B$2:$F$2,0)),0)</f>
        <v>0</v>
      </c>
      <c r="L30" s="10">
        <f>VSR_Case[[#This Row],[Week 1]]+VSR_Case[[#This Row],[Week 2]]+VSR_Case[[#This Row],[Week 3]]+VSR_Case[[#This Row],[Week 4]]+VSR_Case[[#This Row],[Week 5]]</f>
        <v>262</v>
      </c>
      <c r="M30" s="39">
        <f>SUMIF(Table3[Column1],VSR_Case[[#This Row],[Territory]]&amp;VSR_Case[[#This Row],[Name]],Table3[Cases TGT])</f>
        <v>1500</v>
      </c>
      <c r="N30" s="25">
        <f>IFERROR(VSR_Case[[#This Row],[Total cases]]/VSR_Case[[#This Row],[MTH TGT]],0)</f>
        <v>0.17466666666666666</v>
      </c>
      <c r="O30" s="30">
        <f>_xlfn.RANK.AVG(VSR_Case[[#This Row],[% Achieved]],VSR_Case[% Achieved],0)</f>
        <v>11</v>
      </c>
    </row>
    <row r="31" spans="1:15" ht="15" customHeight="1" x14ac:dyDescent="0.25">
      <c r="A31" s="1" t="s">
        <v>46</v>
      </c>
      <c r="B31" s="1" t="s">
        <v>4</v>
      </c>
      <c r="C31" s="1" t="s">
        <v>8</v>
      </c>
      <c r="D31" s="1" t="s">
        <v>21</v>
      </c>
      <c r="E31" s="1" t="s">
        <v>55</v>
      </c>
      <c r="F31" s="1" t="s">
        <v>45</v>
      </c>
      <c r="G31" s="10">
        <f>IFERROR(INDEX('Pivot table'!$B$3:$F$34,MATCH($E31,'Pivot table'!$A$3:$A$34,0),MATCH(G$19,'Pivot table'!$B$2:$F$2,0)),0)</f>
        <v>178</v>
      </c>
      <c r="H31" s="10">
        <f>IFERROR(INDEX('Pivot table'!$B$3:$F$34,MATCH($E31,'Pivot table'!$A$3:$A$34,0),MATCH(H$19,'Pivot table'!$B$2:$F$2,0)),0)</f>
        <v>0</v>
      </c>
      <c r="I31" s="10">
        <f>IFERROR(INDEX('Pivot table'!$B$3:$F$34,MATCH($E31,'Pivot table'!$A$3:$A$34,0),MATCH(I$19,'Pivot table'!$B$2:$F$2,0)),0)</f>
        <v>0</v>
      </c>
      <c r="J31" s="10">
        <f>IFERROR(INDEX('Pivot table'!$B$3:$F$34,MATCH($E31,'Pivot table'!$A$3:$A$34,0),MATCH(J$19,'Pivot table'!$B$2:$F$2,0)),0)</f>
        <v>0</v>
      </c>
      <c r="K31" s="10">
        <f>IFERROR(INDEX('Pivot table'!$B$3:$F$33,MATCH($E31,'Pivot table'!$A$3:$A$33,0),MATCH(K$19,'Pivot table'!$B$2:$F$2,0)),0)</f>
        <v>0</v>
      </c>
      <c r="L31" s="10">
        <f>VSR_Case[[#This Row],[Week 1]]+VSR_Case[[#This Row],[Week 2]]+VSR_Case[[#This Row],[Week 3]]+VSR_Case[[#This Row],[Week 4]]+VSR_Case[[#This Row],[Week 5]]</f>
        <v>178</v>
      </c>
      <c r="M31" s="39">
        <f>SUMIF(Table3[Column1],VSR_Case[[#This Row],[Territory]]&amp;VSR_Case[[#This Row],[Name]],Table3[Cases TGT])</f>
        <v>1200</v>
      </c>
      <c r="N31" s="25">
        <f>IFERROR(VSR_Case[[#This Row],[Total cases]]/VSR_Case[[#This Row],[MTH TGT]],0)</f>
        <v>0.14833333333333334</v>
      </c>
      <c r="O31" s="30">
        <f>_xlfn.RANK.AVG(VSR_Case[[#This Row],[% Achieved]],VSR_Case[% Achieved],0)</f>
        <v>12</v>
      </c>
    </row>
    <row r="32" spans="1:15" ht="15" customHeight="1" x14ac:dyDescent="0.25">
      <c r="A32" s="1" t="s">
        <v>46</v>
      </c>
      <c r="B32" s="1" t="s">
        <v>4</v>
      </c>
      <c r="C32" s="1" t="s">
        <v>8</v>
      </c>
      <c r="D32" s="1" t="s">
        <v>21</v>
      </c>
      <c r="E32" s="1" t="s">
        <v>84</v>
      </c>
      <c r="F32" s="1" t="s">
        <v>45</v>
      </c>
      <c r="G32" s="10">
        <f>IFERROR(INDEX('Pivot table'!$B$3:$F$34,MATCH($E32,'Pivot table'!$A$3:$A$34,0),MATCH(G$19,'Pivot table'!$B$2:$F$2,0)),0)</f>
        <v>153</v>
      </c>
      <c r="H32" s="10">
        <f>IFERROR(INDEX('Pivot table'!$B$3:$F$34,MATCH($E32,'Pivot table'!$A$3:$A$34,0),MATCH(H$19,'Pivot table'!$B$2:$F$2,0)),0)</f>
        <v>0</v>
      </c>
      <c r="I32" s="10">
        <f>IFERROR(INDEX('Pivot table'!$B$3:$F$34,MATCH($E32,'Pivot table'!$A$3:$A$34,0),MATCH(I$19,'Pivot table'!$B$2:$F$2,0)),0)</f>
        <v>0</v>
      </c>
      <c r="J32" s="10">
        <f>IFERROR(INDEX('Pivot table'!$B$3:$F$34,MATCH($E32,'Pivot table'!$A$3:$A$34,0),MATCH(J$19,'Pivot table'!$B$2:$F$2,0)),0)</f>
        <v>0</v>
      </c>
      <c r="K32" s="10">
        <f>IFERROR(INDEX('Pivot table'!$B$3:$F$33,MATCH($E32,'Pivot table'!$A$3:$A$33,0),MATCH(K$19,'Pivot table'!$B$2:$F$2,0)),0)</f>
        <v>0</v>
      </c>
      <c r="L32" s="10">
        <f>VSR_Case[[#This Row],[Week 1]]+VSR_Case[[#This Row],[Week 2]]+VSR_Case[[#This Row],[Week 3]]+VSR_Case[[#This Row],[Week 4]]+VSR_Case[[#This Row],[Week 5]]</f>
        <v>153</v>
      </c>
      <c r="M32" s="39">
        <f>SUMIF(Table3[Column1],VSR_Case[[#This Row],[Territory]]&amp;VSR_Case[[#This Row],[Name]],Table3[Cases TGT])</f>
        <v>1200</v>
      </c>
      <c r="N32" s="25">
        <f>IFERROR(VSR_Case[[#This Row],[Total cases]]/VSR_Case[[#This Row],[MTH TGT]],0)</f>
        <v>0.1275</v>
      </c>
      <c r="O32" s="30">
        <f>_xlfn.RANK.AVG(VSR_Case[[#This Row],[% Achieved]],VSR_Case[% Achieved],0)</f>
        <v>13</v>
      </c>
    </row>
    <row r="33" spans="1:15" ht="15" customHeight="1" x14ac:dyDescent="0.25">
      <c r="A33" s="1" t="s">
        <v>87</v>
      </c>
      <c r="B33" s="1" t="s">
        <v>23</v>
      </c>
      <c r="C33" s="1" t="s">
        <v>96</v>
      </c>
      <c r="D33" s="1" t="s">
        <v>21</v>
      </c>
      <c r="E33" s="1" t="s">
        <v>63</v>
      </c>
      <c r="F33" s="1" t="s">
        <v>117</v>
      </c>
      <c r="G33" s="10">
        <f>IFERROR(INDEX('Pivot table'!$B$3:$F$34,MATCH($E33,'Pivot table'!$A$3:$A$34,0),MATCH(G$19,'Pivot table'!$B$2:$F$2,0)),0)</f>
        <v>65</v>
      </c>
      <c r="H33" s="10">
        <f>IFERROR(INDEX('Pivot table'!$B$3:$F$34,MATCH($E33,'Pivot table'!$A$3:$A$34,0),MATCH(H$19,'Pivot table'!$B$2:$F$2,0)),0)</f>
        <v>65</v>
      </c>
      <c r="I33" s="10">
        <f>IFERROR(INDEX('Pivot table'!$B$3:$F$34,MATCH($E33,'Pivot table'!$A$3:$A$34,0),MATCH(I$19,'Pivot table'!$B$2:$F$2,0)),0)</f>
        <v>0</v>
      </c>
      <c r="J33" s="10">
        <f>IFERROR(INDEX('Pivot table'!$B$3:$F$34,MATCH($E33,'Pivot table'!$A$3:$A$34,0),MATCH(J$19,'Pivot table'!$B$2:$F$2,0)),0)</f>
        <v>0</v>
      </c>
      <c r="K33" s="10">
        <f>IFERROR(INDEX('Pivot table'!$B$3:$F$33,MATCH($E33,'Pivot table'!$A$3:$A$33,0),MATCH(K$19,'Pivot table'!$B$2:$F$2,0)),0)</f>
        <v>0</v>
      </c>
      <c r="L33" s="10">
        <f>VSR_Case[[#This Row],[Week 1]]+VSR_Case[[#This Row],[Week 2]]+VSR_Case[[#This Row],[Week 3]]+VSR_Case[[#This Row],[Week 4]]+VSR_Case[[#This Row],[Week 5]]</f>
        <v>130</v>
      </c>
      <c r="M33" s="39">
        <f>SUMIF(Table3[Column1],VSR_Case[[#This Row],[Territory]]&amp;VSR_Case[[#This Row],[Name]],Table3[Cases TGT])</f>
        <v>1200</v>
      </c>
      <c r="N33" s="25">
        <f>IFERROR(VSR_Case[[#This Row],[Total cases]]/VSR_Case[[#This Row],[MTH TGT]],0)</f>
        <v>0.10833333333333334</v>
      </c>
      <c r="O33" s="30">
        <f>_xlfn.RANK.AVG(VSR_Case[[#This Row],[% Achieved]],VSR_Case[% Achieved],0)</f>
        <v>14</v>
      </c>
    </row>
    <row r="34" spans="1:15" ht="15" customHeight="1" x14ac:dyDescent="0.25">
      <c r="A34" s="1" t="s">
        <v>46</v>
      </c>
      <c r="B34" s="1" t="s">
        <v>4</v>
      </c>
      <c r="C34" s="1" t="s">
        <v>91</v>
      </c>
      <c r="D34" s="1" t="s">
        <v>21</v>
      </c>
      <c r="E34" s="1" t="s">
        <v>85</v>
      </c>
      <c r="F34" s="1" t="s">
        <v>45</v>
      </c>
      <c r="G34" s="10">
        <f>IFERROR(INDEX('Pivot table'!$B$3:$F$34,MATCH($E34,'Pivot table'!$A$3:$A$34,0),MATCH(G$19,'Pivot table'!$B$2:$F$2,0)),0)</f>
        <v>123</v>
      </c>
      <c r="H34" s="10">
        <f>IFERROR(INDEX('Pivot table'!$B$3:$F$34,MATCH($E34,'Pivot table'!$A$3:$A$34,0),MATCH(H$19,'Pivot table'!$B$2:$F$2,0)),0)</f>
        <v>0</v>
      </c>
      <c r="I34" s="10">
        <f>IFERROR(INDEX('Pivot table'!$B$3:$F$34,MATCH($E34,'Pivot table'!$A$3:$A$34,0),MATCH(I$19,'Pivot table'!$B$2:$F$2,0)),0)</f>
        <v>0</v>
      </c>
      <c r="J34" s="10">
        <f>IFERROR(INDEX('Pivot table'!$B$3:$F$34,MATCH($E34,'Pivot table'!$A$3:$A$34,0),MATCH(J$19,'Pivot table'!$B$2:$F$2,0)),0)</f>
        <v>0</v>
      </c>
      <c r="K34" s="10">
        <f>IFERROR(INDEX('Pivot table'!$B$3:$F$33,MATCH($E34,'Pivot table'!$A$3:$A$33,0),MATCH(K$19,'Pivot table'!$B$2:$F$2,0)),0)</f>
        <v>0</v>
      </c>
      <c r="L34" s="10">
        <f>VSR_Case[[#This Row],[Week 1]]+VSR_Case[[#This Row],[Week 2]]+VSR_Case[[#This Row],[Week 3]]+VSR_Case[[#This Row],[Week 4]]+VSR_Case[[#This Row],[Week 5]]</f>
        <v>123</v>
      </c>
      <c r="M34" s="39">
        <f>SUMIF(Table3[Column1],VSR_Case[[#This Row],[Territory]]&amp;VSR_Case[[#This Row],[Name]],Table3[Cases TGT])</f>
        <v>1200</v>
      </c>
      <c r="N34" s="25">
        <f>IFERROR(VSR_Case[[#This Row],[Total cases]]/VSR_Case[[#This Row],[MTH TGT]],0)</f>
        <v>0.10249999999999999</v>
      </c>
      <c r="O34" s="30">
        <f>_xlfn.RANK.AVG(VSR_Case[[#This Row],[% Achieved]],VSR_Case[% Achieved],0)</f>
        <v>15</v>
      </c>
    </row>
    <row r="35" spans="1:15" ht="15" customHeight="1" x14ac:dyDescent="0.25">
      <c r="A35" s="1" t="s">
        <v>46</v>
      </c>
      <c r="B35" s="1" t="s">
        <v>4</v>
      </c>
      <c r="C35" s="1" t="s">
        <v>8</v>
      </c>
      <c r="D35" s="1" t="s">
        <v>21</v>
      </c>
      <c r="E35" s="1" t="s">
        <v>47</v>
      </c>
      <c r="F35" s="1" t="s">
        <v>45</v>
      </c>
      <c r="G35" s="10">
        <f>IFERROR(INDEX('Pivot table'!$B$3:$F$34,MATCH($E35,'Pivot table'!$A$3:$A$34,0),MATCH(G$19,'Pivot table'!$B$2:$F$2,0)),0)</f>
        <v>89</v>
      </c>
      <c r="H35" s="10">
        <f>IFERROR(INDEX('Pivot table'!$B$3:$F$34,MATCH($E35,'Pivot table'!$A$3:$A$34,0),MATCH(H$19,'Pivot table'!$B$2:$F$2,0)),0)</f>
        <v>0</v>
      </c>
      <c r="I35" s="10">
        <f>IFERROR(INDEX('Pivot table'!$B$3:$F$34,MATCH($E35,'Pivot table'!$A$3:$A$34,0),MATCH(I$19,'Pivot table'!$B$2:$F$2,0)),0)</f>
        <v>0</v>
      </c>
      <c r="J35" s="10">
        <f>IFERROR(INDEX('Pivot table'!$B$3:$F$34,MATCH($E35,'Pivot table'!$A$3:$A$34,0),MATCH(J$19,'Pivot table'!$B$2:$F$2,0)),0)</f>
        <v>0</v>
      </c>
      <c r="K35" s="10">
        <f>IFERROR(INDEX('Pivot table'!$B$3:$F$33,MATCH($E35,'Pivot table'!$A$3:$A$33,0),MATCH(K$19,'Pivot table'!$B$2:$F$2,0)),0)</f>
        <v>0</v>
      </c>
      <c r="L35" s="10">
        <f>VSR_Case[[#This Row],[Week 1]]+VSR_Case[[#This Row],[Week 2]]+VSR_Case[[#This Row],[Week 3]]+VSR_Case[[#This Row],[Week 4]]+VSR_Case[[#This Row],[Week 5]]</f>
        <v>89</v>
      </c>
      <c r="M35" s="39">
        <f>SUMIF(Table3[Column1],VSR_Case[[#This Row],[Territory]]&amp;VSR_Case[[#This Row],[Name]],Table3[Cases TGT])</f>
        <v>1200</v>
      </c>
      <c r="N35" s="25">
        <f>IFERROR(VSR_Case[[#This Row],[Total cases]]/VSR_Case[[#This Row],[MTH TGT]],0)</f>
        <v>7.4166666666666672E-2</v>
      </c>
      <c r="O35" s="30">
        <f>_xlfn.RANK.AVG(VSR_Case[[#This Row],[% Achieved]],VSR_Case[% Achieved],0)</f>
        <v>16</v>
      </c>
    </row>
    <row r="36" spans="1:15" ht="15" customHeight="1" x14ac:dyDescent="0.3">
      <c r="A36" s="1" t="s">
        <v>105</v>
      </c>
      <c r="B36" s="1" t="s">
        <v>112</v>
      </c>
      <c r="C36" s="1" t="s">
        <v>109</v>
      </c>
      <c r="D36" s="1" t="s">
        <v>111</v>
      </c>
      <c r="E36" s="1" t="s">
        <v>110</v>
      </c>
      <c r="F36" s="1" t="s">
        <v>108</v>
      </c>
      <c r="G36" s="10">
        <f>IFERROR(INDEX('Pivot table'!$B$3:$F$34,MATCH($E36,'Pivot table'!$A$3:$A$34,0),MATCH(G$19,'Pivot table'!$B$2:$F$2,0)),0)</f>
        <v>52</v>
      </c>
      <c r="H36" s="10">
        <f>IFERROR(INDEX('Pivot table'!$B$3:$F$34,MATCH($E36,'Pivot table'!$A$3:$A$34,0),MATCH(H$19,'Pivot table'!$B$2:$F$2,0)),0)</f>
        <v>0</v>
      </c>
      <c r="I36" s="10">
        <f>IFERROR(INDEX('Pivot table'!$B$3:$F$34,MATCH($E36,'Pivot table'!$A$3:$A$34,0),MATCH(I$19,'Pivot table'!$B$2:$F$2,0)),0)</f>
        <v>0</v>
      </c>
      <c r="J36" s="10">
        <f>IFERROR(INDEX('Pivot table'!$B$3:$F$34,MATCH($E36,'Pivot table'!$A$3:$A$34,0),MATCH(J$19,'Pivot table'!$B$2:$F$2,0)),0)</f>
        <v>0</v>
      </c>
      <c r="K36" s="10">
        <f>IFERROR(INDEX('Pivot table'!$B$3:$F$33,MATCH($E36,'Pivot table'!$A$3:$A$33,0),MATCH(K$19,'Pivot table'!$B$2:$F$2,0)),0)</f>
        <v>0</v>
      </c>
      <c r="L36" s="10">
        <f>VSR_Case[[#This Row],[Week 1]]+VSR_Case[[#This Row],[Week 2]]+VSR_Case[[#This Row],[Week 3]]+VSR_Case[[#This Row],[Week 4]]+VSR_Case[[#This Row],[Week 5]]</f>
        <v>52</v>
      </c>
      <c r="M36" s="33">
        <f>SUMIF(Table3[Column1],VSR_Case[[#This Row],[Territory]]&amp;VSR_Case[[#This Row],[Name]],Table3[Cases TGT])</f>
        <v>800</v>
      </c>
      <c r="N36" s="25">
        <f>IFERROR(VSR_Case[[#This Row],[Total cases]]/VSR_Case[[#This Row],[MTH TGT]],0)</f>
        <v>6.5000000000000002E-2</v>
      </c>
      <c r="O36" s="30">
        <f>_xlfn.RANK.AVG(VSR_Case[[#This Row],[% Achieved]],VSR_Case[% Achieved],0)</f>
        <v>17</v>
      </c>
    </row>
    <row r="37" spans="1:15" ht="15" customHeight="1" x14ac:dyDescent="0.25">
      <c r="A37" s="1" t="s">
        <v>53</v>
      </c>
      <c r="B37" s="1" t="s">
        <v>6</v>
      </c>
      <c r="C37" s="1" t="s">
        <v>92</v>
      </c>
      <c r="D37" s="1" t="s">
        <v>21</v>
      </c>
      <c r="E37" s="1" t="s">
        <v>120</v>
      </c>
      <c r="F37" s="1" t="s">
        <v>69</v>
      </c>
      <c r="G37" s="10">
        <f>IFERROR(INDEX('Pivot table'!$B$3:$F$34,MATCH($E37,'Pivot table'!$A$3:$A$34,0),MATCH(G$19,'Pivot table'!$B$2:$F$2,0)),0)</f>
        <v>0</v>
      </c>
      <c r="H37" s="10">
        <f>IFERROR(INDEX('Pivot table'!$B$3:$F$34,MATCH($E37,'Pivot table'!$A$3:$A$34,0),MATCH(H$19,'Pivot table'!$B$2:$F$2,0)),0)</f>
        <v>0</v>
      </c>
      <c r="I37" s="10">
        <f>IFERROR(INDEX('Pivot table'!$B$3:$F$34,MATCH($E37,'Pivot table'!$A$3:$A$34,0),MATCH(I$19,'Pivot table'!$B$2:$F$2,0)),0)</f>
        <v>0</v>
      </c>
      <c r="J37" s="10">
        <f>IFERROR(INDEX('Pivot table'!$B$3:$F$34,MATCH($E37,'Pivot table'!$A$3:$A$34,0),MATCH(J$19,'Pivot table'!$B$2:$F$2,0)),0)</f>
        <v>0</v>
      </c>
      <c r="K37" s="10">
        <f>IFERROR(INDEX('Pivot table'!$B$3:$F$33,MATCH($E37,'Pivot table'!$A$3:$A$33,0),MATCH(K$19,'Pivot table'!$B$2:$F$2,0)),0)</f>
        <v>0</v>
      </c>
      <c r="L37" s="10">
        <f>VSR_Case[[#This Row],[Week 1]]+VSR_Case[[#This Row],[Week 2]]+VSR_Case[[#This Row],[Week 3]]+VSR_Case[[#This Row],[Week 4]]+VSR_Case[[#This Row],[Week 5]]</f>
        <v>0</v>
      </c>
      <c r="M37" s="39">
        <f>SUMIF(Table3[Column1],VSR_Case[[#This Row],[Territory]]&amp;VSR_Case[[#This Row],[Name]],Table3[Cases TGT])</f>
        <v>1200</v>
      </c>
      <c r="N37" s="25">
        <f>IFERROR(VSR_Case[[#This Row],[Total cases]]/VSR_Case[[#This Row],[MTH TGT]],0)</f>
        <v>0</v>
      </c>
      <c r="O37" s="30">
        <f>_xlfn.RANK.AVG(VSR_Case[[#This Row],[% Achieved]],VSR_Case[% Achieved],0)</f>
        <v>20</v>
      </c>
    </row>
    <row r="38" spans="1:15" ht="15" customHeight="1" x14ac:dyDescent="0.3">
      <c r="A38" s="1" t="s">
        <v>105</v>
      </c>
      <c r="B38" s="1" t="s">
        <v>112</v>
      </c>
      <c r="C38" s="1" t="s">
        <v>106</v>
      </c>
      <c r="D38" s="1" t="s">
        <v>111</v>
      </c>
      <c r="E38" s="1" t="s">
        <v>107</v>
      </c>
      <c r="F38" s="1" t="s">
        <v>108</v>
      </c>
      <c r="G38" s="10">
        <f>IFERROR(INDEX('Pivot table'!$B$3:$F$34,MATCH($E38,'Pivot table'!$A$3:$A$34,0),MATCH(G$19,'Pivot table'!$B$2:$F$2,0)),0)</f>
        <v>0</v>
      </c>
      <c r="H38" s="10">
        <f>IFERROR(INDEX('Pivot table'!$B$3:$F$34,MATCH($E38,'Pivot table'!$A$3:$A$34,0),MATCH(H$19,'Pivot table'!$B$2:$F$2,0)),0)</f>
        <v>0</v>
      </c>
      <c r="I38" s="10">
        <f>IFERROR(INDEX('Pivot table'!$B$3:$F$34,MATCH($E38,'Pivot table'!$A$3:$A$34,0),MATCH(I$19,'Pivot table'!$B$2:$F$2,0)),0)</f>
        <v>0</v>
      </c>
      <c r="J38" s="10">
        <f>IFERROR(INDEX('Pivot table'!$B$3:$F$34,MATCH($E38,'Pivot table'!$A$3:$A$34,0),MATCH(J$19,'Pivot table'!$B$2:$F$2,0)),0)</f>
        <v>0</v>
      </c>
      <c r="K38" s="10">
        <f>IFERROR(INDEX('Pivot table'!$B$3:$F$33,MATCH($E38,'Pivot table'!$A$3:$A$33,0),MATCH(K$19,'Pivot table'!$B$2:$F$2,0)),0)</f>
        <v>0</v>
      </c>
      <c r="L38" s="10">
        <f>VSR_Case[[#This Row],[Week 1]]+VSR_Case[[#This Row],[Week 2]]+VSR_Case[[#This Row],[Week 3]]+VSR_Case[[#This Row],[Week 4]]+VSR_Case[[#This Row],[Week 5]]</f>
        <v>0</v>
      </c>
      <c r="M38" s="33">
        <f>SUMIF(Table3[Column1],VSR_Case[[#This Row],[Territory]]&amp;VSR_Case[[#This Row],[Name]],Table3[Cases TGT])</f>
        <v>800</v>
      </c>
      <c r="N38" s="25">
        <f>IFERROR(VSR_Case[[#This Row],[Total cases]]/VSR_Case[[#This Row],[MTH TGT]],0)</f>
        <v>0</v>
      </c>
      <c r="O38" s="30">
        <f>_xlfn.RANK.AVG(VSR_Case[[#This Row],[% Achieved]],VSR_Case[% Achieved],0)</f>
        <v>20</v>
      </c>
    </row>
    <row r="39" spans="1:15" ht="15" customHeight="1" x14ac:dyDescent="0.3">
      <c r="A39" s="1" t="s">
        <v>53</v>
      </c>
      <c r="B39" s="1" t="s">
        <v>6</v>
      </c>
      <c r="C39" s="1" t="s">
        <v>7</v>
      </c>
      <c r="D39" s="1" t="s">
        <v>21</v>
      </c>
      <c r="E39" s="1" t="s">
        <v>113</v>
      </c>
      <c r="F39" s="1" t="s">
        <v>67</v>
      </c>
      <c r="G39" s="10">
        <f>IFERROR(INDEX('Pivot table'!$B$3:$F$34,MATCH($E39,'Pivot table'!$A$3:$A$34,0),MATCH(G$19,'Pivot table'!$B$2:$F$2,0)),0)</f>
        <v>0</v>
      </c>
      <c r="H39" s="10">
        <f>IFERROR(INDEX('Pivot table'!$B$3:$F$34,MATCH($E39,'Pivot table'!$A$3:$A$34,0),MATCH(H$19,'Pivot table'!$B$2:$F$2,0)),0)</f>
        <v>0</v>
      </c>
      <c r="I39" s="10">
        <f>IFERROR(INDEX('Pivot table'!$B$3:$F$34,MATCH($E39,'Pivot table'!$A$3:$A$34,0),MATCH(I$19,'Pivot table'!$B$2:$F$2,0)),0)</f>
        <v>0</v>
      </c>
      <c r="J39" s="10">
        <f>IFERROR(INDEX('Pivot table'!$B$3:$F$34,MATCH($E39,'Pivot table'!$A$3:$A$34,0),MATCH(J$19,'Pivot table'!$B$2:$F$2,0)),0)</f>
        <v>0</v>
      </c>
      <c r="K39" s="10">
        <f>IFERROR(INDEX('Pivot table'!$B$3:$F$33,MATCH($E39,'Pivot table'!$A$3:$A$33,0),MATCH(K$19,'Pivot table'!$B$2:$F$2,0)),0)</f>
        <v>0</v>
      </c>
      <c r="L39" s="10">
        <f>VSR_Case[[#This Row],[Week 1]]+VSR_Case[[#This Row],[Week 2]]+VSR_Case[[#This Row],[Week 3]]+VSR_Case[[#This Row],[Week 4]]+VSR_Case[[#This Row],[Week 5]]</f>
        <v>0</v>
      </c>
      <c r="M39" s="33">
        <f>SUMIF(Table3[Column1],VSR_Case[[#This Row],[Territory]]&amp;VSR_Case[[#This Row],[Name]],Table3[Cases TGT])</f>
        <v>1200</v>
      </c>
      <c r="N39" s="25">
        <f>IFERROR(VSR_Case[[#This Row],[Total cases]]/VSR_Case[[#This Row],[MTH TGT]],0)</f>
        <v>0</v>
      </c>
      <c r="O39" s="30">
        <f>_xlfn.RANK.AVG(VSR_Case[[#This Row],[% Achieved]],VSR_Case[% Achieved],0)</f>
        <v>20</v>
      </c>
    </row>
    <row r="40" spans="1:15" ht="15" customHeight="1" x14ac:dyDescent="0.25">
      <c r="A40" s="1" t="s">
        <v>64</v>
      </c>
      <c r="B40" s="1" t="s">
        <v>23</v>
      </c>
      <c r="C40" s="1" t="s">
        <v>2</v>
      </c>
      <c r="D40" s="1" t="s">
        <v>21</v>
      </c>
      <c r="E40" s="1" t="s">
        <v>116</v>
      </c>
      <c r="F40" s="1" t="s">
        <v>66</v>
      </c>
      <c r="G40" s="10">
        <f>IFERROR(INDEX('Pivot table'!$B$3:$F$34,MATCH($E40,'Pivot table'!$A$3:$A$34,0),MATCH(G$19,'Pivot table'!$B$2:$F$2,0)),0)</f>
        <v>0</v>
      </c>
      <c r="H40" s="10">
        <f>IFERROR(INDEX('Pivot table'!$B$3:$F$34,MATCH($E40,'Pivot table'!$A$3:$A$34,0),MATCH(H$19,'Pivot table'!$B$2:$F$2,0)),0)</f>
        <v>0</v>
      </c>
      <c r="I40" s="10">
        <f>IFERROR(INDEX('Pivot table'!$B$3:$F$34,MATCH($E40,'Pivot table'!$A$3:$A$34,0),MATCH(I$19,'Pivot table'!$B$2:$F$2,0)),0)</f>
        <v>0</v>
      </c>
      <c r="J40" s="10">
        <f>IFERROR(INDEX('Pivot table'!$B$3:$F$34,MATCH($E40,'Pivot table'!$A$3:$A$34,0),MATCH(J$19,'Pivot table'!$B$2:$F$2,0)),0)</f>
        <v>0</v>
      </c>
      <c r="K40" s="10">
        <f>IFERROR(INDEX('Pivot table'!$B$3:$F$33,MATCH($E40,'Pivot table'!$A$3:$A$33,0),MATCH(K$19,'Pivot table'!$B$2:$F$2,0)),0)</f>
        <v>0</v>
      </c>
      <c r="L40" s="10">
        <f>VSR_Case[[#This Row],[Week 1]]+VSR_Case[[#This Row],[Week 2]]+VSR_Case[[#This Row],[Week 3]]+VSR_Case[[#This Row],[Week 4]]+VSR_Case[[#This Row],[Week 5]]</f>
        <v>0</v>
      </c>
      <c r="M40" s="39">
        <f>SUMIF(Table3[Column1],VSR_Case[[#This Row],[Territory]]&amp;VSR_Case[[#This Row],[Name]],Table3[Cases TGT])</f>
        <v>1200</v>
      </c>
      <c r="N40" s="25">
        <f>IFERROR(VSR_Case[[#This Row],[Total cases]]/VSR_Case[[#This Row],[MTH TGT]],0)</f>
        <v>0</v>
      </c>
      <c r="O40" s="30">
        <f>_xlfn.RANK.AVG(VSR_Case[[#This Row],[% Achieved]],VSR_Case[% Achieved],0)</f>
        <v>20</v>
      </c>
    </row>
    <row r="41" spans="1:15" ht="15" customHeight="1" x14ac:dyDescent="0.25">
      <c r="A41" s="1" t="s">
        <v>26</v>
      </c>
      <c r="B41" s="1" t="s">
        <v>23</v>
      </c>
      <c r="C41" s="1" t="s">
        <v>20</v>
      </c>
      <c r="D41" s="1" t="s">
        <v>21</v>
      </c>
      <c r="E41" s="1" t="s">
        <v>115</v>
      </c>
      <c r="F41" s="1" t="s">
        <v>27</v>
      </c>
      <c r="G41" s="10">
        <f>IFERROR(INDEX('Pivot table'!$B$3:$F$34,MATCH($E41,'Pivot table'!$A$3:$A$34,0),MATCH(G$19,'Pivot table'!$B$2:$F$2,0)),0)</f>
        <v>0</v>
      </c>
      <c r="H41" s="10">
        <f>IFERROR(INDEX('Pivot table'!$B$3:$F$34,MATCH($E41,'Pivot table'!$A$3:$A$34,0),MATCH(H$19,'Pivot table'!$B$2:$F$2,0)),0)</f>
        <v>0</v>
      </c>
      <c r="I41" s="10">
        <f>IFERROR(INDEX('Pivot table'!$B$3:$F$34,MATCH($E41,'Pivot table'!$A$3:$A$34,0),MATCH(I$19,'Pivot table'!$B$2:$F$2,0)),0)</f>
        <v>0</v>
      </c>
      <c r="J41" s="10">
        <f>IFERROR(INDEX('Pivot table'!$B$3:$F$34,MATCH($E41,'Pivot table'!$A$3:$A$34,0),MATCH(J$19,'Pivot table'!$B$2:$F$2,0)),0)</f>
        <v>0</v>
      </c>
      <c r="K41" s="10">
        <f>IFERROR(INDEX('Pivot table'!$B$3:$F$33,MATCH($E41,'Pivot table'!$A$3:$A$33,0),MATCH(K$19,'Pivot table'!$B$2:$F$2,0)),0)</f>
        <v>0</v>
      </c>
      <c r="L41" s="10">
        <f>VSR_Case[[#This Row],[Week 1]]+VSR_Case[[#This Row],[Week 2]]+VSR_Case[[#This Row],[Week 3]]+VSR_Case[[#This Row],[Week 4]]+VSR_Case[[#This Row],[Week 5]]</f>
        <v>0</v>
      </c>
      <c r="M41" s="39">
        <f>SUMIF(Table3[Column1],VSR_Case[[#This Row],[Territory]]&amp;VSR_Case[[#This Row],[Name]],Table3[Cases TGT])</f>
        <v>1200</v>
      </c>
      <c r="N41" s="25">
        <f>IFERROR(VSR_Case[[#This Row],[Total cases]]/VSR_Case[[#This Row],[MTH TGT]],0)</f>
        <v>0</v>
      </c>
      <c r="O41" s="30">
        <f>_xlfn.RANK.AVG(VSR_Case[[#This Row],[% Achieved]],VSR_Case[% Achieved],0)</f>
        <v>20</v>
      </c>
    </row>
    <row r="42" spans="1:15" ht="15" customHeight="1" x14ac:dyDescent="0.3">
      <c r="A42" s="1" t="s">
        <v>11</v>
      </c>
      <c r="B42" s="1"/>
      <c r="C42" s="1"/>
      <c r="D42" s="1"/>
      <c r="E42" s="1"/>
      <c r="F42" s="1"/>
      <c r="G42" s="5">
        <f>SUBTOTAL(109,VSR_Case[Week 1])</f>
        <v>2767</v>
      </c>
      <c r="H42" s="5">
        <f>SUBTOTAL(109,VSR_Case[Week 2])</f>
        <v>2981</v>
      </c>
      <c r="I42" s="5">
        <f>SUBTOTAL(109,VSR_Case[Week 3])</f>
        <v>0</v>
      </c>
      <c r="J42" s="5">
        <f>SUBTOTAL(109,VSR_Case[Week 4])</f>
        <v>0</v>
      </c>
      <c r="K42" s="5">
        <f>SUBTOTAL(109,VSR_Case[Week 5])</f>
        <v>0</v>
      </c>
      <c r="L42" s="5">
        <f>SUBTOTAL(109,VSR_Case[Total cases])</f>
        <v>5748</v>
      </c>
      <c r="M42" s="32">
        <f>SUBTOTAL(109,VSR_Case[MTH TGT])</f>
        <v>26800</v>
      </c>
      <c r="N42" s="36">
        <f>VSR_Case[[#Totals],[Total cases]]/VSR_Case[[#Totals],[MTH TGT]]</f>
        <v>0.21447761194029852</v>
      </c>
      <c r="O42" s="5"/>
    </row>
  </sheetData>
  <mergeCells count="2">
    <mergeCell ref="A18:F18"/>
    <mergeCell ref="A1:F1"/>
  </mergeCells>
  <conditionalFormatting sqref="O20:O41">
    <cfRule type="colorScale" priority="53">
      <colorScale>
        <cfvo type="min"/>
        <cfvo type="percentile" val="50"/>
        <cfvo type="max"/>
        <color rgb="FF63BE7B"/>
        <color rgb="FFFFEB84"/>
        <color rgb="FFF8696B"/>
      </colorScale>
    </cfRule>
  </conditionalFormatting>
  <conditionalFormatting sqref="O3:O14">
    <cfRule type="colorScale" priority="55">
      <colorScale>
        <cfvo type="min"/>
        <cfvo type="percentile" val="50"/>
        <cfvo type="max"/>
        <color rgb="FF63BE7B"/>
        <color rgb="FFFFEB84"/>
        <color rgb="FFF8696B"/>
      </colorScale>
    </cfRule>
  </conditionalFormatting>
  <pageMargins left="0.7" right="0.7" top="0.75" bottom="0.75" header="0.3" footer="0.3"/>
  <pageSetup orientation="portrait" r:id="rId1"/>
  <ignoredErrors>
    <ignoredError sqref="M16:M19" calculatedColumn="1"/>
  </ignoredErrors>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0DC5F-4DDC-40A7-A80D-B4C2F642EA36}">
  <sheetPr codeName="Sheet1"/>
  <dimension ref="A1:M67"/>
  <sheetViews>
    <sheetView topLeftCell="C1" workbookViewId="0">
      <selection activeCell="L19" sqref="L19:L21"/>
    </sheetView>
  </sheetViews>
  <sheetFormatPr defaultRowHeight="15" x14ac:dyDescent="0.25"/>
  <cols>
    <col min="1" max="1" width="31.85546875" bestFit="1" customWidth="1"/>
    <col min="2" max="2" width="16.28515625" bestFit="1" customWidth="1"/>
    <col min="3" max="6" width="7.7109375" bestFit="1" customWidth="1"/>
    <col min="7" max="7" width="11.28515625" bestFit="1" customWidth="1"/>
    <col min="9" max="9" width="13.42578125" bestFit="1" customWidth="1"/>
    <col min="10" max="10" width="16.28515625" bestFit="1" customWidth="1"/>
    <col min="11" max="11" width="12.5703125" bestFit="1" customWidth="1"/>
    <col min="12" max="12" width="7.7109375" bestFit="1" customWidth="1"/>
    <col min="13" max="13" width="12.5703125" bestFit="1" customWidth="1"/>
    <col min="14" max="14" width="7.7109375" bestFit="1" customWidth="1"/>
    <col min="15" max="15" width="12.5703125" bestFit="1" customWidth="1"/>
    <col min="16" max="16" width="7.7109375" bestFit="1" customWidth="1"/>
    <col min="17" max="17" width="12.5703125" bestFit="1" customWidth="1"/>
    <col min="18" max="18" width="7.7109375" bestFit="1" customWidth="1"/>
    <col min="19" max="19" width="11.5703125" bestFit="1" customWidth="1"/>
  </cols>
  <sheetData>
    <row r="1" spans="1:12" x14ac:dyDescent="0.25">
      <c r="A1" s="65" t="s">
        <v>99</v>
      </c>
      <c r="B1" s="65" t="s">
        <v>100</v>
      </c>
    </row>
    <row r="2" spans="1:12" x14ac:dyDescent="0.25">
      <c r="A2" s="65" t="s">
        <v>98</v>
      </c>
      <c r="B2" t="s">
        <v>13</v>
      </c>
      <c r="C2" t="s">
        <v>14</v>
      </c>
    </row>
    <row r="3" spans="1:12" x14ac:dyDescent="0.25">
      <c r="A3" s="12" t="s">
        <v>55</v>
      </c>
      <c r="B3" s="53">
        <v>178</v>
      </c>
      <c r="C3" s="53"/>
    </row>
    <row r="4" spans="1:12" x14ac:dyDescent="0.25">
      <c r="A4" s="12" t="s">
        <v>38</v>
      </c>
      <c r="B4" s="53">
        <v>592</v>
      </c>
      <c r="C4" s="53">
        <v>18</v>
      </c>
    </row>
    <row r="5" spans="1:12" x14ac:dyDescent="0.25">
      <c r="A5" s="12" t="s">
        <v>85</v>
      </c>
      <c r="B5" s="53">
        <v>123</v>
      </c>
      <c r="C5" s="53"/>
    </row>
    <row r="6" spans="1:12" x14ac:dyDescent="0.25">
      <c r="A6" s="12" t="s">
        <v>79</v>
      </c>
      <c r="B6" s="53">
        <v>138</v>
      </c>
      <c r="C6" s="53">
        <v>494</v>
      </c>
    </row>
    <row r="7" spans="1:12" x14ac:dyDescent="0.25">
      <c r="A7" s="12" t="s">
        <v>97</v>
      </c>
      <c r="B7" s="53">
        <v>618</v>
      </c>
      <c r="C7" s="53">
        <v>460</v>
      </c>
    </row>
    <row r="8" spans="1:12" x14ac:dyDescent="0.25">
      <c r="A8" s="12" t="s">
        <v>51</v>
      </c>
      <c r="B8" s="53">
        <v>384</v>
      </c>
      <c r="C8" s="53">
        <v>437</v>
      </c>
    </row>
    <row r="9" spans="1:12" x14ac:dyDescent="0.25">
      <c r="A9" s="12" t="s">
        <v>29</v>
      </c>
      <c r="B9" s="53">
        <v>771</v>
      </c>
      <c r="C9" s="53">
        <v>771</v>
      </c>
    </row>
    <row r="10" spans="1:12" x14ac:dyDescent="0.25">
      <c r="A10" s="12" t="s">
        <v>78</v>
      </c>
      <c r="B10" s="53">
        <v>136</v>
      </c>
      <c r="C10" s="53">
        <v>136</v>
      </c>
    </row>
    <row r="11" spans="1:12" x14ac:dyDescent="0.25">
      <c r="A11" s="12" t="s">
        <v>28</v>
      </c>
      <c r="B11" s="53">
        <v>797</v>
      </c>
      <c r="C11" s="53">
        <v>838</v>
      </c>
    </row>
    <row r="12" spans="1:12" x14ac:dyDescent="0.25">
      <c r="A12" s="12" t="s">
        <v>48</v>
      </c>
      <c r="B12" s="53">
        <v>105</v>
      </c>
      <c r="C12" s="53">
        <v>142</v>
      </c>
    </row>
    <row r="13" spans="1:12" x14ac:dyDescent="0.25">
      <c r="A13" s="12" t="s">
        <v>41</v>
      </c>
      <c r="B13" s="53">
        <v>512</v>
      </c>
      <c r="C13" s="53">
        <v>524</v>
      </c>
    </row>
    <row r="14" spans="1:12" x14ac:dyDescent="0.25">
      <c r="A14" s="12" t="s">
        <v>63</v>
      </c>
      <c r="B14" s="53">
        <v>65</v>
      </c>
      <c r="C14" s="53">
        <v>65</v>
      </c>
    </row>
    <row r="15" spans="1:12" x14ac:dyDescent="0.25">
      <c r="A15" s="12" t="s">
        <v>25</v>
      </c>
      <c r="B15" s="53">
        <v>230</v>
      </c>
      <c r="C15" s="53">
        <v>220</v>
      </c>
      <c r="J15" s="65" t="s">
        <v>100</v>
      </c>
    </row>
    <row r="16" spans="1:12" x14ac:dyDescent="0.25">
      <c r="A16" s="12" t="s">
        <v>83</v>
      </c>
      <c r="B16" s="53">
        <v>260</v>
      </c>
      <c r="C16" s="53">
        <v>182</v>
      </c>
      <c r="J16" t="s">
        <v>13</v>
      </c>
      <c r="L16" t="s">
        <v>14</v>
      </c>
    </row>
    <row r="17" spans="1:13" x14ac:dyDescent="0.25">
      <c r="A17" s="12" t="s">
        <v>52</v>
      </c>
      <c r="B17" s="53">
        <v>237</v>
      </c>
      <c r="C17" s="53">
        <v>340</v>
      </c>
      <c r="I17" s="65" t="s">
        <v>98</v>
      </c>
      <c r="J17" t="s">
        <v>121</v>
      </c>
      <c r="K17" t="s">
        <v>122</v>
      </c>
      <c r="L17" t="s">
        <v>121</v>
      </c>
      <c r="M17" t="s">
        <v>122</v>
      </c>
    </row>
    <row r="18" spans="1:13" x14ac:dyDescent="0.25">
      <c r="A18" s="12" t="s">
        <v>62</v>
      </c>
      <c r="B18" s="53">
        <v>412</v>
      </c>
      <c r="C18" s="53">
        <v>335</v>
      </c>
      <c r="I18" s="12" t="s">
        <v>112</v>
      </c>
      <c r="J18" s="5">
        <v>52</v>
      </c>
      <c r="K18" s="5">
        <v>1320000</v>
      </c>
      <c r="L18" s="5"/>
      <c r="M18" s="5"/>
    </row>
    <row r="19" spans="1:13" x14ac:dyDescent="0.25">
      <c r="A19" s="12" t="s">
        <v>49</v>
      </c>
      <c r="B19" s="53">
        <v>274</v>
      </c>
      <c r="C19" s="53">
        <v>542</v>
      </c>
      <c r="I19" s="12" t="s">
        <v>4</v>
      </c>
      <c r="J19" s="5">
        <v>2023</v>
      </c>
      <c r="K19" s="5">
        <v>51833200</v>
      </c>
      <c r="L19" s="5">
        <v>769</v>
      </c>
      <c r="M19" s="5">
        <v>19312400</v>
      </c>
    </row>
    <row r="20" spans="1:13" x14ac:dyDescent="0.25">
      <c r="A20" s="12" t="s">
        <v>74</v>
      </c>
      <c r="B20" s="53">
        <v>475</v>
      </c>
      <c r="C20" s="53">
        <v>15</v>
      </c>
      <c r="I20" s="12" t="s">
        <v>6</v>
      </c>
      <c r="J20" s="5">
        <v>1720</v>
      </c>
      <c r="K20" s="5">
        <v>44552400</v>
      </c>
      <c r="L20" s="5">
        <v>1938</v>
      </c>
      <c r="M20" s="5">
        <v>49098000</v>
      </c>
    </row>
    <row r="21" spans="1:13" x14ac:dyDescent="0.25">
      <c r="A21" s="12" t="s">
        <v>84</v>
      </c>
      <c r="B21" s="53">
        <v>153</v>
      </c>
      <c r="C21" s="53"/>
      <c r="I21" s="12" t="s">
        <v>23</v>
      </c>
      <c r="J21" s="5">
        <v>3925</v>
      </c>
      <c r="K21" s="5">
        <v>102652360</v>
      </c>
      <c r="L21" s="5">
        <v>4289</v>
      </c>
      <c r="M21" s="5">
        <v>112988825</v>
      </c>
    </row>
    <row r="22" spans="1:13" x14ac:dyDescent="0.25">
      <c r="A22" s="12" t="s">
        <v>47</v>
      </c>
      <c r="B22" s="53">
        <v>89</v>
      </c>
      <c r="C22" s="53"/>
    </row>
    <row r="23" spans="1:13" x14ac:dyDescent="0.25">
      <c r="A23" s="12" t="s">
        <v>75</v>
      </c>
      <c r="B23" s="53">
        <v>179</v>
      </c>
      <c r="C23" s="53">
        <v>209</v>
      </c>
    </row>
    <row r="24" spans="1:13" x14ac:dyDescent="0.25">
      <c r="A24" s="12" t="s">
        <v>40</v>
      </c>
      <c r="B24" s="53">
        <v>272</v>
      </c>
      <c r="C24" s="53">
        <v>292</v>
      </c>
    </row>
    <row r="25" spans="1:13" x14ac:dyDescent="0.25">
      <c r="A25" s="12" t="s">
        <v>103</v>
      </c>
      <c r="B25" s="53">
        <v>131</v>
      </c>
      <c r="C25" s="53">
        <v>131</v>
      </c>
    </row>
    <row r="26" spans="1:13" x14ac:dyDescent="0.25">
      <c r="A26" s="12" t="s">
        <v>104</v>
      </c>
      <c r="B26" s="53">
        <v>124</v>
      </c>
      <c r="C26" s="53">
        <v>109</v>
      </c>
    </row>
    <row r="27" spans="1:13" x14ac:dyDescent="0.25">
      <c r="A27" s="12" t="s">
        <v>110</v>
      </c>
      <c r="B27" s="53">
        <v>52</v>
      </c>
      <c r="C27" s="53"/>
    </row>
    <row r="28" spans="1:13" x14ac:dyDescent="0.25">
      <c r="A28" s="12" t="s">
        <v>123</v>
      </c>
      <c r="B28" s="53"/>
      <c r="C28" s="53">
        <v>370</v>
      </c>
    </row>
    <row r="29" spans="1:13" x14ac:dyDescent="0.25">
      <c r="A29" s="12" t="s">
        <v>124</v>
      </c>
      <c r="B29" s="53">
        <v>413</v>
      </c>
      <c r="C29" s="53">
        <v>366</v>
      </c>
    </row>
    <row r="32" spans="1:13" x14ac:dyDescent="0.25">
      <c r="G32" s="65"/>
    </row>
    <row r="39" spans="1:3" x14ac:dyDescent="0.25">
      <c r="A39" s="65" t="s">
        <v>101</v>
      </c>
      <c r="B39" s="65" t="s">
        <v>100</v>
      </c>
    </row>
    <row r="40" spans="1:3" x14ac:dyDescent="0.25">
      <c r="A40" s="65" t="s">
        <v>98</v>
      </c>
      <c r="B40" t="s">
        <v>13</v>
      </c>
      <c r="C40" t="s">
        <v>14</v>
      </c>
    </row>
    <row r="41" spans="1:3" x14ac:dyDescent="0.25">
      <c r="A41" s="12" t="s">
        <v>55</v>
      </c>
      <c r="B41" s="53">
        <v>3955200</v>
      </c>
      <c r="C41" s="53"/>
    </row>
    <row r="42" spans="1:3" x14ac:dyDescent="0.25">
      <c r="A42" s="12" t="s">
        <v>38</v>
      </c>
      <c r="B42" s="53">
        <v>16470400</v>
      </c>
      <c r="C42" s="53">
        <v>410400</v>
      </c>
    </row>
    <row r="43" spans="1:3" x14ac:dyDescent="0.25">
      <c r="A43" s="12" t="s">
        <v>85</v>
      </c>
      <c r="B43" s="53">
        <v>2826000</v>
      </c>
      <c r="C43" s="53"/>
    </row>
    <row r="44" spans="1:3" x14ac:dyDescent="0.25">
      <c r="A44" s="12" t="s">
        <v>79</v>
      </c>
      <c r="B44" s="53">
        <v>3392400</v>
      </c>
      <c r="C44" s="53">
        <v>13189400</v>
      </c>
    </row>
    <row r="45" spans="1:3" x14ac:dyDescent="0.25">
      <c r="A45" s="12" t="s">
        <v>97</v>
      </c>
      <c r="B45" s="53">
        <v>15961200</v>
      </c>
      <c r="C45" s="53">
        <v>11741400</v>
      </c>
    </row>
    <row r="46" spans="1:3" x14ac:dyDescent="0.25">
      <c r="A46" s="12" t="s">
        <v>51</v>
      </c>
      <c r="B46" s="53">
        <v>9243600</v>
      </c>
      <c r="C46" s="53">
        <v>10176000</v>
      </c>
    </row>
    <row r="47" spans="1:3" x14ac:dyDescent="0.25">
      <c r="A47" s="12" t="s">
        <v>29</v>
      </c>
      <c r="B47" s="53">
        <v>21106475</v>
      </c>
      <c r="C47" s="53">
        <v>21106475</v>
      </c>
    </row>
    <row r="48" spans="1:3" x14ac:dyDescent="0.25">
      <c r="A48" s="12" t="s">
        <v>78</v>
      </c>
      <c r="B48" s="53">
        <v>3150000</v>
      </c>
      <c r="C48" s="53">
        <v>3150000</v>
      </c>
    </row>
    <row r="49" spans="1:3" x14ac:dyDescent="0.25">
      <c r="A49" s="12" t="s">
        <v>28</v>
      </c>
      <c r="B49" s="53">
        <v>21924050</v>
      </c>
      <c r="C49" s="53">
        <v>22991650</v>
      </c>
    </row>
    <row r="50" spans="1:3" x14ac:dyDescent="0.25">
      <c r="A50" s="12" t="s">
        <v>48</v>
      </c>
      <c r="B50" s="53">
        <v>2940000</v>
      </c>
      <c r="C50" s="53">
        <v>4061800</v>
      </c>
    </row>
    <row r="51" spans="1:3" x14ac:dyDescent="0.25">
      <c r="A51" s="12" t="s">
        <v>41</v>
      </c>
      <c r="B51" s="53">
        <v>13852800</v>
      </c>
      <c r="C51" s="53">
        <v>14506400</v>
      </c>
    </row>
    <row r="52" spans="1:3" x14ac:dyDescent="0.25">
      <c r="A52" s="12" t="s">
        <v>63</v>
      </c>
      <c r="B52" s="53">
        <v>1560000</v>
      </c>
      <c r="C52" s="53">
        <v>1560000</v>
      </c>
    </row>
    <row r="53" spans="1:3" x14ac:dyDescent="0.25">
      <c r="A53" s="12" t="s">
        <v>25</v>
      </c>
      <c r="B53" s="53">
        <v>5676000</v>
      </c>
      <c r="C53" s="53">
        <v>5232000</v>
      </c>
    </row>
    <row r="54" spans="1:3" x14ac:dyDescent="0.25">
      <c r="A54" s="12" t="s">
        <v>83</v>
      </c>
      <c r="B54" s="53">
        <v>6649800</v>
      </c>
      <c r="C54" s="53">
        <v>4713600</v>
      </c>
    </row>
    <row r="55" spans="1:3" x14ac:dyDescent="0.25">
      <c r="A55" s="12" t="s">
        <v>52</v>
      </c>
      <c r="B55" s="53">
        <v>5984400</v>
      </c>
      <c r="C55" s="53">
        <v>8142000</v>
      </c>
    </row>
    <row r="56" spans="1:3" x14ac:dyDescent="0.25">
      <c r="A56" s="12" t="s">
        <v>62</v>
      </c>
      <c r="B56" s="53">
        <v>10334800</v>
      </c>
      <c r="C56" s="53">
        <v>8954400</v>
      </c>
    </row>
    <row r="57" spans="1:3" x14ac:dyDescent="0.25">
      <c r="A57" s="12" t="s">
        <v>49</v>
      </c>
      <c r="B57" s="53">
        <v>6930735</v>
      </c>
      <c r="C57" s="53">
        <v>13674800</v>
      </c>
    </row>
    <row r="58" spans="1:3" x14ac:dyDescent="0.25">
      <c r="A58" s="12" t="s">
        <v>74</v>
      </c>
      <c r="B58" s="53">
        <v>12224000</v>
      </c>
      <c r="C58" s="53">
        <v>342000</v>
      </c>
    </row>
    <row r="59" spans="1:3" x14ac:dyDescent="0.25">
      <c r="A59" s="12" t="s">
        <v>84</v>
      </c>
      <c r="B59" s="53">
        <v>3889200</v>
      </c>
      <c r="C59" s="53"/>
    </row>
    <row r="60" spans="1:3" x14ac:dyDescent="0.25">
      <c r="A60" s="12" t="s">
        <v>47</v>
      </c>
      <c r="B60" s="53">
        <v>2238800</v>
      </c>
      <c r="C60" s="53"/>
    </row>
    <row r="61" spans="1:3" x14ac:dyDescent="0.25">
      <c r="A61" s="12" t="s">
        <v>75</v>
      </c>
      <c r="B61" s="53">
        <v>4454400</v>
      </c>
      <c r="C61" s="53">
        <v>5192400</v>
      </c>
    </row>
    <row r="62" spans="1:3" x14ac:dyDescent="0.25">
      <c r="A62" s="12" t="s">
        <v>40</v>
      </c>
      <c r="B62" s="53">
        <v>7867200</v>
      </c>
      <c r="C62" s="53">
        <v>7931200</v>
      </c>
    </row>
    <row r="63" spans="1:3" x14ac:dyDescent="0.25">
      <c r="A63" s="12" t="s">
        <v>103</v>
      </c>
      <c r="B63" s="53">
        <v>3131300</v>
      </c>
      <c r="C63" s="53">
        <v>3131300</v>
      </c>
    </row>
    <row r="64" spans="1:3" x14ac:dyDescent="0.25">
      <c r="A64" s="12" t="s">
        <v>104</v>
      </c>
      <c r="B64" s="53">
        <v>3045600</v>
      </c>
      <c r="C64" s="53">
        <v>2632000</v>
      </c>
    </row>
    <row r="65" spans="1:3" x14ac:dyDescent="0.25">
      <c r="A65" s="12" t="s">
        <v>110</v>
      </c>
      <c r="B65" s="53">
        <v>1320000</v>
      </c>
      <c r="C65" s="53"/>
    </row>
    <row r="66" spans="1:3" x14ac:dyDescent="0.25">
      <c r="A66" s="12" t="s">
        <v>123</v>
      </c>
      <c r="B66" s="53"/>
      <c r="C66" s="53">
        <v>9489000</v>
      </c>
    </row>
    <row r="67" spans="1:3" x14ac:dyDescent="0.25">
      <c r="A67" s="12" t="s">
        <v>124</v>
      </c>
      <c r="B67" s="53">
        <v>10229600</v>
      </c>
      <c r="C67" s="53">
        <v>9071000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0813B-BB02-4547-998C-15D8A8F57300}">
  <sheetPr codeName="Sheet2"/>
  <dimension ref="A1:R37"/>
  <sheetViews>
    <sheetView topLeftCell="A13" workbookViewId="0">
      <selection activeCell="A32" sqref="A32:F32"/>
    </sheetView>
  </sheetViews>
  <sheetFormatPr defaultRowHeight="15" x14ac:dyDescent="0.25"/>
  <cols>
    <col min="1" max="1" width="21" style="58" bestFit="1" customWidth="1"/>
    <col min="2" max="2" width="8" style="58" customWidth="1"/>
    <col min="3" max="3" width="12.28515625" style="58" bestFit="1" customWidth="1"/>
    <col min="4" max="4" width="10.140625" style="58" bestFit="1" customWidth="1"/>
    <col min="5" max="5" width="24" style="58" bestFit="1" customWidth="1"/>
    <col min="6" max="6" width="16.5703125" style="58" bestFit="1" customWidth="1"/>
    <col min="7" max="8" width="10.42578125" style="58" customWidth="1"/>
    <col min="9" max="9" width="34.5703125" style="58" bestFit="1" customWidth="1"/>
    <col min="10" max="11" width="9.140625" style="58"/>
    <col min="12" max="13" width="0" style="58" hidden="1" customWidth="1"/>
    <col min="14" max="15" width="9.5703125" style="58" hidden="1" customWidth="1"/>
    <col min="16" max="18" width="9.28515625" style="58" hidden="1" customWidth="1"/>
    <col min="19" max="19" width="0" style="58" hidden="1" customWidth="1"/>
    <col min="20" max="16384" width="9.140625" style="58"/>
  </cols>
  <sheetData>
    <row r="1" spans="1:18" x14ac:dyDescent="0.25">
      <c r="A1" s="54" t="s">
        <v>36</v>
      </c>
      <c r="B1" s="54" t="s">
        <v>0</v>
      </c>
      <c r="C1" s="54" t="s">
        <v>1</v>
      </c>
      <c r="D1" s="55" t="s">
        <v>22</v>
      </c>
      <c r="E1" s="54" t="s">
        <v>10</v>
      </c>
      <c r="F1" s="54" t="s">
        <v>35</v>
      </c>
      <c r="G1" s="56" t="s">
        <v>70</v>
      </c>
      <c r="H1" s="57" t="s">
        <v>71</v>
      </c>
      <c r="I1" s="81" t="s">
        <v>114</v>
      </c>
      <c r="N1" s="58" t="s">
        <v>13</v>
      </c>
      <c r="O1" s="58" t="s">
        <v>14</v>
      </c>
      <c r="P1" s="58" t="s">
        <v>15</v>
      </c>
      <c r="Q1" s="58" t="s">
        <v>16</v>
      </c>
      <c r="R1" s="58" t="s">
        <v>17</v>
      </c>
    </row>
    <row r="2" spans="1:18" x14ac:dyDescent="0.25">
      <c r="A2" s="59" t="s">
        <v>93</v>
      </c>
      <c r="B2" s="60" t="s">
        <v>23</v>
      </c>
      <c r="C2" s="59" t="s">
        <v>2</v>
      </c>
      <c r="D2" s="59" t="s">
        <v>31</v>
      </c>
      <c r="E2" s="59" t="s">
        <v>49</v>
      </c>
      <c r="F2" s="59" t="s">
        <v>66</v>
      </c>
      <c r="G2" s="59">
        <v>5000</v>
      </c>
      <c r="H2" s="61">
        <v>63000000</v>
      </c>
      <c r="I2" s="59" t="str">
        <f>Table3[[#This Row],[Territory]]&amp;Table3[[#This Row],[Name]]</f>
        <v>ONITSHAObiakor Calister Ifunaya</v>
      </c>
      <c r="M2" s="58" t="s">
        <v>4</v>
      </c>
      <c r="N2" s="76">
        <f>SUMIF('OMSR &amp; VSR Performance - Cases'!$B:$B,Target!$M2,'OMSR &amp; VSR Performance - Cases'!G:G)</f>
        <v>2023</v>
      </c>
      <c r="O2" s="76">
        <f>SUMIF('OMSR &amp; VSR Performance - Cases'!$B:$B,Target!$M2,'OMSR &amp; VSR Performance - Cases'!H:H)</f>
        <v>769</v>
      </c>
      <c r="P2" s="73">
        <f>SUMIF('OMSR &amp; VSR Performance - Cases'!$B:$B,Target!$M2,'OMSR &amp; VSR Performance - Cases'!I:I)</f>
        <v>0</v>
      </c>
      <c r="Q2" s="73">
        <f>SUMIF('OMSR &amp; VSR Performance - Cases'!$B:$B,Target!$M2,'OMSR &amp; VSR Performance - Cases'!J:J)</f>
        <v>0</v>
      </c>
      <c r="R2" s="73">
        <f>SUMIF('OMSR &amp; VSR Performance - Cases'!$B:$B,Target!$M2,'OMSR &amp; VSR Performance - Cases'!K:K)</f>
        <v>0</v>
      </c>
    </row>
    <row r="3" spans="1:18" x14ac:dyDescent="0.25">
      <c r="A3" s="59" t="s">
        <v>26</v>
      </c>
      <c r="B3" s="60" t="s">
        <v>23</v>
      </c>
      <c r="C3" s="59" t="s">
        <v>20</v>
      </c>
      <c r="D3" s="59" t="s">
        <v>21</v>
      </c>
      <c r="E3" s="59" t="s">
        <v>115</v>
      </c>
      <c r="F3" s="59" t="s">
        <v>27</v>
      </c>
      <c r="G3" s="59">
        <v>1200</v>
      </c>
      <c r="H3" s="61">
        <v>11700000</v>
      </c>
      <c r="I3" s="59" t="str">
        <f>Table3[[#This Row],[Territory]]&amp;Table3[[#This Row],[Name]]</f>
        <v xml:space="preserve">UYOVacancy </v>
      </c>
      <c r="M3" s="58" t="s">
        <v>6</v>
      </c>
      <c r="N3" s="76">
        <f>SUMIF('OMSR &amp; VSR Performance - Cases'!$B:$B,Target!$M3,'OMSR &amp; VSR Performance - Cases'!G:G)</f>
        <v>1720</v>
      </c>
      <c r="O3" s="76">
        <f>SUMIF('OMSR &amp; VSR Performance - Cases'!$B:$B,Target!$M3,'OMSR &amp; VSR Performance - Cases'!H:H)</f>
        <v>1938</v>
      </c>
      <c r="P3" s="73">
        <f>SUMIF('OMSR &amp; VSR Performance - Cases'!$B:$B,Target!$M3,'OMSR &amp; VSR Performance - Cases'!I:I)</f>
        <v>0</v>
      </c>
      <c r="Q3" s="73">
        <f>SUMIF('OMSR &amp; VSR Performance - Cases'!$B:$B,Target!$M3,'OMSR &amp; VSR Performance - Cases'!J:J)</f>
        <v>0</v>
      </c>
      <c r="R3" s="73">
        <f>SUMIF('OMSR &amp; VSR Performance - Cases'!$B:$B,Target!$M3,'OMSR &amp; VSR Performance - Cases'!K:K)</f>
        <v>0</v>
      </c>
    </row>
    <row r="4" spans="1:18" x14ac:dyDescent="0.25">
      <c r="A4" s="59" t="s">
        <v>26</v>
      </c>
      <c r="B4" s="60" t="s">
        <v>23</v>
      </c>
      <c r="C4" s="59" t="s">
        <v>20</v>
      </c>
      <c r="D4" s="59" t="s">
        <v>31</v>
      </c>
      <c r="E4" s="59" t="s">
        <v>25</v>
      </c>
      <c r="F4" s="59" t="s">
        <v>27</v>
      </c>
      <c r="G4" s="59">
        <v>2500</v>
      </c>
      <c r="H4" s="61">
        <v>31500000</v>
      </c>
      <c r="I4" s="59" t="str">
        <f>Table3[[#This Row],[Territory]]&amp;Table3[[#This Row],[Name]]</f>
        <v xml:space="preserve">UYOMbuk Udeme  Enobong        </v>
      </c>
      <c r="M4" s="58" t="s">
        <v>23</v>
      </c>
      <c r="N4" s="76">
        <f>SUMIF('OMSR &amp; VSR Performance - Cases'!$B:$B,Target!$M4,'OMSR &amp; VSR Performance - Cases'!G:G)</f>
        <v>3925</v>
      </c>
      <c r="O4" s="76">
        <f>SUMIF('OMSR &amp; VSR Performance - Cases'!$B:$B,Target!$M4,'OMSR &amp; VSR Performance - Cases'!H:H)</f>
        <v>4289</v>
      </c>
      <c r="P4" s="73">
        <f>SUMIF('OMSR &amp; VSR Performance - Cases'!$B:$B,Target!$M4,'OMSR &amp; VSR Performance - Cases'!I:I)</f>
        <v>0</v>
      </c>
      <c r="Q4" s="73">
        <f>SUMIF('OMSR &amp; VSR Performance - Cases'!$B:$B,Target!$M4,'OMSR &amp; VSR Performance - Cases'!J:J)</f>
        <v>0</v>
      </c>
      <c r="R4" s="73">
        <f>SUMIF('OMSR &amp; VSR Performance - Cases'!$B:$B,Target!$M4,'OMSR &amp; VSR Performance - Cases'!K:K)</f>
        <v>0</v>
      </c>
    </row>
    <row r="5" spans="1:18" x14ac:dyDescent="0.25">
      <c r="A5" s="59" t="s">
        <v>94</v>
      </c>
      <c r="B5" s="60" t="s">
        <v>23</v>
      </c>
      <c r="C5" s="59" t="s">
        <v>9</v>
      </c>
      <c r="D5" s="59" t="s">
        <v>31</v>
      </c>
      <c r="E5" s="59" t="s">
        <v>28</v>
      </c>
      <c r="F5" s="59" t="s">
        <v>30</v>
      </c>
      <c r="G5" s="59">
        <v>5000</v>
      </c>
      <c r="H5" s="61">
        <v>63000000</v>
      </c>
      <c r="I5" s="59" t="str">
        <f>Table3[[#This Row],[Territory]]&amp;Table3[[#This Row],[Name]]</f>
        <v xml:space="preserve">ABAGlory Ugboaja    </v>
      </c>
      <c r="M5" s="58" t="s">
        <v>112</v>
      </c>
      <c r="N5" s="76">
        <f>SUMIF('OMSR &amp; VSR Performance - Cases'!$B:$B,Target!$M5,'OMSR &amp; VSR Performance - Cases'!G:G)</f>
        <v>52</v>
      </c>
      <c r="O5" s="76">
        <f>SUMIF('OMSR &amp; VSR Performance - Cases'!$B:$B,Target!$M5,'OMSR &amp; VSR Performance - Cases'!H:H)</f>
        <v>0</v>
      </c>
      <c r="P5" s="73">
        <f>SUMIF('OMSR &amp; VSR Performance - Cases'!$B:$B,Target!$M5,'OMSR &amp; VSR Performance - Cases'!I:I)</f>
        <v>0</v>
      </c>
      <c r="Q5" s="73">
        <f>SUMIF('OMSR &amp; VSR Performance - Cases'!$B:$B,Target!$M5,'OMSR &amp; VSR Performance - Cases'!J:J)</f>
        <v>0</v>
      </c>
      <c r="R5" s="73">
        <f>SUMIF('OMSR &amp; VSR Performance - Cases'!$B:$B,Target!$M5,'OMSR &amp; VSR Performance - Cases'!K:K)</f>
        <v>0</v>
      </c>
    </row>
    <row r="6" spans="1:18" x14ac:dyDescent="0.25">
      <c r="A6" s="59" t="s">
        <v>95</v>
      </c>
      <c r="B6" s="60" t="s">
        <v>23</v>
      </c>
      <c r="C6" s="59" t="s">
        <v>9</v>
      </c>
      <c r="D6" s="59" t="s">
        <v>31</v>
      </c>
      <c r="E6" s="59" t="s">
        <v>29</v>
      </c>
      <c r="F6" s="59" t="s">
        <v>30</v>
      </c>
      <c r="G6" s="59">
        <v>5000</v>
      </c>
      <c r="H6" s="61">
        <v>63000000</v>
      </c>
      <c r="I6" s="59" t="str">
        <f>Table3[[#This Row],[Territory]]&amp;Table3[[#This Row],[Name]]</f>
        <v xml:space="preserve">ABAChidinma Sunday Happiness </v>
      </c>
      <c r="M6" s="58" t="s">
        <v>11</v>
      </c>
      <c r="N6" s="75">
        <f>SUM(N2:N5)</f>
        <v>7720</v>
      </c>
      <c r="O6" s="75">
        <f t="shared" ref="O6:R6" si="0">SUM(O2:O5)</f>
        <v>6996</v>
      </c>
      <c r="P6" s="74">
        <f t="shared" si="0"/>
        <v>0</v>
      </c>
      <c r="Q6" s="74">
        <f t="shared" si="0"/>
        <v>0</v>
      </c>
      <c r="R6" s="74">
        <f t="shared" si="0"/>
        <v>0</v>
      </c>
    </row>
    <row r="7" spans="1:18" x14ac:dyDescent="0.25">
      <c r="A7" s="59" t="s">
        <v>87</v>
      </c>
      <c r="B7" s="60" t="s">
        <v>23</v>
      </c>
      <c r="C7" s="59" t="s">
        <v>18</v>
      </c>
      <c r="D7" s="59" t="s">
        <v>21</v>
      </c>
      <c r="E7" s="59" t="s">
        <v>103</v>
      </c>
      <c r="F7" s="59" t="s">
        <v>32</v>
      </c>
      <c r="G7" s="59">
        <v>1500</v>
      </c>
      <c r="H7" s="61">
        <v>14625000</v>
      </c>
      <c r="I7" s="59" t="str">
        <f>Table3[[#This Row],[Territory]]&amp;Table3[[#This Row],[Name]]</f>
        <v>BENINAtabor Elijah</v>
      </c>
      <c r="M7"/>
    </row>
    <row r="8" spans="1:18" x14ac:dyDescent="0.25">
      <c r="A8" s="59" t="s">
        <v>87</v>
      </c>
      <c r="B8" s="60" t="s">
        <v>23</v>
      </c>
      <c r="C8" s="59" t="s">
        <v>96</v>
      </c>
      <c r="D8" s="59" t="s">
        <v>21</v>
      </c>
      <c r="E8" s="59" t="s">
        <v>63</v>
      </c>
      <c r="F8" s="59" t="s">
        <v>32</v>
      </c>
      <c r="G8" s="59">
        <v>1200</v>
      </c>
      <c r="H8" s="61">
        <v>11700000</v>
      </c>
      <c r="I8" s="59" t="str">
        <f>Table3[[#This Row],[Territory]]&amp;Table3[[#This Row],[Name]]</f>
        <v>AUCHI/EKPOMAHMarbus Okpebho</v>
      </c>
      <c r="M8"/>
    </row>
    <row r="9" spans="1:18" x14ac:dyDescent="0.25">
      <c r="A9" s="59" t="s">
        <v>64</v>
      </c>
      <c r="B9" s="60" t="s">
        <v>23</v>
      </c>
      <c r="C9" s="59" t="s">
        <v>81</v>
      </c>
      <c r="D9" s="59" t="s">
        <v>21</v>
      </c>
      <c r="E9" s="59" t="s">
        <v>79</v>
      </c>
      <c r="F9" s="59" t="s">
        <v>66</v>
      </c>
      <c r="G9" s="59">
        <v>1500</v>
      </c>
      <c r="H9" s="61">
        <v>14625000</v>
      </c>
      <c r="I9" s="59" t="str">
        <f>Table3[[#This Row],[Territory]]&amp;Table3[[#This Row],[Name]]</f>
        <v>AWKAAtulobi Eberechi</v>
      </c>
      <c r="M9"/>
    </row>
    <row r="10" spans="1:18" x14ac:dyDescent="0.25">
      <c r="A10" s="59" t="s">
        <v>64</v>
      </c>
      <c r="B10" s="60" t="s">
        <v>23</v>
      </c>
      <c r="C10" s="59" t="s">
        <v>2</v>
      </c>
      <c r="D10" s="59" t="s">
        <v>21</v>
      </c>
      <c r="E10" s="59" t="s">
        <v>65</v>
      </c>
      <c r="F10" s="59" t="s">
        <v>66</v>
      </c>
      <c r="G10" s="59">
        <v>1200</v>
      </c>
      <c r="H10" s="61">
        <v>11700000</v>
      </c>
      <c r="I10" s="59" t="str">
        <f>Table3[[#This Row],[Territory]]&amp;Table3[[#This Row],[Name]]</f>
        <v>ONITSHAAgbjeogu  Chibueze</v>
      </c>
      <c r="M10"/>
    </row>
    <row r="11" spans="1:18" x14ac:dyDescent="0.25">
      <c r="A11" s="59" t="s">
        <v>34</v>
      </c>
      <c r="B11" s="60" t="s">
        <v>23</v>
      </c>
      <c r="C11" s="59" t="s">
        <v>12</v>
      </c>
      <c r="D11" s="59" t="s">
        <v>21</v>
      </c>
      <c r="E11" s="59" t="s">
        <v>48</v>
      </c>
      <c r="F11" s="59" t="s">
        <v>33</v>
      </c>
      <c r="G11" s="59">
        <v>1200</v>
      </c>
      <c r="H11" s="61">
        <v>11700000</v>
      </c>
      <c r="I11" s="59" t="str">
        <f>Table3[[#This Row],[Territory]]&amp;Table3[[#This Row],[Name]]</f>
        <v>OWERRIIbiam Emmanuel Nkama</v>
      </c>
      <c r="M11"/>
    </row>
    <row r="12" spans="1:18" x14ac:dyDescent="0.25">
      <c r="A12" s="59" t="s">
        <v>50</v>
      </c>
      <c r="B12" s="60" t="s">
        <v>23</v>
      </c>
      <c r="C12" s="59" t="s">
        <v>3</v>
      </c>
      <c r="D12" s="59" t="s">
        <v>31</v>
      </c>
      <c r="E12" s="59" t="s">
        <v>62</v>
      </c>
      <c r="F12" s="59" t="s">
        <v>119</v>
      </c>
      <c r="G12" s="59">
        <v>5000</v>
      </c>
      <c r="H12" s="61">
        <v>63000000</v>
      </c>
      <c r="I12" s="59" t="str">
        <f>Table3[[#This Row],[Territory]]&amp;Table3[[#This Row],[Name]]</f>
        <v>PORT-HARCOURTNwinee Kaborloobari Constance</v>
      </c>
      <c r="M12"/>
    </row>
    <row r="13" spans="1:18" x14ac:dyDescent="0.25">
      <c r="A13" s="59" t="s">
        <v>50</v>
      </c>
      <c r="B13" s="60" t="s">
        <v>23</v>
      </c>
      <c r="C13" s="59" t="s">
        <v>3</v>
      </c>
      <c r="D13" s="59" t="s">
        <v>21</v>
      </c>
      <c r="E13" s="59" t="s">
        <v>104</v>
      </c>
      <c r="F13" s="59" t="s">
        <v>119</v>
      </c>
      <c r="G13" s="59">
        <v>1200</v>
      </c>
      <c r="H13" s="61">
        <v>11700000</v>
      </c>
      <c r="I13" s="59" t="str">
        <f>Table3[[#This Row],[Territory]]&amp;Table3[[#This Row],[Name]]</f>
        <v>PORT-HARCOURTJeremiah Joseph</v>
      </c>
      <c r="M13"/>
    </row>
    <row r="14" spans="1:18" x14ac:dyDescent="0.25">
      <c r="A14" s="59" t="s">
        <v>54</v>
      </c>
      <c r="B14" s="60" t="s">
        <v>23</v>
      </c>
      <c r="C14" s="59" t="s">
        <v>19</v>
      </c>
      <c r="D14" s="59" t="s">
        <v>31</v>
      </c>
      <c r="E14" s="59" t="s">
        <v>97</v>
      </c>
      <c r="F14" s="59" t="s">
        <v>42</v>
      </c>
      <c r="G14" s="59">
        <v>2500</v>
      </c>
      <c r="H14" s="61">
        <v>31500000</v>
      </c>
      <c r="I14" s="59" t="str">
        <f>Table3[[#This Row],[Territory]]&amp;Table3[[#This Row],[Name]]</f>
        <v xml:space="preserve">ENUGUAyogu Sopuluchukwu Chriatiana    </v>
      </c>
      <c r="M14"/>
    </row>
    <row r="15" spans="1:18" x14ac:dyDescent="0.25">
      <c r="A15" s="59" t="s">
        <v>54</v>
      </c>
      <c r="B15" s="60" t="s">
        <v>23</v>
      </c>
      <c r="C15" s="59" t="s">
        <v>19</v>
      </c>
      <c r="D15" s="59" t="s">
        <v>21</v>
      </c>
      <c r="E15" s="59" t="s">
        <v>83</v>
      </c>
      <c r="F15" s="59" t="s">
        <v>42</v>
      </c>
      <c r="G15" s="59">
        <v>1200</v>
      </c>
      <c r="H15" s="61">
        <v>11700000</v>
      </c>
      <c r="I15" s="78" t="str">
        <f>Table3[[#This Row],[Territory]]&amp;Table3[[#This Row],[Name]]</f>
        <v>ENUGUNelson Kelvin Chibueze</v>
      </c>
      <c r="M15"/>
    </row>
    <row r="16" spans="1:18" x14ac:dyDescent="0.25">
      <c r="A16" s="62" t="s">
        <v>39</v>
      </c>
      <c r="B16" s="63" t="s">
        <v>6</v>
      </c>
      <c r="C16" s="62" t="s">
        <v>7</v>
      </c>
      <c r="D16" s="62" t="s">
        <v>31</v>
      </c>
      <c r="E16" s="62" t="s">
        <v>40</v>
      </c>
      <c r="F16" s="62" t="s">
        <v>67</v>
      </c>
      <c r="G16" s="59">
        <v>2500</v>
      </c>
      <c r="H16" s="61">
        <v>31500000</v>
      </c>
      <c r="I16" s="78" t="str">
        <f>Table3[[#This Row],[Territory]]&amp;Table3[[#This Row],[Name]]</f>
        <v xml:space="preserve">ABUJAVictoria Ejeh   </v>
      </c>
      <c r="M16"/>
    </row>
    <row r="17" spans="1:13" x14ac:dyDescent="0.25">
      <c r="A17" s="62" t="s">
        <v>31</v>
      </c>
      <c r="B17" s="63" t="s">
        <v>6</v>
      </c>
      <c r="C17" s="62" t="s">
        <v>7</v>
      </c>
      <c r="D17" s="62" t="s">
        <v>31</v>
      </c>
      <c r="E17" s="62" t="s">
        <v>41</v>
      </c>
      <c r="F17" s="62" t="s">
        <v>118</v>
      </c>
      <c r="G17" s="59">
        <v>5000</v>
      </c>
      <c r="H17" s="61">
        <v>63000000</v>
      </c>
      <c r="I17" s="78" t="str">
        <f>Table3[[#This Row],[Territory]]&amp;Table3[[#This Row],[Name]]</f>
        <v xml:space="preserve">ABUJAIbrahim Bolanle       </v>
      </c>
      <c r="M17"/>
    </row>
    <row r="18" spans="1:13" x14ac:dyDescent="0.25">
      <c r="A18" s="62" t="s">
        <v>53</v>
      </c>
      <c r="B18" s="63" t="s">
        <v>6</v>
      </c>
      <c r="C18" s="62" t="s">
        <v>7</v>
      </c>
      <c r="D18" s="62" t="s">
        <v>21</v>
      </c>
      <c r="E18" s="62" t="s">
        <v>102</v>
      </c>
      <c r="F18" s="62" t="s">
        <v>67</v>
      </c>
      <c r="G18" s="59">
        <v>1200</v>
      </c>
      <c r="H18" s="61">
        <v>11700000</v>
      </c>
      <c r="I18" s="78" t="str">
        <f>Table3[[#This Row],[Territory]]&amp;Table3[[#This Row],[Name]]</f>
        <v>ABUJAIyamah Inusa Jubril</v>
      </c>
      <c r="M18"/>
    </row>
    <row r="19" spans="1:13" x14ac:dyDescent="0.25">
      <c r="A19" s="62" t="s">
        <v>76</v>
      </c>
      <c r="B19" s="63" t="s">
        <v>6</v>
      </c>
      <c r="C19" s="62" t="s">
        <v>7</v>
      </c>
      <c r="D19" s="62" t="s">
        <v>21</v>
      </c>
      <c r="E19" s="62" t="s">
        <v>75</v>
      </c>
      <c r="F19" s="62" t="s">
        <v>118</v>
      </c>
      <c r="G19" s="59">
        <v>1200</v>
      </c>
      <c r="H19" s="61">
        <v>11700000</v>
      </c>
      <c r="I19" s="78" t="str">
        <f>Table3[[#This Row],[Territory]]&amp;Table3[[#This Row],[Name]]</f>
        <v>ABUJARalph Anango</v>
      </c>
      <c r="M19"/>
    </row>
    <row r="20" spans="1:13" x14ac:dyDescent="0.25">
      <c r="A20" s="62" t="s">
        <v>53</v>
      </c>
      <c r="B20" s="63" t="s">
        <v>6</v>
      </c>
      <c r="C20" s="62" t="s">
        <v>7</v>
      </c>
      <c r="D20" s="62" t="s">
        <v>21</v>
      </c>
      <c r="E20" s="62" t="s">
        <v>51</v>
      </c>
      <c r="F20" s="62" t="s">
        <v>67</v>
      </c>
      <c r="G20" s="59">
        <v>1500</v>
      </c>
      <c r="H20" s="61">
        <v>14625000</v>
      </c>
      <c r="I20" s="78" t="str">
        <f>Table3[[#This Row],[Territory]]&amp;Table3[[#This Row],[Name]]</f>
        <v>ABUJAAzebeokhai Samad</v>
      </c>
      <c r="M20"/>
    </row>
    <row r="21" spans="1:13" x14ac:dyDescent="0.25">
      <c r="A21" s="62" t="s">
        <v>53</v>
      </c>
      <c r="B21" s="63" t="s">
        <v>6</v>
      </c>
      <c r="C21" s="62" t="s">
        <v>92</v>
      </c>
      <c r="D21" s="62" t="s">
        <v>21</v>
      </c>
      <c r="E21" s="78" t="s">
        <v>120</v>
      </c>
      <c r="F21" s="62" t="s">
        <v>69</v>
      </c>
      <c r="G21" s="59">
        <v>1200</v>
      </c>
      <c r="H21" s="61">
        <v>11700000</v>
      </c>
      <c r="I21" s="78" t="str">
        <f>Table3[[#This Row],[Territory]]&amp;Table3[[#This Row],[Name]]</f>
        <v>LOKOJAVictor Ogedengbe</v>
      </c>
      <c r="M21"/>
    </row>
    <row r="22" spans="1:13" x14ac:dyDescent="0.25">
      <c r="A22" s="62" t="s">
        <v>77</v>
      </c>
      <c r="B22" s="63" t="s">
        <v>6</v>
      </c>
      <c r="C22" s="62" t="s">
        <v>68</v>
      </c>
      <c r="D22" s="62" t="s">
        <v>21</v>
      </c>
      <c r="E22" s="62" t="s">
        <v>78</v>
      </c>
      <c r="F22" s="62" t="s">
        <v>69</v>
      </c>
      <c r="G22" s="59">
        <v>1200</v>
      </c>
      <c r="H22" s="61">
        <v>11700000</v>
      </c>
      <c r="I22" s="78" t="str">
        <f>Table3[[#This Row],[Territory]]&amp;Table3[[#This Row],[Name]]</f>
        <v>KADUNAErnest John</v>
      </c>
      <c r="M22"/>
    </row>
    <row r="23" spans="1:13" x14ac:dyDescent="0.25">
      <c r="A23" s="62" t="s">
        <v>76</v>
      </c>
      <c r="B23" s="63" t="s">
        <v>6</v>
      </c>
      <c r="C23" s="62" t="s">
        <v>7</v>
      </c>
      <c r="D23" s="62" t="s">
        <v>21</v>
      </c>
      <c r="E23" s="62" t="s">
        <v>52</v>
      </c>
      <c r="F23" s="62" t="s">
        <v>118</v>
      </c>
      <c r="G23" s="59">
        <v>1500</v>
      </c>
      <c r="H23" s="61">
        <v>14625000</v>
      </c>
      <c r="I23" s="59" t="str">
        <f>Table3[[#This Row],[Territory]]&amp;Table3[[#This Row],[Name]]</f>
        <v>ABUJANonso Obalum</v>
      </c>
      <c r="M23"/>
    </row>
    <row r="24" spans="1:13" x14ac:dyDescent="0.25">
      <c r="A24" s="59" t="s">
        <v>89</v>
      </c>
      <c r="B24" s="60" t="s">
        <v>4</v>
      </c>
      <c r="C24" s="59" t="s">
        <v>56</v>
      </c>
      <c r="D24" s="59" t="s">
        <v>21</v>
      </c>
      <c r="E24" s="59" t="s">
        <v>123</v>
      </c>
      <c r="F24" s="59" t="s">
        <v>90</v>
      </c>
      <c r="G24" s="59">
        <v>1200</v>
      </c>
      <c r="H24" s="61">
        <v>11700000</v>
      </c>
      <c r="I24" s="59" t="str">
        <f>Table3[[#This Row],[Territory]]&amp;Table3[[#This Row],[Name]]</f>
        <v>MAINLAND 3Idowu Gbenga</v>
      </c>
    </row>
    <row r="25" spans="1:13" x14ac:dyDescent="0.25">
      <c r="A25" s="59" t="s">
        <v>43</v>
      </c>
      <c r="B25" s="60" t="s">
        <v>4</v>
      </c>
      <c r="C25" s="59" t="s">
        <v>5</v>
      </c>
      <c r="D25" s="59" t="s">
        <v>31</v>
      </c>
      <c r="E25" s="59" t="s">
        <v>44</v>
      </c>
      <c r="F25" s="59" t="s">
        <v>86</v>
      </c>
      <c r="G25" s="59">
        <v>5000</v>
      </c>
      <c r="H25" s="61">
        <v>63000000</v>
      </c>
      <c r="I25" s="59" t="str">
        <f>Table3[[#This Row],[Territory]]&amp;Table3[[#This Row],[Name]]</f>
        <v xml:space="preserve">TRADE FAIRIlum Onyiyechi Nancy     </v>
      </c>
    </row>
    <row r="26" spans="1:13" x14ac:dyDescent="0.25">
      <c r="A26" s="59" t="s">
        <v>31</v>
      </c>
      <c r="B26" s="60" t="s">
        <v>4</v>
      </c>
      <c r="C26" s="59" t="s">
        <v>37</v>
      </c>
      <c r="D26" s="59" t="s">
        <v>31</v>
      </c>
      <c r="E26" s="59" t="s">
        <v>38</v>
      </c>
      <c r="F26" s="59" t="s">
        <v>82</v>
      </c>
      <c r="G26" s="59">
        <v>6000</v>
      </c>
      <c r="H26" s="61">
        <v>75600000</v>
      </c>
      <c r="I26" s="59" t="str">
        <f>Table3[[#This Row],[Territory]]&amp;Table3[[#This Row],[Name]]</f>
        <v xml:space="preserve">OKE ARINAnikwata Juliet Chidinma   </v>
      </c>
    </row>
    <row r="27" spans="1:13" x14ac:dyDescent="0.25">
      <c r="A27" s="59" t="s">
        <v>31</v>
      </c>
      <c r="B27" s="60" t="s">
        <v>4</v>
      </c>
      <c r="C27" s="59" t="s">
        <v>37</v>
      </c>
      <c r="D27" s="59" t="s">
        <v>31</v>
      </c>
      <c r="E27" s="59" t="s">
        <v>74</v>
      </c>
      <c r="F27" s="59" t="s">
        <v>82</v>
      </c>
      <c r="G27" s="59">
        <v>5000</v>
      </c>
      <c r="H27" s="61">
        <v>63000000</v>
      </c>
      <c r="I27" s="59" t="str">
        <f>Table3[[#This Row],[Territory]]&amp;Table3[[#This Row],[Name]]</f>
        <v>OKE ARINOluchi</v>
      </c>
    </row>
    <row r="28" spans="1:13" x14ac:dyDescent="0.25">
      <c r="A28" s="59" t="s">
        <v>31</v>
      </c>
      <c r="B28" s="60" t="s">
        <v>4</v>
      </c>
      <c r="C28" s="59" t="s">
        <v>5</v>
      </c>
      <c r="D28" s="59" t="s">
        <v>31</v>
      </c>
      <c r="E28" s="59" t="s">
        <v>88</v>
      </c>
      <c r="F28" s="59" t="s">
        <v>86</v>
      </c>
      <c r="G28" s="59">
        <v>5000</v>
      </c>
      <c r="H28" s="61">
        <v>63000000</v>
      </c>
      <c r="I28" s="68" t="str">
        <f>Table3[[#This Row],[Territory]]&amp;Table3[[#This Row],[Name]]</f>
        <v>TRADE FAIRPrecious</v>
      </c>
    </row>
    <row r="29" spans="1:13" x14ac:dyDescent="0.25">
      <c r="A29" s="59" t="s">
        <v>46</v>
      </c>
      <c r="B29" s="60" t="s">
        <v>4</v>
      </c>
      <c r="C29" s="59" t="s">
        <v>8</v>
      </c>
      <c r="D29" s="59" t="s">
        <v>21</v>
      </c>
      <c r="E29" s="64" t="s">
        <v>47</v>
      </c>
      <c r="F29" s="59" t="s">
        <v>45</v>
      </c>
      <c r="G29" s="59">
        <v>1200</v>
      </c>
      <c r="H29" s="61">
        <v>11700000</v>
      </c>
      <c r="I29" s="59" t="str">
        <f>Table3[[#This Row],[Territory]]&amp;Table3[[#This Row],[Name]]</f>
        <v>IBADANOyelami Amos Sunday</v>
      </c>
    </row>
    <row r="30" spans="1:13" x14ac:dyDescent="0.25">
      <c r="A30" s="59" t="s">
        <v>46</v>
      </c>
      <c r="B30" s="60" t="s">
        <v>4</v>
      </c>
      <c r="C30" s="59" t="s">
        <v>8</v>
      </c>
      <c r="D30" s="59" t="s">
        <v>21</v>
      </c>
      <c r="E30" s="59" t="s">
        <v>84</v>
      </c>
      <c r="F30" s="59" t="s">
        <v>45</v>
      </c>
      <c r="G30" s="59">
        <v>1200</v>
      </c>
      <c r="H30" s="61">
        <v>11700000</v>
      </c>
      <c r="I30" s="59" t="str">
        <f>Table3[[#This Row],[Territory]]&amp;Table3[[#This Row],[Name]]</f>
        <v>IBADANOni Muyiwa</v>
      </c>
    </row>
    <row r="31" spans="1:13" x14ac:dyDescent="0.25">
      <c r="A31" s="59" t="s">
        <v>46</v>
      </c>
      <c r="B31" s="60" t="s">
        <v>4</v>
      </c>
      <c r="C31" s="59" t="s">
        <v>8</v>
      </c>
      <c r="D31" s="59" t="s">
        <v>21</v>
      </c>
      <c r="E31" s="59" t="s">
        <v>55</v>
      </c>
      <c r="F31" s="59" t="s">
        <v>45</v>
      </c>
      <c r="G31" s="59">
        <v>1200</v>
      </c>
      <c r="H31" s="61">
        <v>11700000</v>
      </c>
      <c r="I31" s="59" t="str">
        <f>Table3[[#This Row],[Territory]]&amp;Table3[[#This Row],[Name]]</f>
        <v>IBADANAkpan Raphael</v>
      </c>
    </row>
    <row r="32" spans="1:13" x14ac:dyDescent="0.25">
      <c r="A32" s="59" t="s">
        <v>89</v>
      </c>
      <c r="B32" s="60" t="s">
        <v>4</v>
      </c>
      <c r="C32" s="59" t="s">
        <v>56</v>
      </c>
      <c r="D32" s="59" t="s">
        <v>21</v>
      </c>
      <c r="E32" s="59" t="s">
        <v>124</v>
      </c>
      <c r="F32" s="59" t="s">
        <v>90</v>
      </c>
      <c r="G32" s="59">
        <v>1200</v>
      </c>
      <c r="H32" s="61">
        <v>11700000</v>
      </c>
      <c r="I32" s="59" t="str">
        <f>Table3[[#This Row],[Territory]]&amp;Table3[[#This Row],[Name]]</f>
        <v>MAINLAND 3Ukoha Kalu</v>
      </c>
    </row>
    <row r="33" spans="1:9" x14ac:dyDescent="0.25">
      <c r="A33" s="59" t="s">
        <v>46</v>
      </c>
      <c r="B33" s="60" t="s">
        <v>4</v>
      </c>
      <c r="C33" s="59" t="s">
        <v>91</v>
      </c>
      <c r="D33" s="59" t="s">
        <v>21</v>
      </c>
      <c r="E33" s="59" t="s">
        <v>85</v>
      </c>
      <c r="F33" s="59" t="s">
        <v>45</v>
      </c>
      <c r="G33" s="59">
        <v>1200</v>
      </c>
      <c r="H33" s="61">
        <v>11700000</v>
      </c>
      <c r="I33" s="68" t="str">
        <f>Table3[[#This Row],[Territory]]&amp;Table3[[#This Row],[Name]]</f>
        <v>EKITIAnimasaun Jamiu Babatunde</v>
      </c>
    </row>
    <row r="34" spans="1:9" x14ac:dyDescent="0.25">
      <c r="A34" s="68" t="s">
        <v>53</v>
      </c>
      <c r="B34" s="69" t="s">
        <v>6</v>
      </c>
      <c r="C34" s="68" t="s">
        <v>7</v>
      </c>
      <c r="D34" s="68" t="s">
        <v>21</v>
      </c>
      <c r="E34" s="68" t="s">
        <v>113</v>
      </c>
      <c r="F34" s="68" t="s">
        <v>67</v>
      </c>
      <c r="G34" s="59">
        <v>1200</v>
      </c>
      <c r="H34" s="61">
        <v>11700000</v>
      </c>
      <c r="I34" s="59" t="str">
        <f>Table3[[#This Row],[Territory]]&amp;Table3[[#This Row],[Name]]</f>
        <v>ABUJAOmeji Muhammed</v>
      </c>
    </row>
    <row r="35" spans="1:9" x14ac:dyDescent="0.25">
      <c r="A35" s="59" t="s">
        <v>105</v>
      </c>
      <c r="B35" s="60" t="s">
        <v>4</v>
      </c>
      <c r="C35" s="59" t="s">
        <v>106</v>
      </c>
      <c r="D35" s="59" t="s">
        <v>111</v>
      </c>
      <c r="E35" s="59" t="s">
        <v>107</v>
      </c>
      <c r="F35" s="59" t="s">
        <v>108</v>
      </c>
      <c r="G35" s="59">
        <v>800</v>
      </c>
      <c r="H35" s="61">
        <v>8000000</v>
      </c>
      <c r="I35" s="68" t="str">
        <f>Table3[[#This Row],[Territory]]&amp;Table3[[#This Row],[Name]]</f>
        <v>MAINLANDIfeoma Cynthia Okorowu</v>
      </c>
    </row>
    <row r="36" spans="1:9" x14ac:dyDescent="0.25">
      <c r="A36" s="68" t="s">
        <v>105</v>
      </c>
      <c r="B36" s="69" t="s">
        <v>4</v>
      </c>
      <c r="C36" s="68" t="s">
        <v>109</v>
      </c>
      <c r="D36" s="59" t="s">
        <v>111</v>
      </c>
      <c r="E36" s="68" t="s">
        <v>110</v>
      </c>
      <c r="F36" s="68" t="s">
        <v>108</v>
      </c>
      <c r="G36" s="68">
        <v>800</v>
      </c>
      <c r="H36" s="61">
        <v>8000000</v>
      </c>
      <c r="I36" s="79" t="str">
        <f>Table3[[#This Row],[Territory]]&amp;Table3[[#This Row],[Name]]</f>
        <v>ISLANDGrace Jessica Umetiti</v>
      </c>
    </row>
    <row r="37" spans="1:9" x14ac:dyDescent="0.25">
      <c r="A37" s="68" t="s">
        <v>64</v>
      </c>
      <c r="B37" s="69" t="s">
        <v>23</v>
      </c>
      <c r="C37" s="68" t="s">
        <v>2</v>
      </c>
      <c r="D37" s="68" t="s">
        <v>21</v>
      </c>
      <c r="E37" s="68" t="s">
        <v>116</v>
      </c>
      <c r="F37" s="68" t="s">
        <v>66</v>
      </c>
      <c r="G37" s="68">
        <v>1200</v>
      </c>
      <c r="H37" s="80">
        <v>11700000</v>
      </c>
      <c r="I37" s="68" t="str">
        <f>Table3[[#This Row],[Territory]]&amp;Table3[[#This Row],[Name]]</f>
        <v>ONITSHAVacancy.</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4C7ECC2512EEF48BB1FA6D8C73CE988" ma:contentTypeVersion="9" ma:contentTypeDescription="Create a new document." ma:contentTypeScope="" ma:versionID="a7f7cb2e7a8d47fa90639bde953f7d04">
  <xsd:schema xmlns:xsd="http://www.w3.org/2001/XMLSchema" xmlns:xs="http://www.w3.org/2001/XMLSchema" xmlns:p="http://schemas.microsoft.com/office/2006/metadata/properties" xmlns:ns3="52e7dd9c-55c0-448a-a107-83a0215a5f9b" xmlns:ns4="17a0bdd8-d01f-4d70-aba9-1f91e6dc230e" targetNamespace="http://schemas.microsoft.com/office/2006/metadata/properties" ma:root="true" ma:fieldsID="9a5b4bf210d2c11faaf7e954580a1713" ns3:_="" ns4:_="">
    <xsd:import namespace="52e7dd9c-55c0-448a-a107-83a0215a5f9b"/>
    <xsd:import namespace="17a0bdd8-d01f-4d70-aba9-1f91e6dc230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e7dd9c-55c0-448a-a107-83a0215a5f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a0bdd8-d01f-4d70-aba9-1f91e6dc230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s q m i d = " 0 7 c b 6 0 2 a - 8 b 2 1 - 4 6 d a - 8 3 4 8 - a 8 d 0 2 1 e 9 3 2 8 f "   x m l n s = " h t t p : / / s c h e m a s . m i c r o s o f t . c o m / D a t a M a s h u p " > A A A A A G U M A A B Q S w M E F A A C A A g A M m h M W f Z T m j e n A A A A + A A A A B I A H A B D b 2 5 m a W c v U G F j a 2 F n Z S 5 4 b W w g o h g A K K A U A A A A A A A A A A A A A A A A A A A A A A A A A A A A h Y 8 x D o I w G E a v Q r r T l o K G k J 8 y O L i I M T E x r g 1 U a I R i a L H c z c E j e Q V J F H V z / F 7 e 8 L 7 H 7 Q 7 Z 2 D b e V f Z G d T p F A a b I k 7 r o S q W r F A 3 2 5 M c o 4 7 A T x V l U 0 p t k b Z L R l C m q r b 0 k h D j n s A t x 1 1 e E U R q Q Y 7 7 Z F 7 V s B f r I 6 r / s K 2 2 s 0 I V E H A 6 v G M 7 w M s a L K G S Y R Q G Q G U O u 9 F d h U z G m Q H 4 g r I b G D r 3 k U v v b N Z B 5 A n m / 4 E 9 Q S w M E F A A C A A g A M m h M 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J o T F k d 4 O R g X A k A A M I m A A A T A B w A R m 9 y b X V s Y X M v U 2 V j d G l v b j E u b S C i G A A o o B Q A A A A A A A A A A A A A A A A A A A A A A A A A A A D t W l t v 2 z o S f i + Q / 0 C 4 w N Z Z u N 7 4 b u / Z L k B L i q 1 G l l x S T u I m w U J N e B p v H C m Q 5 T Z B 0 P 3 t O 6 R k a y R L i X t w g N 2 H 9 q G h 5 v b N D I c j U u Z K X E e L w C c 8 / t v 4 7 e D N w Z v V r R e K G / K 2 A t T A v / H C J 8 K 9 p V g R 3 Y u 8 C v l A l i J 6 Q + A f D 9 b h t Q D C c b C 8 E W H 9 e A F S 1 Y r 2 9 8 v Z S o S r S w r E 4 N / r S 1 2 s 7 q L g 4 V J f r C K x v G T e 9 9 j U Y U 2 Z A b V I A K J S B 2 u u 9 2 U p 6 l w s w S k W f F 9 V Y 5 w a E d 7 1 L f G D i L j i M a p r g R 9 5 C 3 9 V v b C 9 e 3 F V I 5 X / V A 4 T k 2 8 r 9 O Y G Y t D W q y i 4 r 2 y N A l U L l u t 7 v 5 o B B V 3 j 8 V o s l V c J j i L U z 4 L w 7 k s Q 3 F U v J J z w o 6 s U w n h 8 8 H y J k u p u g W K e G i e A O Z d y k M + V Z F A x I 3 F f + b F L 2 c J u P C c y N 5 W i f B W 6 l o R V v Z D m r k C t 4 j w I n 0 y 8 8 E 5 E 5 C / k l L N K Q W y v h 5 X 1 B / z d h h S L N C Q t H j b T Y S s d t t N h J x 1 2 0 2 E v H f b T 4 S A d N o 7 Q G O E 1 E G A D I T Y Q Z A N h N h B o A 6 E 2 E G w D 4 T Y R b h P H i X C b C L e J c J s I t 4 l w m w i 3 i X C b C L e F c F s I t 4 U T j H B b C L e F c F s I t 4 V w W w i 3 h X D b C L e N c N s I t 4 1 n F u G 2 E W 4 b 4 b Y R b h v h t h F u B + F 2 E G 4 H 4 X Y Q b g e X F M L t I N w O w u 0 g 3 A 7 C 7 S L c L s L t I t w u w u 0 i 3 C 6 u Z Y T b R b h d h N t F u D 2 E 2 0 O 4 P Y T b Q 7 g 9 h N t D u D 2 8 i B B u D + H 2 E G 4 f 4 f Y R b h / h 9 h F u H + H 2 E W 4 f 4 f b x 6 k W 4 f Y Q 7 Q L g D h D t A u A O E O 0 C 4 A 4 Q 7 Q L g D h D v A b S P T N 4 7 i V v u r U / 3 q V L 8 6 1 a 9 O 9 f / d q b a 7 M / 6 w X E Q k 5 p A v T 0 Q X y 8 X 9 A n Z h a D s o R W K J a n 4 7 B 1 b j H T u Z e t E t P C p h U I + 1 5 O 5 6 + L S 1 W a 1 c g s i n d R A J H j 2 B a W 3 1 7 V A 2 T W S D v A d v H p 7 q j Z z t D b 1 Z Q m + V 0 N s l 9 E 4 J v V t C 7 5 X Q + y X 0 w T 5 J b p R l u X x a y r 1 4 J f U g u n f y + 6 X p 7 8 M E 7 B F Y 8 6 c D K w M c v B 5 Z f e + 4 B q V x D f a L q / X T c Z X V a + z K n z h n Y P C F 6 B q Z + K Z h c A 8 2 b 8 h Y e C C L z n 4 J J 6 G / F J h c c B e J O F 0 u + b W 3 9 M L V h y h c i 6 v i E 2 a j 5 I i 5 4 8 3 2 g L n Z c V y R f / y T + O v l k k D v I V l y h V 5 f B 2 s / I v L s X i k S s K l r O j a 1 C p m u 4 1 K L n B h z Q j X N m d k u 4 d Q y + A u y F h 0 5 / F U p 2 2 H u + F U p 7 s y 2 U o d K b B N 0 o 9 F X g k f p S Z q J + + A b p M m J b m F + Y 7 G d Y 3 t C z p + m o T K e K 8 2 j e J N 2 p J r f x H t S D 6 p o z o S 4 I 2 p 0 1 H t / 1 H m / E f 2 z 9 n x j y K z B O N H Z n L T P q 9 3 z V u t o Y h 1 i 1 s i x 9 D y P 0 1 N q 2 7 R I z T 1 z i K M Z 1 C Y a H f 6 N 0 9 k p 6 Z 7 3 O p q V Z S r G 0 K K 2 V s w e m 4 x + R i y d O d z V 5 2 T s H C d U w g y d a B Z l h k v y E l S 3 p o x q Y 7 f E w o h R G 5 T Z j O Q F Y j 4 y 3 W i e t 3 q d y Y 4 J 4 9 x l l F j m C E D O x q Z r S M k i L C w I 5 F K 5 1 C c M + V E j l g F 6 s 3 O l n C c Z e o 6 i X J E 0 O q F s Z l E w a N B J x m S W A / E f H c W M I T X t d 1 y a 4 C d z l J g T e x P l S 3 S A a B 7 F D K 4 5 r m v y M X h F d Y M h F W 1 M J 7 r D N o 5 v H r d e b w g j 8 9 g l U 6 q d S G J b r k W X G T A b c m J S a 4 g R T 0 E h S y W 9 k M O n l J 1 Y p j 3 a + F P I 2 z p X r J n M C m K q 6 r Q d m 1 B L c 8 a O Z W q E n y k n T T s v K w N S k 1 M v i 6 m M u 6 m l l G k b k O z h j I 0 U E J l Q D g u Y Q F m N 4 M F g l u P G 5 Z 5 M 9 0 v i y f r b V x x Y F n M c f W + F q W l D o 4 X B v g p D y h z b 3 l 8 e m o / B b D l T 0 G j M k Z y N K p 9 Q y z o k p N k + b / 5 R G 0 N z d L i / E 2 P K d H C b z v d P / B Y q b o 4 / l V D o I e b I d P b 3 b 8 Z O D c g t m + 1 f G a r s i o W P 4 T 2 t q 5 d 6 I q v P j J x h Z w i N y q J Q 1 p C a U 4 O 7 W Q v Q c z m H 5 R K r W 3 N m a r w Y r E b c s f Q M 3 u c F 8 1 Q j Z 4 b 0 2 c 6 a j 8 X H z g x C 2 K P O C 8 T 3 m p 1 O l 8 D L U 5 d L O 1 d I + 4 n v h 5 L N V U G t Y r X P c v E M L c e Y l P e D H Z m C 5 O z I v L K Q s 0 7 + k c B e q L f d P I 8 N 2 7 T R t q L M a 9 s x G d G T v 1 g S e v p U Z / L l Y 5 x P Y a s I a w P e y r B 8 1 U t 7 R 2 j K j I k 5 m x R K Q a 8 x + K l M M z O y k 2 H w K T N d W V 4 j B z 3 T 6 d Q y c k U + c V y H a X P N k r U O C 0 b t e r b V D b M + N e C 0 4 r x W t y 8 W I F 5 K 8 Z T n A L L W 3 0 l p S P D Y Y a D z 7 k V Z l R + D y U 4 j G 0 3 6 1 p Q t J 7 N I p x Y 1 e T w p s j S L C r p G j q n N A d c 4 q R W r b N s t i L K N r N p W G B b s 5 s A m P y F w 7 J g x e V 4 w I Z 3 z 5 C W 7 e T M X C X 6 c m d p c v a g 3 U l P H h t 2 a 9 l m e 4 1 R g u s F N i N m c c S B N D H f s 6 D K C a V L L n 2 Y Z r b g L 2 o b m U u n 9 x C T c 0 G p Y L y N e Z C 9 p 2 n J x Q B q 1 W k Y h n + b E g N p w z t i Q 2 q c m 1 C Y Z w / + 8 R j Q H H j Q o M w 4 x c g O K r L Z d 1 b V C n Q K V z N L b X w s 3 h P K N I y y r O e O 5 h R w 3 M C h + F 6 b M s I c O z H Y t O b j R Y 3 h x 0 J x C 3 B U g j 7 G P G c V X 3 m M g C r F l u g t e 6 W O Y e d U D Y e A Y f H f R q n w 4 M z n r s I 9 h a h W r B O y 7 6 9 l s X b Y 7 l / S b w c x / W H x T x / S S 8 2 c i o L j p K b T 4 0 C q / Y f y v T q M / Z J L E 6 j p c P M i b C p L 3 y Z 1 X 0 D H b 9 + 7 l z + v 5 A G N G G l p Z R m r P a X B z 4 Y X x D 0 N J m I E f 3 d p B T E p i V r R E a B v + R i Z N h R w l U p m k 6 F 4 k 8 G 9 P c X o y X 0 U w V 9 l i 4 q s M H d O V L V e E 4 S I K w q c M K 8 7 l r e f 7 Y p l h q M T u I C T z 6 X t f B c S e V t B E h F 8 h W Z / W I l w I l F d b r C C J H 4 O F X 9 3 N v r q + g G Y L g N 5 W h q H 8 V G I t V l E R P 8 u W d k 8 W / k 3 d E r 9 H z j o S 4 e 7 V B K T w 4 g W F X A R 5 q O f 4 U d K P 5 8 0 2 Y S L y F k u o D C 4 e I n H / R S S l 8 L r U 1 k W Z d Q n p P j 2 I 1 D c X D K x + D 8 L 7 2 D P J z N z V w F 5 B M W 6 K r k Z M P + q 2 6 1 J + W 1 w 7 9 O e 4 a G s k g k c S i c d I y c o 1 k h H 8 U X h D p l F 0 R S Y X B 0 R + 6 i 3 X c q A + 9 F 2 A 7 a u / X p R k 4 y r x x F / L p 5 2 v Y Q X L V D L S Z Z r 1 D s I r z 7 o y / W b h l 0 B k 7 z R l i 2 Y p o o P s V a b c t R 9 5 P a i e X P 3 Z 4 2 r T N F y A F W m 9 / r h c P U J 7 U h 9 A I R f h W h z W D h I X U y f + x W + F U K 7 E H j y r 6 z k f M h U q 1 8 G H S i x 4 9 e N C / o R z t T X 1 E x + F d 1 B f + h R 8 U F D K j V d r e f e j M B S y L b 7 L C 2 a V T E W o 6 i y b 0 6 z k j 8 M D m N 1 i h 3 7 7 L 1 B L A Q I t A B Q A A g A I A D J o T F n 2 U 5 o 3 p w A A A P g A A A A S A A A A A A A A A A A A A A A A A A A A A A B D b 2 5 m a W c v U G F j a 2 F n Z S 5 4 b W x Q S w E C L Q A U A A I A C A A y a E x Z D 8 r p q 6 Q A A A D p A A A A E w A A A A A A A A A A A A A A A A D z A A A A W 0 N v b n R l b n R f V H l w Z X N d L n h t b F B L A Q I t A B Q A A g A I A D J o T F k d 4 O R g X A k A A M I m A A A T A A A A A A A A A A A A A A A A A O Q B A A B G b 3 J t d W x h c y 9 T Z W N 0 a W 9 u M S 5 t U E s F B g A A A A A D A A M A w g A A A I 0 L 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o k A A A A A A A A u C 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Q U F B Q U E 9 P S I g L z 4 8 L 1 N 0 Y W J s Z U V u d H J p Z X M + P C 9 J d G V t P j x J d G V t P j x J d G V t T G 9 j Y X R p b 2 4 + P E l 0 Z W 1 U e X B l P k Z v c m 1 1 b G E 8 L 0 l 0 Z W 1 U e X B l P j x J d G V t U G F 0 a D 5 T Z W N 0 a W 9 u M S 9 T Z W N v b m R h c n k l M j B T Y W x l c y U y M E 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R d W V y e U l E I i B W Y W x 1 Z T 0 i c z U 1 N z U z N z Q w L T N i N D U t N D M 3 Y y 1 i Y T l h L W N l Z m E 0 Y W R j M D I 5 M i I g L z 4 8 R W 5 0 c n k g V H l w Z T 0 i U G l 2 b 3 R P Y m p l Y 3 R O Y W 1 l I i B W Y W x 1 Z T 0 i c 1 B p d m 9 0 I H R h Y m x l I V B p d m 9 0 V G F i b G U x I i A v P j x F b n R y e S B U e X B l P S J G a W x s R X J y b 3 J D b 3 V u d C I g V m F s d W U 9 I m w w I i A v P j x F b n R y e S B U e X B l P S J G a W x s R X J y b 3 J D b 2 R l I i B W Y W x 1 Z T 0 i c 1 V u a 2 5 v d 2 4 i I C 8 + P E V u d H J 5 I F R 5 c G U 9 I k Z p b G x M Y X N 0 V X B k Y X R l Z C I g V m F s d W U 9 I m Q y M D I 0 L T E w L T E y V D E y O j A x O j M 2 L j I 2 O D Q x O T Z a I i A v P j x F b n R y e S B U e X B l P S J G a W x s Q 2 9 s d W 1 u V H l w Z X M i I F Z h b H V l P S J z Q m d N R 0 F 3 W U d B Q U F B Q U F B Q U J n T U F C U T 0 9 I i A v P j x F b n R y e S B U e X B l P S J G a W x s Q 2 9 1 b n Q i I F Z h b H V l P S J s M T M 0 N i I g L z 4 8 R W 5 0 c n k g V H l w Z T 0 i R m l s b E N v b H V t b k 5 h b W V z I i B W Y W x 1 Z T 0 i c 1 s m c X V v d D t Z Z W F y J n F 1 b 3 Q 7 L C Z x d W 9 0 O 0 1 v b n R o T m 8 m c X V v d D s s J n F 1 b 3 Q 7 T W 9 u d G g m c X V v d D s s J n F 1 b 3 Q 7 V 2 V l a 0 5 v J n F 1 b 3 Q 7 L C Z x d W 9 0 O 1 d l Z W s m c X V v d D s s J n F 1 b 3 Q 7 R G F 0 Z S Z x d W 9 0 O y w m c X V v d D t B Y 2 N v d W 5 0 I E 5 h b W U m c X V v d D s s J n F 1 b 3 Q 7 U m V n a W 9 u J n F 1 b 3 Q 7 L C Z x d W 9 0 O 1 R l c n J p d G 9 y e S Z x d W 9 0 O y w m c X V v d D t D a G F u b m V s J n F 1 b 3 Q 7 L C Z x d W 9 0 O 0 5 h b W U m c X V v d D s s J n F 1 b 3 Q 7 T W F u Y W d l c i Z x d W 9 0 O y w m c X V v d D t E Z X N j c m l w d G l v b i Z x d W 9 0 O y w m c X V v d D t R V F k m c X V v d D s s J n F 1 b 3 Q 7 Q n J h b m Q m c X V v d D s s J n F 1 b 3 Q 7 V m F s d W U m c X V v d D t d I i A v P j x F b n R y e S B U e X B l P S J G a W x s U 3 R h d H V z I i B W Y W x 1 Z T 0 i c 0 N v b X B s Z X R l I i A v P j x F b n R y e S B U e X B l P S J B Z G R l Z F R v R G F 0 Y U 1 v Z G V s I i B W Y W x 1 Z T 0 i b D A i I C 8 + P E V u d H J 5 I F R 5 c G U 9 I l J l b G F 0 a W 9 u c 2 h p c E l u Z m 9 D b 2 5 0 Y W l u Z X I i I F Z h b H V l P S J z e y Z x d W 9 0 O 2 N v b H V t b k N v d W 5 0 J n F 1 b 3 Q 7 O j E 2 L C Z x d W 9 0 O 2 t l e U N v b H V t b k 5 h b W V z J n F 1 b 3 Q 7 O l t d L C Z x d W 9 0 O 3 F 1 Z X J 5 U m V s Y X R p b 2 5 z a G l w c y Z x d W 9 0 O z p b e y Z x d W 9 0 O 2 t l e U N v b H V t b k N v d W 5 0 J n F 1 b 3 Q 7 O j E s J n F 1 b 3 Q 7 a 2 V 5 Q 2 9 s d W 1 u J n F 1 b 3 Q 7 O j E y L C Z x d W 9 0 O 2 9 0 a G V y S 2 V 5 Q 2 9 s d W 1 u S W R l b n R p d H k m c X V v d D s 6 J n F 1 b 3 Q 7 U 2 V j d G l v b j E v Q n J h b m Q g T G l z d C 9 C c m F u Z C B M a X N 0 X 1 N o Z W V 0 L n t D b 2 x 1 b W 4 y L D F 9 J n F 1 b 3 Q 7 L C Z x d W 9 0 O 0 t l e U N v b H V t b k N v d W 5 0 J n F 1 b 3 Q 7 O j F 9 X S w m c X V v d D t j b 2 x 1 b W 5 J Z G V u d G l 0 a W V z J n F 1 b 3 Q 7 O l s m c X V v d D t T Z W N 0 a W 9 u M S 9 T Z W N v b m R h c n k g U 2 F s Z X M g R G F 0 Y S 9 D a G F u Z 2 V k I F R 5 c G U u e 1 l l Y X I s M H 0 m c X V v d D s s J n F 1 b 3 Q 7 U 2 V j d G l v b j E v U 2 V j b 2 5 k Y X J 5 I F N h b G V z I E R h d G E v Q 2 h h b m d l Z C B U e X B l L n t N b 2 5 0 a E 5 v L D F 9 J n F 1 b 3 Q 7 L C Z x d W 9 0 O 1 N l Y 3 R p b 2 4 x L 1 N l Y 2 9 u Z G F y e S B T Y W x l c y B E Y X R h L 1 V u c G l 2 b 3 R l Z C B P d G h l c i B D b 2 x 1 b W 5 z L n t N Y X k s M n 0 m c X V v d D s s J n F 1 b 3 Q 7 U 2 V j d G l v b j E v U 2 V j b 2 5 k Y X J 5 I F N h b G V z I E R h d G E v Q 2 h h b m d l Z C B U e X B l L n t X Z W V r T m 8 s M 3 0 m c X V v d D s s J n F 1 b 3 Q 7 U 2 V j d G l v b j E v U 2 V j b 2 5 k Y X J 5 I F N h b G V z I E R h d G E v V W 5 w a X Z v d G V k I E 9 0 a G V y I E N v b H V t b n M u e 1 d l Z W s g M S w 0 f S Z x d W 9 0 O y w m c X V v d D t T Z W N 0 a W 9 u M S 9 T Z W N v b m R h c n k g U 2 F s Z X M g R G F 0 Y S 9 V b n B p d m 9 0 Z W Q g T 3 R o Z X I g Q 2 9 s d W 1 u c y 5 7 M D c t M D U t M j A y M i w 1 f S Z x d W 9 0 O y w m c X V v d D t T Z W N 0 a W 9 u M S 9 T Z W N v b m R h c n k g U 2 F s Z X M g R G F 0 Y S 9 V b n B p d m 9 0 Z W Q g T 3 R o Z X I g Q 2 9 s d W 1 u c y 5 7 Q 2 9 s d W 1 u M j A s N n 0 m c X V v d D s s J n F 1 b 3 Q 7 U 2 V j d G l v b j E v U 2 V j b 2 5 k Y X J 5 I F N h b G V z I E R h d G E v V W 5 w a X Z v d G V k I E 9 0 a G V y I E N v b H V t b n M u e 0 N v b H V t b j I x L D d 9 J n F 1 b 3 Q 7 L C Z x d W 9 0 O 1 N l Y 3 R p b 2 4 x L 1 N l Y 2 9 u Z G F y e S B T Y W x l c y B E Y X R h L 1 V u c G l 2 b 3 R l Z C B P d G h l c i B D b 2 x 1 b W 5 z L n t D b 2 x 1 b W 4 y M i w 4 f S Z x d W 9 0 O y w m c X V v d D t T Z W N 0 a W 9 u M S 9 T Z W N v b m R h c n k g U 2 F s Z X M g R G F 0 Y S 9 V b n B p d m 9 0 Z W Q g T 3 R o Z X I g Q 2 9 s d W 1 u c y 5 7 Q 2 9 s d W 1 u M j M s O X 0 m c X V v d D s s J n F 1 b 3 Q 7 U 2 V j d G l v b j E v U 2 V j b 2 5 k Y X J 5 I F N h b G V z I E R h d G E v V W 5 w a X Z v d G V k I E 9 0 a G V y I E N v b H V t b n M u e 0 N v b H V t b j I 0 L D E w f S Z x d W 9 0 O y w m c X V v d D t T Z W N 0 a W 9 u M S 9 T Z W N v b m R h c n k g U 2 F s Z X M g R G F 0 Y S 9 V b n B p d m 9 0 Z W Q g T 3 R o Z X I g Q 2 9 s d W 1 u c y 5 7 Q 2 9 s d W 1 u M j U s M T F 9 J n F 1 b 3 Q 7 L C Z x d W 9 0 O 1 N l Y 3 R p b 2 4 x L 1 N l Y 2 9 u Z G F y e S B T Y W x l c y B E Y X R h L 1 V u c G l 2 b 3 R l Z C B P d G h l c i B D b 2 x 1 b W 5 z L n t E Z X N j c m l w d G l v b i w x M n 0 m c X V v d D s s J n F 1 b 3 Q 7 U 2 V j d G l v b j E v U 2 V j b 2 5 k Y X J 5 I F N h b G V z I E R h d G E v Q 2 h h b m d l Z C B U e X B l L n t R V F k s M T N 9 J n F 1 b 3 Q 7 L C Z x d W 9 0 O 1 N l Y 3 R p b 2 4 x L 0 J y Y W 5 k I E x p c 3 Q v Q n J h b m Q g T G l z d F 9 T a G V l d C 5 7 Q 2 9 s d W 1 u M y w y f S Z x d W 9 0 O y w m c X V v d D t T Z W N 0 a W 9 u M S 9 T Z W N v b m R h c n k g U 2 F s Z X M g R G F 0 Y S 9 B Z G R l Z C B D d X N 0 b 2 0 x L n t W Y W x 1 Z S w x N n 0 m c X V v d D t d L C Z x d W 9 0 O 0 N v b H V t b k N v d W 5 0 J n F 1 b 3 Q 7 O j E 2 L C Z x d W 9 0 O 0 t l e U N v b H V t b k 5 h b W V z J n F 1 b 3 Q 7 O l t d L C Z x d W 9 0 O 0 N v b H V t b k l k Z W 5 0 a X R p Z X M m c X V v d D s 6 W y Z x d W 9 0 O 1 N l Y 3 R p b 2 4 x L 1 N l Y 2 9 u Z G F y e S B T Y W x l c y B E Y X R h L 0 N o Y W 5 n Z W Q g V H l w Z S 5 7 W W V h c i w w f S Z x d W 9 0 O y w m c X V v d D t T Z W N 0 a W 9 u M S 9 T Z W N v b m R h c n k g U 2 F s Z X M g R G F 0 Y S 9 D a G F u Z 2 V k I F R 5 c G U u e 0 1 v b n R o T m 8 s M X 0 m c X V v d D s s J n F 1 b 3 Q 7 U 2 V j d G l v b j E v U 2 V j b 2 5 k Y X J 5 I F N h b G V z I E R h d G E v V W 5 w a X Z v d G V k I E 9 0 a G V y I E N v b H V t b n M u e 0 1 h e S w y f S Z x d W 9 0 O y w m c X V v d D t T Z W N 0 a W 9 u M S 9 T Z W N v b m R h c n k g U 2 F s Z X M g R G F 0 Y S 9 D a G F u Z 2 V k I F R 5 c G U u e 1 d l Z W t O b y w z f S Z x d W 9 0 O y w m c X V v d D t T Z W N 0 a W 9 u M S 9 T Z W N v b m R h c n k g U 2 F s Z X M g R G F 0 Y S 9 V b n B p d m 9 0 Z W Q g T 3 R o Z X I g Q 2 9 s d W 1 u c y 5 7 V 2 V l a y A x L D R 9 J n F 1 b 3 Q 7 L C Z x d W 9 0 O 1 N l Y 3 R p b 2 4 x L 1 N l Y 2 9 u Z G F y e S B T Y W x l c y B E Y X R h L 1 V u c G l 2 b 3 R l Z C B P d G h l c i B D b 2 x 1 b W 5 z L n s w N y 0 w N S 0 y M D I y L D V 9 J n F 1 b 3 Q 7 L C Z x d W 9 0 O 1 N l Y 3 R p b 2 4 x L 1 N l Y 2 9 u Z G F y e S B T Y W x l c y B E Y X R h L 1 V u c G l 2 b 3 R l Z C B P d G h l c i B D b 2 x 1 b W 5 z L n t D b 2 x 1 b W 4 y M C w 2 f S Z x d W 9 0 O y w m c X V v d D t T Z W N 0 a W 9 u M S 9 T Z W N v b m R h c n k g U 2 F s Z X M g R G F 0 Y S 9 V b n B p d m 9 0 Z W Q g T 3 R o Z X I g Q 2 9 s d W 1 u c y 5 7 Q 2 9 s d W 1 u M j E s N 3 0 m c X V v d D s s J n F 1 b 3 Q 7 U 2 V j d G l v b j E v U 2 V j b 2 5 k Y X J 5 I F N h b G V z I E R h d G E v V W 5 w a X Z v d G V k I E 9 0 a G V y I E N v b H V t b n M u e 0 N v b H V t b j I y L D h 9 J n F 1 b 3 Q 7 L C Z x d W 9 0 O 1 N l Y 3 R p b 2 4 x L 1 N l Y 2 9 u Z G F y e S B T Y W x l c y B E Y X R h L 1 V u c G l 2 b 3 R l Z C B P d G h l c i B D b 2 x 1 b W 5 z L n t D b 2 x 1 b W 4 y M y w 5 f S Z x d W 9 0 O y w m c X V v d D t T Z W N 0 a W 9 u M S 9 T Z W N v b m R h c n k g U 2 F s Z X M g R G F 0 Y S 9 V b n B p d m 9 0 Z W Q g T 3 R o Z X I g Q 2 9 s d W 1 u c y 5 7 Q 2 9 s d W 1 u M j Q s M T B 9 J n F 1 b 3 Q 7 L C Z x d W 9 0 O 1 N l Y 3 R p b 2 4 x L 1 N l Y 2 9 u Z G F y e S B T Y W x l c y B E Y X R h L 1 V u c G l 2 b 3 R l Z C B P d G h l c i B D b 2 x 1 b W 5 z L n t D b 2 x 1 b W 4 y N S w x M X 0 m c X V v d D s s J n F 1 b 3 Q 7 U 2 V j d G l v b j E v U 2 V j b 2 5 k Y X J 5 I F N h b G V z I E R h d G E v V W 5 w a X Z v d G V k I E 9 0 a G V y I E N v b H V t b n M u e 0 R l c 2 N y a X B 0 a W 9 u L D E y f S Z x d W 9 0 O y w m c X V v d D t T Z W N 0 a W 9 u M S 9 T Z W N v b m R h c n k g U 2 F s Z X M g R G F 0 Y S 9 D a G F u Z 2 V k I F R 5 c G U u e 1 F U W S w x M 3 0 m c X V v d D s s J n F 1 b 3 Q 7 U 2 V j d G l v b j E v Q n J h b m Q g T G l z d C 9 C c m F u Z C B M a X N 0 X 1 N o Z W V 0 L n t D b 2 x 1 b W 4 z L D J 9 J n F 1 b 3 Q 7 L C Z x d W 9 0 O 1 N l Y 3 R p b 2 4 x L 1 N l Y 2 9 u Z G F y e S B T Y W x l c y B E Y X R h L 0 F k Z G V k I E N 1 c 3 R v b T E u e 1 Z h b H V l L D E 2 f S Z x d W 9 0 O 1 0 s J n F 1 b 3 Q 7 U m V s Y X R p b 2 5 z a G l w S W 5 m b y Z x d W 9 0 O z p b e y Z x d W 9 0 O 2 t l e U N v b H V t b k N v d W 5 0 J n F 1 b 3 Q 7 O j E s J n F 1 b 3 Q 7 a 2 V 5 Q 2 9 s d W 1 u J n F 1 b 3 Q 7 O j E y L C Z x d W 9 0 O 2 9 0 a G V y S 2 V 5 Q 2 9 s d W 1 u S W R l b n R p d H k m c X V v d D s 6 J n F 1 b 3 Q 7 U 2 V j d G l v b j E v Q n J h b m Q g T G l z d C 9 C c m F u Z C B M a X N 0 X 1 N o Z W V 0 L n t D b 2 x 1 b W 4 y L D F 9 J n F 1 b 3 Q 7 L C Z x d W 9 0 O 0 t l e U N v b H V t b k N v d W 5 0 J n F 1 b 3 Q 7 O j F 9 X X 0 i I C 8 + P C 9 T d G F i b G V F b n R y a W V z P j w v S X R l b T 4 8 S X R l b T 4 8 S X R l b U x v Y 2 F 0 a W 9 u P j x J d G V t V H l w Z T 5 G b 3 J t d W x h P C 9 J d G V t V H l w Z T 4 8 S X R l b V B h d G g + U 2 V j d G l v b j E v U 2 V j b 2 5 k Y X J 5 J T I w U 2 F s Z X M l M j B E Y X R h L 1 N v d X J j Z T w v S X R l b V B h d G g + P C 9 J d G V t T G 9 j Y X R p b 2 4 + P F N 0 Y W J s Z U V u d H J p Z X M g L z 4 8 L 0 l 0 Z W 0 + P E l 0 Z W 0 + P E l 0 Z W 1 M b 2 N h d G l v b j 4 8 S X R l b V R 5 c G U + R m 9 y b X V s Y T w v S X R l b V R 5 c G U + P E l 0 Z W 1 Q Y X R o P l N l Y 3 R p b 2 4 x L 1 N l Y 2 9 u Z G F y e S U y M F N h b G V z J T I w R G F 0 Y S 9 T c G x p d C U y M E N v b H V t b i U y M G J 5 J T I w R G V s a W 1 p d G V y P C 9 J d G V t U G F 0 a D 4 8 L 0 l 0 Z W 1 M b 2 N h d G l v b j 4 8 U 3 R h Y m x l R W 5 0 c m l l c y A v P j w v S X R l b T 4 8 S X R l b T 4 8 S X R l b U x v Y 2 F 0 a W 9 u P j x J d G V t V H l w Z T 5 G b 3 J t d W x h P C 9 J d G V t V H l w Z T 4 8 S X R l b V B h d G g + U 2 V j d G l v b j E v U 2 V j b 2 5 k Y X J 5 J T I w U 2 F s Z X M l M j B E Y X R h L 0 F k Z G V k J T I w Q 3 V z d G 9 t P C 9 J d G V t U G F 0 a D 4 8 L 0 l 0 Z W 1 M b 2 N h d G l v b j 4 8 U 3 R h Y m x l R W 5 0 c m l l c y A v P j w v S X R l b T 4 8 S X R l b T 4 8 S X R l b U x v Y 2 F 0 a W 9 u P j x J d G V t V H l w Z T 5 G b 3 J t d W x h P C 9 J d G V t V H l w Z T 4 8 S X R l b V B h d G g + U 2 V j d G l v b j E v U 2 V j b 2 5 k Y X J 5 J T I w U 2 F s Z X M l M j B E Y X R h L 1 J l b W 9 2 Z W Q l M j B P d G h l c i U y M E N v b H V t b n M 8 L 0 l 0 Z W 1 Q Y X R o P j w v S X R l b U x v Y 2 F 0 a W 9 u P j x T d G F i b G V F b n R y a W V z I C 8 + P C 9 J d G V t P j x J d G V t P j x J d G V t T G 9 j Y X R p b 2 4 + P E l 0 Z W 1 U e X B l P k Z v c m 1 1 b G E 8 L 0 l 0 Z W 1 U e X B l P j x J d G V t U G F 0 a D 5 T Z W N 0 a W 9 u M S 9 T Z W N v b m R h c n k l M j B T Y W x l c y U y M E R h d G E v R X h w Y W 5 k Z W Q l M j B E Y X R h P C 9 J d G V t U G F 0 a D 4 8 L 0 l 0 Z W 1 M b 2 N h d G l v b j 4 8 U 3 R h Y m x l R W 5 0 c m l l c y A v P j w v S X R l b T 4 8 S X R l b T 4 8 S X R l b U x v Y 2 F 0 a W 9 u P j x J d G V t V H l w Z T 5 G b 3 J t d W x h P C 9 J d G V t V H l w Z T 4 8 S X R l b V B h d G g + U 2 V j d G l v b j E v U 2 V j b 2 5 k Y X J 5 J T I w U 2 F s Z X M l M j B E Y X R h L 1 B y b 2 1 v d G V k J T I w S G V h Z G V y c z w v S X R l b V B h d G g + P C 9 J d G V t T G 9 j Y X R p b 2 4 + P F N 0 Y W J s Z U V u d H J p Z X M g L z 4 8 L 0 l 0 Z W 0 + P E l 0 Z W 0 + P E l 0 Z W 1 M b 2 N h d G l v b j 4 8 S X R l b V R 5 c G U + R m 9 y b X V s Y T w v S X R l b V R 5 c G U + P E l 0 Z W 1 Q Y X R o P l N l Y 3 R p b 2 4 x L 1 N l Y 2 9 u Z G F y e S U y M F N h b G V z J T I w R G F 0 Y S 9 D a G F u Z 2 V k J T I w V H l w Z T w v S X R l b V B h d G g + P C 9 J d G V t T G 9 j Y X R p b 2 4 + P F N 0 Y W J s Z U V u d H J p Z X M g L z 4 8 L 0 l 0 Z W 0 + P E l 0 Z W 0 + P E l 0 Z W 1 M b 2 N h d G l v b j 4 8 S X R l b V R 5 c G U + R m 9 y b X V s Y T w v S X R l b V R 5 c G U + P E l 0 Z W 1 Q Y X R o P l N l Y 3 R p b 2 4 x L 1 N l Y 2 9 u Z G F y e S U y M F N h b G V z J T I w R G F 0 Y S 9 G a W x 0 Z X J l Z C U y M F J v d 3 M 8 L 0 l 0 Z W 1 Q Y X R o P j w v S X R l b U x v Y 2 F 0 a W 9 u P j x T d G F i b G V F b n R y a W V z I C 8 + P C 9 J d G V t P j x J d G V t P j x J d G V t T G 9 j Y X R p b 2 4 + P E l 0 Z W 1 U e X B l P k Z v c m 1 1 b G E 8 L 0 l 0 Z W 1 U e X B l P j x J d G V t U G F 0 a D 5 T Z W N 0 a W 9 u M S 9 C c m F u Z C U y M E x p c 3 Q 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0 L T A 5 L T E 0 V D E y O j I w O j Q z L j I 0 N T k w N T F a I i A v P j x F b n R y e S B U e X B l P S J G a W x s U 3 R h d H V z I i B W Y W x 1 Z T 0 i c 0 N v b X B s Z X R l I i A v P j w v U 3 R h Y m x l R W 5 0 c m l l c z 4 8 L 0 l 0 Z W 0 + P E l 0 Z W 0 + P E l 0 Z W 1 M b 2 N h d G l v b j 4 8 S X R l b V R 5 c G U + R m 9 y b X V s Y T w v S X R l b V R 5 c G U + P E l 0 Z W 1 Q Y X R o P l N l Y 3 R p b 2 4 x L 0 J y Y W 5 k J T I w T G l z d C 9 T b 3 V y Y 2 U 8 L 0 l 0 Z W 1 Q Y X R o P j w v S X R l b U x v Y 2 F 0 a W 9 u P j x T d G F i b G V F b n R y a W V z I C 8 + P C 9 J d G V t P j x J d G V t P j x J d G V t T G 9 j Y X R p b 2 4 + P E l 0 Z W 1 U e X B l P k Z v c m 1 1 b G E 8 L 0 l 0 Z W 1 U e X B l P j x J d G V t U G F 0 a D 5 T Z W N 0 a W 9 u M S 9 C c m F u Z C U y M E x p c 3 Q v Q n J h b m Q l M j B M a X N 0 X 1 N o Z W V 0 P C 9 J d G V t U G F 0 a D 4 8 L 0 l 0 Z W 1 M b 2 N h d G l v b j 4 8 U 3 R h Y m x l R W 5 0 c m l l c y A v P j w v S X R l b T 4 8 S X R l b T 4 8 S X R l b U x v Y 2 F 0 a W 9 u P j x J d G V t V H l w Z T 5 G b 3 J t d W x h P C 9 J d G V t V H l w Z T 4 8 S X R l b V B h d G g + U 2 V j d G l v b j E v Q n J h b m Q l M j B M a X N 0 L 1 B y b 2 1 v d G V k J T I w S G V h Z G V y c z w v S X R l b V B h d G g + P C 9 J d G V t T G 9 j Y X R p b 2 4 + P F N 0 Y W J s Z U V u d H J p Z X M g L z 4 8 L 0 l 0 Z W 0 + P E l 0 Z W 0 + P E l 0 Z W 1 M b 2 N h d G l v b j 4 8 S X R l b V R 5 c G U + R m 9 y b X V s Y T w v S X R l b V R 5 c G U + P E l 0 Z W 1 Q Y X R o P l N l Y 3 R p b 2 4 x L 1 N l Y 2 9 u Z G F y e S U y M F N h b G V z J T I w R G F 0 Y S 9 N Z X J n Z W Q l M j B R d W V y a W V z P C 9 J d G V t U G F 0 a D 4 8 L 0 l 0 Z W 1 M b 2 N h d G l v b j 4 8 U 3 R h Y m x l R W 5 0 c m l l c y A v P j w v S X R l b T 4 8 S X R l b T 4 8 S X R l b U x v Y 2 F 0 a W 9 u P j x J d G V t V H l w Z T 5 G b 3 J t d W x h P C 9 J d G V t V H l w Z T 4 8 S X R l b V B h d G g + U 2 V j d G l v b j E v U 2 V j b 2 5 k Y X J 5 J T I w U 2 F s Z X M l M j B E Y X R h L 0 V 4 c G F u Z G V k J T I w Q n J h b m Q l M j B M a X N 0 P C 9 J d G V t U G F 0 a D 4 8 L 0 l 0 Z W 1 M b 2 N h d G l v b j 4 8 U 3 R h Y m x l R W 5 0 c m l l c y A v P j w v S X R l b T 4 8 S X R l b T 4 8 S X R l b U x v Y 2 F 0 a W 9 u P j x J d G V t V H l w Z T 5 G b 3 J t d W x h P C 9 J d G V t V H l w Z T 4 8 S X R l b V B h d G g + U 2 V j d G l v b j E v U 2 V j b 2 5 k Y X J 5 J T I w U 2 F s Z X M l M j B E Y X R h L 0 Z p b H R l c m V k J T I w U m 9 3 c z E 8 L 0 l 0 Z W 1 Q Y X R o P j w v S X R l b U x v Y 2 F 0 a W 9 u P j x T d G F i b G V F b n R y a W V z I C 8 + P C 9 J d G V t P j x J d G V t P j x J d G V t T G 9 j Y X R p b 2 4 + P E l 0 Z W 1 U e X B l P k Z v c m 1 1 b G E 8 L 0 l 0 Z W 1 U e X B l P j x J d G V t U G F 0 a D 5 T Z W N 0 a W 9 u M S 9 T Z W N v b m R h c n k l M j B T Y W x l c y U y M E R h d G E v U m V u Y W 1 l Z C U y M E N v b H V t b n M 8 L 0 l 0 Z W 1 Q Y X R o P j w v S X R l b U x v Y 2 F 0 a W 9 u P j x T d G F i b G V F b n R y a W V z I C 8 + P C 9 J d G V t P j x J d G V t P j x J d G V t T G 9 j Y X R p b 2 4 + P E l 0 Z W 1 U e X B l P k Z v c m 1 1 b G E 8 L 0 l 0 Z W 1 U e X B l P j x J d G V t U G F 0 a D 5 T Z W N 0 a W 9 u M S 9 T Z W N v b m R h c n k l M j B T Y W x l c y U y M E R h d G E v Q W R k Z W Q l M j B D d X N 0 b 2 0 x P C 9 J d G V t U G F 0 a D 4 8 L 0 l 0 Z W 1 M b 2 N h d G l v b j 4 8 U 3 R h Y m x l R W 5 0 c m l l c y A v P j w v S X R l b T 4 8 S X R l b T 4 8 S X R l b U x v Y 2 F 0 a W 9 u P j x J d G V t V H l w Z T 5 G b 3 J t d W x h P C 9 J d G V t V H l w Z T 4 8 S X R l b V B h d G g + U 2 V j d G l v b j E v U 2 V j b 2 5 k Y X J 5 J T I w U 2 F s Z X M l M j B E Y X R h L 1 J l b W 9 2 Z W Q l M j B D b 2 x 1 b W 5 z P C 9 J d G V t U G F 0 a D 4 8 L 0 l 0 Z W 1 M b 2 N h d G l v b j 4 8 U 3 R h Y m x l R W 5 0 c m l l c y A v P j w v S X R l b T 4 8 S X R l b T 4 8 S X R l b U x v Y 2 F 0 a W 9 u P j x J d G V t V H l w Z T 5 G b 3 J t d W x h P C 9 J d G V t V H l w Z T 4 8 S X R l b V B h d G g + U 2 V j d G l v b j E v Q n J h b m Q l M j B M a X N 0 L 0 N o Y W 5 n Z W Q l M j B U e X B l M T w v S X R l b V B h d G g + P C 9 J d G V t T G 9 j Y X R p b 2 4 + P F N 0 Y W J s Z U V u d H J p Z X M g L z 4 8 L 0 l 0 Z W 0 + P E l 0 Z W 0 + P E l 0 Z W 1 M b 2 N h d G l v b j 4 8 S X R l b V R 5 c G U + R m 9 y b X V s Y T w v S X R l b V R 5 c G U + P E l 0 Z W 1 Q Y X R o P l N l Y 3 R p b 2 4 x L 1 N l Y 2 9 u Z G F y e S U y M F N h b G V z J T I w R G F 0 Y S 9 G a W x 0 Z X J l Z E Z p b G V z P C 9 J d G V t U G F 0 a D 4 8 L 0 l 0 Z W 1 M b 2 N h d G l v b j 4 8 U 3 R h Y m x l R W 5 0 c m l l c y A v P j w v S X R l b T 4 8 S X R l b T 4 8 S X R l b U x v Y 2 F 0 a W 9 u P j x J d G V t V H l w Z T 5 G b 3 J t d W x h P C 9 J d G V t V H l w Z T 4 8 S X R l b V B h d G g + U 2 V j d G l v b j E v U 2 V j b 2 5 k Y X J 5 J T I w U 2 F s Z X M l M j B E Y X R h L 0 V 4 c G F u Z G V k J T I w R X h j Z W x E Y X R h P C 9 J d G V t U G F 0 a D 4 8 L 0 l 0 Z W 1 M b 2 N h d G l v b j 4 8 U 3 R h Y m x l R W 5 0 c m l l c y A v P j w v S X R l b T 4 8 S X R l b T 4 8 S X R l b U x v Y 2 F 0 a W 9 u P j x J d G V t V H l w Z T 5 G b 3 J t d W x h P C 9 J d G V t V H l w Z T 4 8 S X R l b V B h d G g + U 2 V j d G l v b j E v U 2 V j b 2 5 k Y X J 5 J T I w U 2 F s Z X M l M j B E Y X R h L 1 N w b G l 0 J T I w Q 2 9 s d W 1 u J T I w Y n k l M j B E Z W x p b W l 0 Z X I x P C 9 J d G V t U G F 0 a D 4 8 L 0 l 0 Z W 1 M b 2 N h d G l v b j 4 8 U 3 R h Y m x l R W 5 0 c m l l c y A v P j w v S X R l b T 4 8 S X R l b T 4 8 S X R l b U x v Y 2 F 0 a W 9 u P j x J d G V t V H l w Z T 5 G b 3 J t d W x h P C 9 J d G V t V H l w Z T 4 8 S X R l b V B h d G g + U 2 V j d G l v b j E v U 2 V j b 2 5 k Y X J 5 J T I w U 2 F s Z X M l M j B E Y X R h L 1 N w b G l 0 J T I w Q 2 9 s d W 1 u J T I w Y n k l M j B E Z W x p b W l 0 Z X I y P C 9 J d G V t U G F 0 a D 4 8 L 0 l 0 Z W 1 M b 2 N h d G l v b j 4 8 U 3 R h Y m x l R W 5 0 c m l l c y A v P j w v S X R l b T 4 8 S X R l b T 4 8 S X R l b U x v Y 2 F 0 a W 9 u P j x J d G V t V H l w Z T 5 G b 3 J t d W x h P C 9 J d G V t V H l w Z T 4 8 S X R l b V B h d G g + U 2 V j d G l v b j E v U 2 V j b 2 5 k Y X J 5 J T I w U 2 F s Z X M l M j B E Y X R h L 1 N w b G l 0 J T I w Q 2 9 s d W 1 u J T I w Y n k l M j B E Z W x p b W l 0 Z X I z P C 9 J d G V t U G F 0 a D 4 8 L 0 l 0 Z W 1 M b 2 N h d G l v b j 4 8 U 3 R h Y m x l R W 5 0 c m l l c y A v P j w v S X R l b T 4 8 S X R l b T 4 8 S X R l b U x v Y 2 F 0 a W 9 u P j x J d G V t V H l w Z T 5 G b 3 J t d W x h P C 9 J d G V t V H l w Z T 4 8 S X R l b V B h d G g + U 2 V j d G l v b j E v U 2 V j b 2 5 k Y X J 5 J T I w U 2 F s Z X M l M j B E Y X R h L 1 V u c G l 2 b 3 R l Z C U y M E 9 0 a G V y J T I w Q 2 9 s d W 1 u c z w v S X R l b V B h d G g + P C 9 J d G V t T G 9 j Y X R p b 2 4 + P F N 0 Y W J s Z U V u d H J p Z X M g L z 4 8 L 0 l 0 Z W 0 + P C 9 J d G V t c z 4 8 L 0 x v Y 2 F s U G F j a 2 F n Z U 1 l d G F k Y X R h R m l s Z T 4 W A A A A U E s F B g A A A A A A A A A A A A A A A A A A A A A A A C Y B A A A B A A A A 0 I y d 3 w E V 0 R G M e g D A T 8 K X 6 w E A A A A O q H 0 Q u 4 5 5 T J h d P b 7 f 9 n 3 S A A A A A A I A A A A A A B B m A A A A A Q A A I A A A A L O / O 4 Z E s q a b q N V U U o X t K r 8 1 v X J t s b w S V 1 s u 3 g S E M p Y k A A A A A A 6 A A A A A A g A A I A A A A L O g r n B V 3 P V 1 H 4 r F 6 W T Q A Y H I 9 J b c o a l N w o f Y b j i 7 v 8 W A U A A A A D l c e z 0 9 p Z A g Y d t C X q T a P y 6 O O h G Q I C / x P C p x o T s t x i N q q x b 9 / d p T x E w y 8 0 y l U h H 5 j t x i t Y Y l I x 8 4 T / A R P q v 0 k V O j H v C + H W M S T d e v M r I C N x Q D Q A A A A H e 8 l z X w h C E W x G K O W N c 5 / 6 b g z x n J l + D n Q u F y D U Q m k X h 6 C j z U q U a r w k 8 7 G g R B 8 c k x 0 Y v s 6 y L t 1 J 9 j g R T i H r 8 N f x Y = < / D a t a M a s h u p > 
</file>

<file path=customXml/itemProps1.xml><?xml version="1.0" encoding="utf-8"?>
<ds:datastoreItem xmlns:ds="http://schemas.openxmlformats.org/officeDocument/2006/customXml" ds:itemID="{D81DB449-F972-46C0-A2A9-51C7B5FFF7DD}">
  <ds:schemaRefs>
    <ds:schemaRef ds:uri="http://schemas.microsoft.com/sharepoint/v3/contenttype/forms"/>
  </ds:schemaRefs>
</ds:datastoreItem>
</file>

<file path=customXml/itemProps2.xml><?xml version="1.0" encoding="utf-8"?>
<ds:datastoreItem xmlns:ds="http://schemas.openxmlformats.org/officeDocument/2006/customXml" ds:itemID="{08E33FFD-97AD-4C1C-98EF-EDE12E4594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e7dd9c-55c0-448a-a107-83a0215a5f9b"/>
    <ds:schemaRef ds:uri="17a0bdd8-d01f-4d70-aba9-1f91e6dc23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40235E-CB79-4719-9019-DEEF8BBF40A9}">
  <ds:schemaRefs>
    <ds:schemaRef ds:uri="http://purl.org/dc/terms/"/>
    <ds:schemaRef ds:uri="http://purl.org/dc/dcmitype/"/>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17a0bdd8-d01f-4d70-aba9-1f91e6dc230e"/>
    <ds:schemaRef ds:uri="52e7dd9c-55c0-448a-a107-83a0215a5f9b"/>
    <ds:schemaRef ds:uri="http://purl.org/dc/elements/1.1/"/>
  </ds:schemaRefs>
</ds:datastoreItem>
</file>

<file path=customXml/itemProps4.xml><?xml version="1.0" encoding="utf-8"?>
<ds:datastoreItem xmlns:ds="http://schemas.openxmlformats.org/officeDocument/2006/customXml" ds:itemID="{5E05C271-6357-4FBB-8301-FDA686DA0D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OMSR &amp; VSR Performance - Value</vt:lpstr>
      <vt:lpstr>OMSR &amp; VSR Performance - Cases</vt:lpstr>
      <vt:lpstr>Pivot table</vt:lpstr>
      <vt:lpstr>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Hewlett-Packard Company</dc:creator>
  <cp:lastModifiedBy>Aderoju</cp:lastModifiedBy>
  <dcterms:created xsi:type="dcterms:W3CDTF">2019-08-14T08:24:05Z</dcterms:created>
  <dcterms:modified xsi:type="dcterms:W3CDTF">2024-10-12T12:16:36Z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0x01010074C7ECC2512EEF48BB1FA6D8C73CE988</vt:lpwstr>
  </property>
</Properties>
</file>