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INPUT DATA" sheetId="1" r:id="rId1"/>
    <sheet name="CAPACITY" sheetId="2" r:id="rId2"/>
    <sheet name="RESULTS" sheetId="3" r:id="rId3"/>
  </sheets>
  <definedNames>
    <definedName name="Ab">CAPACITY!$G$17</definedName>
    <definedName name="alpha">'INPUT DATA'!$M$10</definedName>
    <definedName name="As">CAPACITY!$G$26</definedName>
    <definedName name="asd">'INPUT DATA'!$J$11</definedName>
    <definedName name="base">'INPUT DATA'!$M$26</definedName>
    <definedName name="cohesion">'INPUT DATA'!$M$6</definedName>
    <definedName name="D">'INPUT DATA'!$M$19</definedName>
    <definedName name="DbB">CAPACITY!$G$7</definedName>
    <definedName name="delta">'INPUT DATA'!$M$12</definedName>
    <definedName name="FoS">RESULTS!#REF!</definedName>
    <definedName name="fs">CAPACITY!$G$27</definedName>
    <definedName name="gama">'INPUT DATA'!$M$4</definedName>
    <definedName name="Ks">RESULTS!$F$7</definedName>
    <definedName name="L">'INPUT DATA'!$J$18</definedName>
    <definedName name="Load">'INPUT DATA'!$M$23</definedName>
    <definedName name="Nc">CAPACITY!$G$6</definedName>
    <definedName name="Nq">CAPACITY!$G$5</definedName>
    <definedName name="OFS">RESULTS!$F$24</definedName>
    <definedName name="P">'INPUT DATA'!$J$20</definedName>
    <definedName name="phi">'INPUT DATA'!$M$8</definedName>
    <definedName name="PL">'INPUT DATA'!$M$21</definedName>
    <definedName name="PS">'INPUT DATA'!$M$17</definedName>
    <definedName name="q">'INPUT DATA'!$J$18</definedName>
    <definedName name="Qa">RESULTS!$F$21</definedName>
    <definedName name="Qb">CAPACITY!$G$19</definedName>
    <definedName name="Qs">CAPACITY!$G$28</definedName>
    <definedName name="Qu">RESULTS!$F$17</definedName>
    <definedName name="qu_b">CAPACITY!$G$18</definedName>
    <definedName name="SF">'INPUT DATA'!$P$28</definedName>
    <definedName name="SFbase">'INPUT DATA'!$J$23</definedName>
    <definedName name="sfort">RESULTS!$R$27</definedName>
    <definedName name="SFsaft">'INPUT DATA'!$J$25</definedName>
    <definedName name="sgB">CAPACITY!$G$10</definedName>
    <definedName name="sgS">CAPACITY!$G$11</definedName>
    <definedName name="shaft">'INPUT DATA'!$M$28</definedName>
    <definedName name="Shape">'INPUT DATA'!$J$14</definedName>
    <definedName name="W_T">'INPUT DATA'!$M$14</definedName>
    <definedName name="Width">'INPUT DATA'!$J$16</definedName>
    <definedName name="WT">'INPUT DATA'!$J$11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3" l="1"/>
  <c r="F7" i="3"/>
  <c r="G27" i="2" s="1"/>
  <c r="G26" i="2"/>
  <c r="G17" i="2"/>
  <c r="G11" i="2"/>
  <c r="G10" i="2"/>
  <c r="G7" i="2"/>
  <c r="D27" i="1"/>
  <c r="D29" i="1"/>
  <c r="D28" i="1"/>
  <c r="G28" i="2" l="1"/>
  <c r="G5" i="2"/>
  <c r="G6" i="2" s="1"/>
  <c r="G18" i="2" s="1"/>
  <c r="G19" i="2" s="1"/>
  <c r="F10" i="3" l="1"/>
  <c r="F21" i="3"/>
  <c r="F13" i="3"/>
  <c r="F17" i="3"/>
  <c r="F24" i="3" s="1"/>
  <c r="P28" i="1"/>
  <c r="C9" i="1"/>
  <c r="C10" i="1" s="1"/>
  <c r="D22" i="1"/>
  <c r="D21" i="1"/>
  <c r="C21" i="1"/>
  <c r="C20" i="1"/>
  <c r="C19" i="1"/>
  <c r="D11" i="1"/>
  <c r="D7" i="1"/>
  <c r="G26" i="3" l="1"/>
  <c r="F26" i="3"/>
  <c r="O19" i="1"/>
  <c r="L19" i="1"/>
  <c r="D24" i="1" l="1"/>
  <c r="D23" i="1" s="1"/>
  <c r="D12" i="1"/>
  <c r="D13" i="1" s="1"/>
  <c r="C16" i="1"/>
  <c r="C11" i="1" l="1"/>
  <c r="C15" i="1" s="1"/>
  <c r="C14" i="1"/>
  <c r="D10" i="1"/>
  <c r="C13" i="1"/>
  <c r="C22" i="1" s="1"/>
  <c r="D14" i="1" l="1"/>
  <c r="C17" i="1"/>
  <c r="C18" i="1" s="1"/>
  <c r="C24" i="1" s="1"/>
  <c r="C23" i="1" s="1"/>
</calcChain>
</file>

<file path=xl/sharedStrings.xml><?xml version="1.0" encoding="utf-8"?>
<sst xmlns="http://schemas.openxmlformats.org/spreadsheetml/2006/main" count="93" uniqueCount="78">
  <si>
    <t>PLEASE DO NOT MISUSE IT</t>
  </si>
  <si>
    <t>VERTICALLY LOADED PILES, CARRYING CAPACITY ANALYSIS</t>
  </si>
  <si>
    <t>Soil Details</t>
  </si>
  <si>
    <t>g</t>
  </si>
  <si>
    <t>kN/m³</t>
  </si>
  <si>
    <t>Unit weight of soil (gamma)</t>
  </si>
  <si>
    <t>c' (or su)</t>
  </si>
  <si>
    <t>kN/m²</t>
  </si>
  <si>
    <t>For undrained soils use phi' = 0</t>
  </si>
  <si>
    <t>f</t>
  </si>
  <si>
    <t>deg</t>
  </si>
  <si>
    <t>Angle of friction (phi')</t>
  </si>
  <si>
    <t>a</t>
  </si>
  <si>
    <t>Adhesion Factor</t>
  </si>
  <si>
    <t>d</t>
  </si>
  <si>
    <t>Angle of friction between pile and soil</t>
  </si>
  <si>
    <t>Water Table</t>
  </si>
  <si>
    <t>m</t>
  </si>
  <si>
    <t>Depth to Water Table</t>
  </si>
  <si>
    <t>Pile Details</t>
  </si>
  <si>
    <t>Shape</t>
  </si>
  <si>
    <r>
      <rPr>
        <sz val="12"/>
        <color rgb="FFC00000"/>
        <rFont val="MS Sans Serif"/>
        <family val="2"/>
        <charset val="162"/>
      </rPr>
      <t>⊡</t>
    </r>
    <r>
      <rPr>
        <sz val="9"/>
        <color rgb="FFC00000"/>
        <rFont val="MS Sans Serif"/>
        <family val="2"/>
        <charset val="162"/>
      </rPr>
      <t xml:space="preserve"> =Square, </t>
    </r>
    <r>
      <rPr>
        <sz val="12"/>
        <color rgb="FFC00000"/>
        <rFont val="MS Sans Serif"/>
        <family val="2"/>
        <charset val="162"/>
      </rPr>
      <t>⊙</t>
    </r>
    <r>
      <rPr>
        <sz val="9"/>
        <color rgb="FFC00000"/>
        <rFont val="MS Sans Serif"/>
        <family val="2"/>
        <charset val="162"/>
      </rPr>
      <t xml:space="preserve"> =Circular</t>
    </r>
  </si>
  <si>
    <t>Toe Depth</t>
  </si>
  <si>
    <t>Depth to base of pile</t>
  </si>
  <si>
    <t>Load</t>
  </si>
  <si>
    <t>kN</t>
  </si>
  <si>
    <t>Applied load - includes weight of pile</t>
  </si>
  <si>
    <t>Safety Factors</t>
  </si>
  <si>
    <t>Base</t>
  </si>
  <si>
    <t>Shaft</t>
  </si>
  <si>
    <t>SF =</t>
  </si>
  <si>
    <t>Input Data from Geotchnical Report</t>
  </si>
  <si>
    <t>Pile Capacity</t>
  </si>
  <si>
    <t>Bearing Capacity Factors</t>
  </si>
  <si>
    <t>Nq=</t>
  </si>
  <si>
    <t>Nc=</t>
  </si>
  <si>
    <t>D/L=</t>
  </si>
  <si>
    <t>Overburden stress</t>
  </si>
  <si>
    <t>sigma_b=</t>
  </si>
  <si>
    <t>(at Base)</t>
  </si>
  <si>
    <t>sigma_s=</t>
  </si>
  <si>
    <t>(average for Shaft)</t>
  </si>
  <si>
    <t>Base Bearing Capacity</t>
  </si>
  <si>
    <t>qu=suNc (for undrained analysis)</t>
  </si>
  <si>
    <t>qu=cNc+sigma_b*Nq (for drained analysis)</t>
  </si>
  <si>
    <t>Base (Ab) =</t>
  </si>
  <si>
    <t>m²</t>
  </si>
  <si>
    <t>qu =</t>
  </si>
  <si>
    <t>Qb=qu*Ab</t>
  </si>
  <si>
    <t>Qb=</t>
  </si>
  <si>
    <t>Base Resistance</t>
  </si>
  <si>
    <t>Shaft skin friction</t>
  </si>
  <si>
    <t>fs=alpha.su (for undrained analysis)</t>
  </si>
  <si>
    <t>fs=c'+Ks.sigma_s.tan(delta) (for drained analysis)</t>
  </si>
  <si>
    <t>Shaft (As) =</t>
  </si>
  <si>
    <t>fs=</t>
  </si>
  <si>
    <t>Qs=fs*As</t>
  </si>
  <si>
    <t>Qs=</t>
  </si>
  <si>
    <t>Shaft Resistance</t>
  </si>
  <si>
    <t>Analysis Results</t>
  </si>
  <si>
    <t>Vertical Load</t>
  </si>
  <si>
    <t>P =</t>
  </si>
  <si>
    <r>
      <t>Ks = 1-sin</t>
    </r>
    <r>
      <rPr>
        <sz val="9"/>
        <rFont val="Symbol"/>
        <family val="1"/>
        <charset val="2"/>
      </rPr>
      <t xml:space="preserve"> f</t>
    </r>
  </si>
  <si>
    <t>Ks =</t>
  </si>
  <si>
    <t>Coefficient of Earth Pressure</t>
  </si>
  <si>
    <t>Qb =</t>
  </si>
  <si>
    <t>Qs =</t>
  </si>
  <si>
    <t>Total ultimate resistance</t>
  </si>
  <si>
    <t>Qu = Qb + Qs</t>
  </si>
  <si>
    <t>Qu =</t>
  </si>
  <si>
    <t>Allowable Load</t>
  </si>
  <si>
    <t>Qa =</t>
  </si>
  <si>
    <t>Overall factor of safety</t>
  </si>
  <si>
    <t>Qu / P =</t>
  </si>
  <si>
    <t>Qa =Qb/FSbase+Qs/FSshaft</t>
  </si>
  <si>
    <r>
      <t xml:space="preserve">THIS IS THE PROPERTY OF </t>
    </r>
    <r>
      <rPr>
        <b/>
        <sz val="14"/>
        <color rgb="FFFF0000"/>
        <rFont val="Calibri"/>
        <family val="2"/>
        <scheme val="minor"/>
      </rPr>
      <t>SCHOOL OF CIVIL ENGINEERING</t>
    </r>
  </si>
  <si>
    <t>(Barezantzev et al)</t>
  </si>
  <si>
    <t>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</si>
</sst>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>
    <font>
      <sz val="11"/>
      <color theme="1"/>
      <name val="Calibri"/>
      <family val="2"/>
      <scheme val="minor"/>
    </font>
    <font>
      <b/>
      <sz val="12"/>
      <name val="MS Sans Serif"/>
      <family val="2"/>
      <charset val="162"/>
    </font>
    <font>
      <sz val="9"/>
      <name val="Times New Roman"/>
      <family val="1"/>
      <charset val="162"/>
    </font>
    <font>
      <sz val="10"/>
      <color rgb="FF0070C0"/>
      <name val="Times New Roman"/>
      <family val="1"/>
      <charset val="162"/>
    </font>
    <font>
      <sz val="9"/>
      <color rgb="FFC00000"/>
      <name val="Times New Roman"/>
      <family val="1"/>
      <charset val="162"/>
    </font>
    <font>
      <sz val="10"/>
      <name val="MS Sans Serif"/>
      <family val="2"/>
      <charset val="162"/>
    </font>
    <font>
      <sz val="9"/>
      <name val="Symbol"/>
      <family val="1"/>
      <charset val="2"/>
    </font>
    <font>
      <sz val="10"/>
      <color rgb="FF0070C0"/>
      <name val="MS Sans Serif"/>
      <family val="2"/>
      <charset val="162"/>
    </font>
    <font>
      <sz val="9"/>
      <name val="MS Sans Serif"/>
      <family val="2"/>
      <charset val="162"/>
    </font>
    <font>
      <sz val="9"/>
      <color rgb="FFC00000"/>
      <name val="MS Sans Serif"/>
      <family val="2"/>
      <charset val="162"/>
    </font>
    <font>
      <sz val="12"/>
      <color rgb="FF0070C0"/>
      <name val="MS Sans Serif"/>
      <family val="2"/>
      <charset val="162"/>
    </font>
    <font>
      <sz val="12"/>
      <color rgb="FFC00000"/>
      <name val="MS Sans Serif"/>
      <family val="2"/>
      <charset val="162"/>
    </font>
    <font>
      <sz val="13.5"/>
      <name val="MS Sans Serif"/>
      <family val="2"/>
      <charset val="162"/>
    </font>
    <font>
      <sz val="10"/>
      <color rgb="FFC00000"/>
      <name val="MS Sans Serif"/>
      <family val="2"/>
      <charset val="162"/>
    </font>
    <font>
      <b/>
      <sz val="10"/>
      <name val="MS Sans Serif"/>
      <family val="2"/>
      <charset val="162"/>
    </font>
    <font>
      <b/>
      <sz val="9"/>
      <color rgb="FFC00000"/>
      <name val="MS Sans Serif"/>
      <family val="2"/>
      <charset val="162"/>
    </font>
    <font>
      <sz val="10"/>
      <color rgb="FFC00000"/>
      <name val="Times New Roman"/>
      <family val="1"/>
      <charset val="162"/>
    </font>
    <font>
      <b/>
      <sz val="18"/>
      <name val="MS Sans Serif"/>
      <family val="2"/>
      <charset val="162"/>
    </font>
    <font>
      <b/>
      <sz val="9"/>
      <color indexed="12"/>
      <name val="MS Sans Serif"/>
      <family val="2"/>
      <charset val="162"/>
    </font>
    <font>
      <sz val="10"/>
      <name val="Times New Roman"/>
      <family val="1"/>
      <charset val="162"/>
    </font>
    <font>
      <b/>
      <sz val="10"/>
      <color indexed="12"/>
      <name val="MS Sans Serif"/>
      <family val="2"/>
      <charset val="162"/>
    </font>
    <font>
      <sz val="10"/>
      <color rgb="FFFF0000"/>
      <name val="MS Sans Serif"/>
      <family val="2"/>
      <charset val="16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 tint="-0.499984740745262"/>
      </right>
      <top style="thin">
        <color theme="0" tint="-4.9989318521683403E-2"/>
      </top>
      <bottom style="thin">
        <color theme="0" tint="-0.49998474074526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0.499984740745262"/>
      </right>
      <top style="thin">
        <color theme="0" tint="-4.9989318521683403E-2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2" borderId="0" xfId="0" applyFill="1"/>
    <xf numFmtId="0" fontId="0" fillId="2" borderId="0" xfId="0" applyFill="1" applyBorder="1" applyAlignment="1">
      <alignment vertical="center"/>
    </xf>
    <xf numFmtId="0" fontId="1" fillId="2" borderId="0" xfId="0" applyFont="1" applyFill="1" applyBorder="1" applyAlignment="1">
      <alignment horizontal="right" vertical="center"/>
    </xf>
    <xf numFmtId="0" fontId="5" fillId="2" borderId="9" xfId="0" applyFont="1" applyFill="1" applyBorder="1" applyAlignment="1">
      <alignment vertical="center"/>
    </xf>
    <xf numFmtId="0" fontId="6" fillId="2" borderId="10" xfId="0" applyFont="1" applyFill="1" applyBorder="1" applyAlignment="1">
      <alignment horizontal="right" vertical="center" indent="1"/>
    </xf>
    <xf numFmtId="0" fontId="8" fillId="2" borderId="0" xfId="0" applyFont="1" applyFill="1" applyBorder="1" applyAlignment="1">
      <alignment horizontal="left" vertical="center" indent="1"/>
    </xf>
    <xf numFmtId="0" fontId="9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right" vertical="center" indent="1"/>
    </xf>
    <xf numFmtId="0" fontId="3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right" vertical="center" indent="1"/>
    </xf>
    <xf numFmtId="0" fontId="6" fillId="2" borderId="0" xfId="0" applyFont="1" applyFill="1" applyBorder="1" applyAlignment="1">
      <alignment horizontal="right" vertical="center" indent="1"/>
    </xf>
    <xf numFmtId="0" fontId="0" fillId="2" borderId="9" xfId="0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12" fillId="2" borderId="9" xfId="0" applyFont="1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164" fontId="7" fillId="3" borderId="11" xfId="0" applyNumberFormat="1" applyFont="1" applyFill="1" applyBorder="1" applyAlignment="1" applyProtection="1">
      <alignment horizontal="center" vertical="center"/>
      <protection locked="0"/>
    </xf>
    <xf numFmtId="0" fontId="10" fillId="3" borderId="12" xfId="0" applyFont="1" applyFill="1" applyBorder="1" applyAlignment="1" applyProtection="1">
      <alignment horizontal="center" vertical="center"/>
      <protection locked="0"/>
    </xf>
    <xf numFmtId="2" fontId="7" fillId="3" borderId="11" xfId="0" applyNumberFormat="1" applyFont="1" applyFill="1" applyBorder="1" applyAlignment="1" applyProtection="1">
      <alignment horizontal="center" vertical="center"/>
      <protection locked="0"/>
    </xf>
    <xf numFmtId="0" fontId="0" fillId="5" borderId="13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0" xfId="0" applyFill="1" applyBorder="1" applyAlignment="1">
      <alignment horizontal="left" vertical="center"/>
    </xf>
    <xf numFmtId="0" fontId="0" fillId="5" borderId="9" xfId="0" applyFill="1" applyBorder="1" applyAlignment="1">
      <alignment vertical="center"/>
    </xf>
    <xf numFmtId="0" fontId="14" fillId="5" borderId="0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vertical="center"/>
    </xf>
    <xf numFmtId="0" fontId="14" fillId="5" borderId="0" xfId="0" applyFont="1" applyFill="1" applyBorder="1" applyAlignment="1">
      <alignment vertical="center"/>
    </xf>
    <xf numFmtId="0" fontId="14" fillId="5" borderId="9" xfId="0" applyFont="1" applyFill="1" applyBorder="1" applyAlignment="1">
      <alignment vertical="center"/>
    </xf>
    <xf numFmtId="2" fontId="5" fillId="5" borderId="0" xfId="0" applyNumberFormat="1" applyFont="1" applyFill="1" applyBorder="1" applyAlignment="1">
      <alignment horizontal="right" vertical="center"/>
    </xf>
    <xf numFmtId="2" fontId="15" fillId="5" borderId="0" xfId="0" applyNumberFormat="1" applyFont="1" applyFill="1" applyBorder="1" applyAlignment="1">
      <alignment vertical="center"/>
    </xf>
    <xf numFmtId="0" fontId="8" fillId="5" borderId="0" xfId="0" applyFont="1" applyFill="1" applyBorder="1" applyAlignment="1">
      <alignment horizontal="left" vertical="center" indent="1"/>
    </xf>
    <xf numFmtId="0" fontId="5" fillId="5" borderId="9" xfId="0" applyFont="1" applyFill="1" applyBorder="1" applyAlignment="1">
      <alignment vertical="center"/>
    </xf>
    <xf numFmtId="0" fontId="5" fillId="5" borderId="0" xfId="0" applyFont="1" applyFill="1" applyBorder="1" applyAlignment="1">
      <alignment horizontal="right" vertical="center"/>
    </xf>
    <xf numFmtId="0" fontId="16" fillId="5" borderId="0" xfId="0" applyFont="1" applyFill="1" applyBorder="1" applyAlignment="1">
      <alignment vertical="center"/>
    </xf>
    <xf numFmtId="0" fontId="13" fillId="5" borderId="0" xfId="0" applyFont="1" applyFill="1" applyBorder="1" applyAlignment="1">
      <alignment vertical="center"/>
    </xf>
    <xf numFmtId="2" fontId="5" fillId="5" borderId="0" xfId="0" applyNumberFormat="1" applyFont="1" applyFill="1" applyBorder="1" applyAlignment="1">
      <alignment horizontal="left" vertical="center"/>
    </xf>
    <xf numFmtId="0" fontId="8" fillId="5" borderId="0" xfId="0" applyFont="1" applyFill="1" applyBorder="1" applyAlignment="1">
      <alignment horizontal="right" vertical="center" indent="1"/>
    </xf>
    <xf numFmtId="2" fontId="13" fillId="5" borderId="0" xfId="0" applyNumberFormat="1" applyFont="1" applyFill="1" applyBorder="1" applyAlignment="1">
      <alignment horizontal="left" vertical="center"/>
    </xf>
    <xf numFmtId="0" fontId="0" fillId="5" borderId="6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7" xfId="0" applyFill="1" applyBorder="1" applyAlignment="1">
      <alignment horizontal="left" vertical="center"/>
    </xf>
    <xf numFmtId="0" fontId="0" fillId="5" borderId="8" xfId="0" applyFill="1" applyBorder="1" applyAlignment="1">
      <alignment vertical="center"/>
    </xf>
    <xf numFmtId="164" fontId="7" fillId="3" borderId="14" xfId="0" applyNumberFormat="1" applyFont="1" applyFill="1" applyBorder="1" applyAlignment="1" applyProtection="1">
      <alignment horizontal="center" vertical="center"/>
      <protection locked="0"/>
    </xf>
    <xf numFmtId="164" fontId="13" fillId="4" borderId="15" xfId="0" applyNumberFormat="1" applyFont="1" applyFill="1" applyBorder="1" applyAlignment="1" applyProtection="1">
      <alignment horizontal="center" vertical="center"/>
    </xf>
    <xf numFmtId="0" fontId="0" fillId="2" borderId="0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6" xfId="0" applyFill="1" applyBorder="1"/>
    <xf numFmtId="0" fontId="0" fillId="2" borderId="13" xfId="0" applyFill="1" applyBorder="1"/>
    <xf numFmtId="0" fontId="0" fillId="2" borderId="9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1" fillId="2" borderId="5" xfId="0" applyFont="1" applyFill="1" applyBorder="1" applyAlignment="1">
      <alignment horizontal="right" vertical="center"/>
    </xf>
    <xf numFmtId="0" fontId="0" fillId="2" borderId="17" xfId="0" applyFill="1" applyBorder="1" applyAlignment="1">
      <alignment vertical="center"/>
    </xf>
    <xf numFmtId="0" fontId="5" fillId="2" borderId="16" xfId="0" applyFont="1" applyFill="1" applyBorder="1" applyAlignment="1">
      <alignment vertical="center"/>
    </xf>
    <xf numFmtId="0" fontId="5" fillId="5" borderId="13" xfId="0" applyFont="1" applyFill="1" applyBorder="1" applyAlignment="1">
      <alignment vertical="center"/>
    </xf>
    <xf numFmtId="0" fontId="0" fillId="5" borderId="0" xfId="0" applyFill="1" applyBorder="1" applyAlignment="1">
      <alignment horizontal="right" vertical="center"/>
    </xf>
    <xf numFmtId="0" fontId="14" fillId="5" borderId="0" xfId="0" applyFont="1" applyFill="1" applyBorder="1" applyAlignment="1">
      <alignment horizontal="right" vertical="center"/>
    </xf>
    <xf numFmtId="164" fontId="18" fillId="5" borderId="0" xfId="0" applyNumberFormat="1" applyFont="1" applyFill="1" applyBorder="1" applyAlignment="1">
      <alignment vertical="center"/>
    </xf>
    <xf numFmtId="0" fontId="19" fillId="5" borderId="0" xfId="0" applyFont="1" applyFill="1" applyBorder="1" applyAlignment="1">
      <alignment horizontal="right" vertical="center"/>
    </xf>
    <xf numFmtId="164" fontId="15" fillId="5" borderId="0" xfId="0" applyNumberFormat="1" applyFont="1" applyFill="1" applyBorder="1" applyAlignment="1">
      <alignment vertical="center"/>
    </xf>
    <xf numFmtId="0" fontId="8" fillId="5" borderId="0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vertical="center"/>
    </xf>
    <xf numFmtId="0" fontId="19" fillId="5" borderId="0" xfId="0" applyFont="1" applyFill="1" applyBorder="1" applyAlignment="1">
      <alignment vertical="center"/>
    </xf>
    <xf numFmtId="0" fontId="12" fillId="5" borderId="13" xfId="0" applyFont="1" applyFill="1" applyBorder="1" applyAlignment="1">
      <alignment vertical="center"/>
    </xf>
    <xf numFmtId="0" fontId="12" fillId="5" borderId="0" xfId="0" applyFont="1" applyFill="1" applyBorder="1" applyAlignment="1">
      <alignment vertical="center"/>
    </xf>
    <xf numFmtId="0" fontId="8" fillId="5" borderId="0" xfId="0" applyFont="1" applyFill="1" applyBorder="1" applyAlignment="1">
      <alignment horizontal="left" vertical="center"/>
    </xf>
    <xf numFmtId="1" fontId="20" fillId="5" borderId="0" xfId="0" applyNumberFormat="1" applyFont="1" applyFill="1" applyBorder="1" applyAlignment="1">
      <alignment horizontal="left" vertical="center"/>
    </xf>
    <xf numFmtId="1" fontId="20" fillId="5" borderId="0" xfId="0" applyNumberFormat="1" applyFont="1" applyFill="1" applyBorder="1" applyAlignment="1">
      <alignment horizontal="right" vertical="center"/>
    </xf>
    <xf numFmtId="0" fontId="21" fillId="5" borderId="0" xfId="0" applyFont="1" applyFill="1" applyBorder="1" applyAlignment="1">
      <alignment horizontal="right" vertical="center" indent="1"/>
    </xf>
    <xf numFmtId="0" fontId="21" fillId="5" borderId="0" xfId="0" applyFont="1" applyFill="1" applyBorder="1" applyAlignment="1">
      <alignment horizontal="left" vertical="center" indent="1"/>
    </xf>
    <xf numFmtId="0" fontId="0" fillId="5" borderId="7" xfId="0" applyFill="1" applyBorder="1" applyAlignment="1">
      <alignment horizontal="right" vertical="center"/>
    </xf>
    <xf numFmtId="0" fontId="0" fillId="5" borderId="4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5" xfId="0" applyFill="1" applyBorder="1" applyAlignment="1">
      <alignment horizontal="left" vertical="center"/>
    </xf>
    <xf numFmtId="0" fontId="0" fillId="5" borderId="16" xfId="0" applyFill="1" applyBorder="1" applyAlignment="1">
      <alignment vertical="center"/>
    </xf>
    <xf numFmtId="0" fontId="22" fillId="6" borderId="4" xfId="0" applyFont="1" applyFill="1" applyBorder="1" applyAlignment="1">
      <alignment horizontal="center"/>
    </xf>
    <xf numFmtId="0" fontId="22" fillId="6" borderId="5" xfId="0" applyFont="1" applyFill="1" applyBorder="1" applyAlignment="1">
      <alignment horizontal="center"/>
    </xf>
    <xf numFmtId="0" fontId="24" fillId="6" borderId="6" xfId="0" applyFont="1" applyFill="1" applyBorder="1" applyAlignment="1">
      <alignment horizontal="center"/>
    </xf>
    <xf numFmtId="0" fontId="24" fillId="6" borderId="7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705697700927705E-2"/>
          <c:y val="3.1496062992125984E-2"/>
          <c:w val="0.93732193732193736"/>
          <c:h val="0.93697779425888905"/>
        </c:manualLayout>
      </c:layout>
      <c:scatterChart>
        <c:scatterStyle val="lineMarker"/>
        <c:varyColors val="0"/>
        <c:ser>
          <c:idx val="4"/>
          <c:order val="0"/>
          <c:tx>
            <c:v>S3</c:v>
          </c:tx>
          <c:spPr>
            <a:ln>
              <a:solidFill>
                <a:srgbClr val="FF0000"/>
              </a:solidFill>
              <a:headEnd type="none" w="med" len="med"/>
              <a:tailEnd type="triangle" w="med" len="med"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'INPUT DATA'!$C$20</c:f>
                  <c:strCache>
                    <c:ptCount val="1"/>
                    <c:pt idx="0">
                      <c:v>P = 1420 kN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B7CE-4371-972F-44A25A9F977B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{893B7DA5-38B0-4551-B735-21F919B3BC94}</c15:txfldGUID>
                      <c15:f>'INPUT DATA'!$C$20</c15:f>
                      <c15:dlblFieldTableCache>
                        <c:ptCount val="1"/>
                        <c:pt idx="0">
                          <c:v>P = 1420 kN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'INPUT DATA'!$C$7:$C$8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'INPUT DATA'!$D$7:$D$8</c:f>
              <c:numCache>
                <c:formatCode>General</c:formatCode>
                <c:ptCount val="2"/>
                <c:pt idx="0">
                  <c:v>1.2</c:v>
                </c:pt>
                <c:pt idx="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A42D-4A22-9151-E8B80CDDDB2A}"/>
            </c:ext>
          </c:extLst>
        </c:ser>
        <c:ser>
          <c:idx val="7"/>
          <c:order val="1"/>
          <c:tx>
            <c:v>S1</c:v>
          </c:tx>
          <c:marker>
            <c:symbol val="none"/>
          </c:marker>
          <c:dLbls>
            <c:dLbl>
              <c:idx val="2"/>
              <c:layout/>
              <c:tx>
                <c:strRef>
                  <c:f>'INPUT DATA'!$C$21</c:f>
                  <c:strCache>
                    <c:ptCount val="1"/>
                    <c:pt idx="0">
                      <c:v>L = 12 m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344F-4657-BC0F-E44511B8E32A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{320814CD-3DE0-4B68-B511-043CD83B28C2}</c15:txfldGUID>
                      <c15:f>'INPUT DATA'!$C$21</c15:f>
                      <c15:dlblFieldTableCache>
                        <c:ptCount val="1"/>
                        <c:pt idx="0">
                          <c:v>L = 12 m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/>
              <c:tx>
                <c:strRef>
                  <c:f>'INPUT DATA'!$C$19</c:f>
                  <c:strCache>
                    <c:ptCount val="1"/>
                    <c:pt idx="0">
                      <c:v>D = 0.8 m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B7CE-4371-972F-44A25A9F977B}"/>
                </c:ext>
                <c:ext xmlns:c15="http://schemas.microsoft.com/office/drawing/2012/chart" uri="{CE6537A1-D6FC-4f65-9D91-7224C49458BB}">
                  <c15:layout>
                    <c:manualLayout>
                      <c:w val="0.1453135024788568"/>
                      <c:h val="4.6421696601086582E-2"/>
                    </c:manualLayout>
                  </c15:layout>
                  <c15:dlblFieldTable>
                    <c15:dlblFTEntry>
                      <c15:txfldGUID>{7B41DC4E-5479-4032-AC60-7774036311B2}</c15:txfldGUID>
                      <c15:f>'INPUT DATA'!$C$19</c15:f>
                      <c15:dlblFieldTableCache>
                        <c:ptCount val="1"/>
                        <c:pt idx="0">
                          <c:v>D = 0.8 m</c:v>
                        </c:pt>
                      </c15:dlblFieldTableCache>
                    </c15:dlblFTEntry>
                  </c15:dlblFieldTable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'INPUT DATA'!$C$8:$C$16</c:f>
              <c:numCache>
                <c:formatCode>General</c:formatCode>
                <c:ptCount val="9"/>
                <c:pt idx="0">
                  <c:v>0</c:v>
                </c:pt>
                <c:pt idx="1">
                  <c:v>-0.4</c:v>
                </c:pt>
                <c:pt idx="2">
                  <c:v>-0.4</c:v>
                </c:pt>
                <c:pt idx="3">
                  <c:v>-0.4</c:v>
                </c:pt>
                <c:pt idx="4">
                  <c:v>0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</c:v>
                </c:pt>
              </c:numCache>
            </c:numRef>
          </c:xVal>
          <c:yVal>
            <c:numRef>
              <c:f>'INPUT DATA'!$D$8:$D$16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-6</c:v>
                </c:pt>
                <c:pt idx="3">
                  <c:v>-12</c:v>
                </c:pt>
                <c:pt idx="4">
                  <c:v>-12</c:v>
                </c:pt>
                <c:pt idx="5">
                  <c:v>-12</c:v>
                </c:pt>
                <c:pt idx="6">
                  <c:v>-6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A42D-4A22-9151-E8B80CDDDB2A}"/>
            </c:ext>
            <c:ext xmlns:c15="http://schemas.microsoft.com/office/drawing/2012/chart" uri="{02D57815-91ED-43cb-92C2-25804820EDAC}">
              <c15:datalabelsRange>
                <c15:f>'INPUT DATA'!$C$19</c15:f>
                <c15:dlblRangeCache>
                  <c:ptCount val="1"/>
                  <c:pt idx="0">
                    <c:v>D = 0.8 m</c:v>
                  </c:pt>
                </c15:dlblRangeCache>
              </c15:datalabelsRange>
            </c:ext>
          </c:extLst>
        </c:ser>
        <c:ser>
          <c:idx val="1"/>
          <c:order val="2"/>
          <c:tx>
            <c:v>S2</c:v>
          </c:tx>
          <c:marker>
            <c:symbol val="none"/>
          </c:marker>
          <c:xVal>
            <c:numRef>
              <c:f>'INPUT DATA'!$C$17:$C$18</c:f>
              <c:numCache>
                <c:formatCode>General</c:formatCode>
                <c:ptCount val="2"/>
                <c:pt idx="0">
                  <c:v>-6</c:v>
                </c:pt>
                <c:pt idx="1">
                  <c:v>6</c:v>
                </c:pt>
              </c:numCache>
            </c:numRef>
          </c:xVal>
          <c:yVal>
            <c:numRef>
              <c:f>'INPUT DATA'!$D$17:$D$18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A42D-4A22-9151-E8B80CDDDB2A}"/>
            </c:ext>
          </c:extLst>
        </c:ser>
        <c:ser>
          <c:idx val="0"/>
          <c:order val="3"/>
          <c:tx>
            <c:v>S4</c:v>
          </c:tx>
          <c:spPr>
            <a:ln>
              <a:prstDash val="sysDash"/>
            </a:ln>
          </c:spPr>
          <c:marker>
            <c:symbol val="none"/>
          </c:marker>
          <c:dLbls>
            <c:dLbl>
              <c:idx val="1"/>
              <c:layout/>
              <c:tx>
                <c:strRef>
                  <c:f>'INPUT DATA'!$D$21</c:f>
                  <c:strCache>
                    <c:ptCount val="1"/>
                    <c:pt idx="0">
                      <c:v>w.t. = -5 m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344F-4657-BC0F-E44511B8E32A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{C605372B-3784-484F-8746-C9A2A418F256}</c15:txfldGUID>
                      <c15:f>'INPUT DATA'!$D$21</c15:f>
                      <c15:dlblFieldTableCache>
                        <c:ptCount val="1"/>
                        <c:pt idx="0">
                          <c:v>w.t. = -5 m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'INPUT DATA'!$C$22:$C$24</c:f>
              <c:numCache>
                <c:formatCode>General</c:formatCode>
                <c:ptCount val="3"/>
                <c:pt idx="0">
                  <c:v>0.60000000000000009</c:v>
                </c:pt>
                <c:pt idx="1">
                  <c:v>2.2999999999999998</c:v>
                </c:pt>
                <c:pt idx="2">
                  <c:v>4</c:v>
                </c:pt>
              </c:numCache>
            </c:numRef>
          </c:xVal>
          <c:yVal>
            <c:numRef>
              <c:f>'INPUT DATA'!$D$22:$D$24</c:f>
              <c:numCache>
                <c:formatCode>General</c:formatCode>
                <c:ptCount val="3"/>
                <c:pt idx="0">
                  <c:v>-5</c:v>
                </c:pt>
                <c:pt idx="1">
                  <c:v>-5</c:v>
                </c:pt>
                <c:pt idx="2">
                  <c:v>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44F-4657-BC0F-E44511B8E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75856"/>
        <c:axId val="202675296"/>
      </c:scatterChart>
      <c:valAx>
        <c:axId val="20267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675296"/>
        <c:crosses val="autoZero"/>
        <c:crossBetween val="midCat"/>
      </c:valAx>
      <c:valAx>
        <c:axId val="2026752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2675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RESULTS!A1"/><Relationship Id="rId2" Type="http://schemas.openxmlformats.org/officeDocument/2006/relationships/hyperlink" Target="#CAPACITY!A1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RESULTS!A1"/><Relationship Id="rId1" Type="http://schemas.openxmlformats.org/officeDocument/2006/relationships/hyperlink" Target="#'INPUT DATA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'INPUT DATA'!A1"/><Relationship Id="rId1" Type="http://schemas.openxmlformats.org/officeDocument/2006/relationships/hyperlink" Target="#CAPACITY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4</xdr:row>
      <xdr:rowOff>28575</xdr:rowOff>
    </xdr:from>
    <xdr:to>
      <xdr:col>7</xdr:col>
      <xdr:colOff>647699</xdr:colOff>
      <xdr:row>25</xdr:row>
      <xdr:rowOff>133350</xdr:rowOff>
    </xdr:to>
    <xdr:graphicFrame macro="">
      <xdr:nvGraphicFramePr>
        <xdr:cNvPr id="3" name="1 Grafik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171450</xdr:colOff>
      <xdr:row>1</xdr:row>
      <xdr:rowOff>171450</xdr:rowOff>
    </xdr:from>
    <xdr:to>
      <xdr:col>22</xdr:col>
      <xdr:colOff>133350</xdr:colOff>
      <xdr:row>4</xdr:row>
      <xdr:rowOff>57150</xdr:rowOff>
    </xdr:to>
    <xdr:sp macro="" textlink="">
      <xdr:nvSpPr>
        <xdr:cNvPr id="2" name="Rounded Rectangle 1">
          <a:hlinkClick xmlns:r="http://schemas.openxmlformats.org/officeDocument/2006/relationships" r:id="rId2"/>
        </xdr:cNvPr>
        <xdr:cNvSpPr/>
      </xdr:nvSpPr>
      <xdr:spPr>
        <a:xfrm>
          <a:off x="11363325" y="371475"/>
          <a:ext cx="2400300" cy="542925"/>
        </a:xfrm>
        <a:prstGeom prst="roundRect">
          <a:avLst>
            <a:gd name="adj" fmla="val 32456"/>
          </a:avLst>
        </a:prstGeom>
        <a:solidFill>
          <a:schemeClr val="accent6">
            <a:lumMod val="40000"/>
            <a:lumOff val="6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PILE CAPACITY</a:t>
          </a:r>
        </a:p>
      </xdr:txBody>
    </xdr:sp>
    <xdr:clientData/>
  </xdr:twoCellAnchor>
  <xdr:twoCellAnchor>
    <xdr:from>
      <xdr:col>18</xdr:col>
      <xdr:colOff>200025</xdr:colOff>
      <xdr:row>5</xdr:row>
      <xdr:rowOff>95250</xdr:rowOff>
    </xdr:from>
    <xdr:to>
      <xdr:col>22</xdr:col>
      <xdr:colOff>161925</xdr:colOff>
      <xdr:row>8</xdr:row>
      <xdr:rowOff>66675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11391900" y="1143000"/>
          <a:ext cx="2400300" cy="542925"/>
        </a:xfrm>
        <a:prstGeom prst="roundRect">
          <a:avLst>
            <a:gd name="adj" fmla="val 32456"/>
          </a:avLst>
        </a:prstGeom>
        <a:solidFill>
          <a:srgbClr val="00B05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FINAL</a:t>
          </a:r>
          <a:r>
            <a:rPr 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RESULTS</a:t>
          </a:r>
          <a:endParaRPr lang="en-US" sz="2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1</xdr:row>
      <xdr:rowOff>295275</xdr:rowOff>
    </xdr:from>
    <xdr:to>
      <xdr:col>15</xdr:col>
      <xdr:colOff>142875</xdr:colOff>
      <xdr:row>4</xdr:row>
      <xdr:rowOff>152400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7115175" y="495300"/>
          <a:ext cx="2400300" cy="542925"/>
        </a:xfrm>
        <a:prstGeom prst="roundRect">
          <a:avLst>
            <a:gd name="adj" fmla="val 32456"/>
          </a:avLst>
        </a:prstGeom>
        <a:solidFill>
          <a:schemeClr val="accent6">
            <a:lumMod val="40000"/>
            <a:lumOff val="6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INPUT</a:t>
          </a:r>
          <a:r>
            <a:rPr 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DATA</a:t>
          </a:r>
          <a:endParaRPr lang="en-US" sz="2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11</xdr:col>
      <xdr:colOff>209550</xdr:colOff>
      <xdr:row>6</xdr:row>
      <xdr:rowOff>0</xdr:rowOff>
    </xdr:from>
    <xdr:to>
      <xdr:col>15</xdr:col>
      <xdr:colOff>171450</xdr:colOff>
      <xdr:row>8</xdr:row>
      <xdr:rowOff>161925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7143750" y="1266825"/>
          <a:ext cx="2400300" cy="542925"/>
        </a:xfrm>
        <a:prstGeom prst="roundRect">
          <a:avLst>
            <a:gd name="adj" fmla="val 32456"/>
          </a:avLst>
        </a:prstGeom>
        <a:solidFill>
          <a:srgbClr val="00B05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FINAL</a:t>
          </a:r>
          <a:r>
            <a:rPr 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RESULTS</a:t>
          </a:r>
          <a:endParaRPr lang="en-US" sz="2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6</xdr:row>
      <xdr:rowOff>9525</xdr:rowOff>
    </xdr:from>
    <xdr:to>
      <xdr:col>15</xdr:col>
      <xdr:colOff>123825</xdr:colOff>
      <xdr:row>8</xdr:row>
      <xdr:rowOff>171450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867525" y="1466850"/>
          <a:ext cx="2400300" cy="542925"/>
        </a:xfrm>
        <a:prstGeom prst="roundRect">
          <a:avLst>
            <a:gd name="adj" fmla="val 32456"/>
          </a:avLst>
        </a:prstGeom>
        <a:solidFill>
          <a:schemeClr val="accent6">
            <a:lumMod val="40000"/>
            <a:lumOff val="6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PILE CAPACITY</a:t>
          </a:r>
        </a:p>
      </xdr:txBody>
    </xdr:sp>
    <xdr:clientData/>
  </xdr:twoCellAnchor>
  <xdr:twoCellAnchor>
    <xdr:from>
      <xdr:col>11</xdr:col>
      <xdr:colOff>133350</xdr:colOff>
      <xdr:row>2</xdr:row>
      <xdr:rowOff>9525</xdr:rowOff>
    </xdr:from>
    <xdr:to>
      <xdr:col>15</xdr:col>
      <xdr:colOff>95250</xdr:colOff>
      <xdr:row>4</xdr:row>
      <xdr:rowOff>171450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6838950" y="704850"/>
          <a:ext cx="2400300" cy="542925"/>
        </a:xfrm>
        <a:prstGeom prst="roundRect">
          <a:avLst>
            <a:gd name="adj" fmla="val 32456"/>
          </a:avLst>
        </a:prstGeom>
        <a:solidFill>
          <a:srgbClr val="00B05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0">
              <a:solidFill>
                <a:schemeClr val="l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INPUT</a:t>
          </a:r>
          <a:r>
            <a:rPr lang="en-US" sz="2800" b="0" baseline="0">
              <a:solidFill>
                <a:schemeClr val="l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DATA</a:t>
          </a:r>
          <a:endParaRPr lang="en-US" sz="5400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29"/>
  <sheetViews>
    <sheetView tabSelected="1" zoomScaleNormal="100" workbookViewId="0">
      <selection activeCell="U20" sqref="U20"/>
    </sheetView>
  </sheetViews>
  <sheetFormatPr defaultRowHeight="15"/>
  <cols>
    <col min="1" max="1" width="1.85546875" style="1" customWidth="1"/>
    <col min="2" max="6" width="9.140625" style="1"/>
    <col min="7" max="7" width="11.140625" style="1" customWidth="1"/>
    <col min="8" max="8" width="10.42578125" style="1" customWidth="1"/>
    <col min="9" max="16384" width="9.140625" style="1"/>
  </cols>
  <sheetData>
    <row r="1" spans="2:18" ht="1.5" customHeight="1" thickBot="1"/>
    <row r="2" spans="2:18" ht="19.5" thickBot="1">
      <c r="B2" s="82" t="s">
        <v>75</v>
      </c>
      <c r="C2" s="83"/>
      <c r="D2" s="83"/>
      <c r="E2" s="83"/>
      <c r="F2" s="83"/>
      <c r="G2" s="83"/>
      <c r="H2" s="83"/>
      <c r="I2" s="88" t="s">
        <v>31</v>
      </c>
      <c r="J2" s="89"/>
      <c r="K2" s="89"/>
      <c r="L2" s="89"/>
      <c r="M2" s="89"/>
      <c r="N2" s="89"/>
      <c r="O2" s="89"/>
      <c r="P2" s="89"/>
      <c r="Q2" s="89"/>
      <c r="R2" s="90"/>
    </row>
    <row r="3" spans="2:18" ht="16.5" thickBot="1">
      <c r="B3" s="84" t="s">
        <v>0</v>
      </c>
      <c r="C3" s="85"/>
      <c r="D3" s="85"/>
      <c r="E3" s="85"/>
      <c r="F3" s="85"/>
      <c r="G3" s="85"/>
      <c r="H3" s="85"/>
      <c r="I3" s="56"/>
      <c r="J3" s="57"/>
      <c r="K3" s="58" t="s">
        <v>2</v>
      </c>
      <c r="L3" s="57"/>
      <c r="M3" s="59"/>
      <c r="N3" s="57"/>
      <c r="O3" s="57"/>
      <c r="P3" s="57"/>
      <c r="Q3" s="57"/>
      <c r="R3" s="60"/>
    </row>
    <row r="4" spans="2:18" ht="15.75" thickBot="1">
      <c r="B4" s="86" t="s">
        <v>1</v>
      </c>
      <c r="C4" s="87"/>
      <c r="D4" s="87"/>
      <c r="E4" s="87"/>
      <c r="F4" s="87"/>
      <c r="G4" s="87"/>
      <c r="H4" s="87"/>
      <c r="I4" s="18"/>
      <c r="J4" s="2"/>
      <c r="K4" s="2"/>
      <c r="L4" s="5" t="s">
        <v>3</v>
      </c>
      <c r="M4" s="19">
        <v>20</v>
      </c>
      <c r="N4" s="6" t="s">
        <v>4</v>
      </c>
      <c r="O4" s="7" t="s">
        <v>5</v>
      </c>
      <c r="P4" s="2"/>
      <c r="Q4" s="8"/>
      <c r="R4" s="4"/>
    </row>
    <row r="5" spans="2:18">
      <c r="B5" s="48"/>
      <c r="C5" s="49"/>
      <c r="D5" s="49"/>
      <c r="E5" s="49"/>
      <c r="F5" s="49"/>
      <c r="G5" s="49"/>
      <c r="H5" s="50"/>
      <c r="I5" s="18"/>
      <c r="J5" s="2"/>
      <c r="K5" s="2"/>
      <c r="L5" s="9"/>
      <c r="M5" s="10"/>
      <c r="N5" s="11"/>
      <c r="O5" s="12"/>
      <c r="P5" s="2"/>
      <c r="Q5" s="8"/>
      <c r="R5" s="4"/>
    </row>
    <row r="6" spans="2:18">
      <c r="B6" s="51"/>
      <c r="C6" s="47"/>
      <c r="D6" s="47"/>
      <c r="E6" s="47"/>
      <c r="F6" s="47"/>
      <c r="G6" s="47"/>
      <c r="H6" s="52"/>
      <c r="I6" s="18"/>
      <c r="J6" s="2"/>
      <c r="K6" s="2"/>
      <c r="L6" s="13" t="s">
        <v>6</v>
      </c>
      <c r="M6" s="19">
        <v>150</v>
      </c>
      <c r="N6" s="6" t="s">
        <v>7</v>
      </c>
      <c r="O6" s="7" t="s">
        <v>8</v>
      </c>
      <c r="P6" s="2"/>
      <c r="Q6" s="8"/>
      <c r="R6" s="4"/>
    </row>
    <row r="7" spans="2:18">
      <c r="B7" s="51"/>
      <c r="C7" s="2">
        <v>0</v>
      </c>
      <c r="D7" s="2">
        <f>PL/10</f>
        <v>1.2</v>
      </c>
      <c r="E7" s="47"/>
      <c r="F7" s="47"/>
      <c r="G7" s="47"/>
      <c r="H7" s="52"/>
      <c r="I7" s="18"/>
      <c r="J7" s="2"/>
      <c r="K7" s="2"/>
      <c r="L7" s="9"/>
      <c r="M7" s="10"/>
      <c r="N7" s="11"/>
      <c r="O7" s="12"/>
      <c r="P7" s="2"/>
      <c r="Q7" s="8"/>
      <c r="R7" s="4"/>
    </row>
    <row r="8" spans="2:18">
      <c r="B8" s="51"/>
      <c r="C8" s="2">
        <v>0</v>
      </c>
      <c r="D8" s="2">
        <v>0</v>
      </c>
      <c r="E8" s="47"/>
      <c r="F8" s="47"/>
      <c r="G8" s="47"/>
      <c r="H8" s="52"/>
      <c r="I8" s="18"/>
      <c r="J8" s="2"/>
      <c r="K8" s="2"/>
      <c r="L8" s="14" t="s">
        <v>9</v>
      </c>
      <c r="M8" s="19">
        <v>0</v>
      </c>
      <c r="N8" s="6" t="s">
        <v>10</v>
      </c>
      <c r="O8" s="7" t="s">
        <v>11</v>
      </c>
      <c r="P8" s="2"/>
      <c r="Q8" s="8"/>
      <c r="R8" s="4"/>
    </row>
    <row r="9" spans="2:18">
      <c r="B9" s="51"/>
      <c r="C9" s="2">
        <f>-D/2</f>
        <v>-0.4</v>
      </c>
      <c r="D9" s="2">
        <v>0</v>
      </c>
      <c r="E9" s="47"/>
      <c r="F9" s="47"/>
      <c r="G9" s="47"/>
      <c r="H9" s="52"/>
      <c r="I9" s="18"/>
      <c r="J9" s="2"/>
      <c r="K9" s="2"/>
      <c r="L9" s="9"/>
      <c r="M9" s="10"/>
      <c r="N9" s="11"/>
      <c r="O9" s="12"/>
      <c r="P9" s="2"/>
      <c r="Q9" s="8"/>
      <c r="R9" s="4"/>
    </row>
    <row r="10" spans="2:18">
      <c r="B10" s="51"/>
      <c r="C10" s="2">
        <f>C9</f>
        <v>-0.4</v>
      </c>
      <c r="D10" s="2">
        <f>D11/2</f>
        <v>-6</v>
      </c>
      <c r="E10" s="47"/>
      <c r="F10" s="47"/>
      <c r="G10" s="47"/>
      <c r="H10" s="52"/>
      <c r="I10" s="18"/>
      <c r="J10" s="2"/>
      <c r="K10" s="2"/>
      <c r="L10" s="14" t="s">
        <v>12</v>
      </c>
      <c r="M10" s="19">
        <v>0.5</v>
      </c>
      <c r="N10" s="6"/>
      <c r="O10" s="7" t="s">
        <v>13</v>
      </c>
      <c r="P10" s="2"/>
      <c r="Q10" s="2"/>
      <c r="R10" s="15"/>
    </row>
    <row r="11" spans="2:18">
      <c r="B11" s="51"/>
      <c r="C11" s="2">
        <f>C10</f>
        <v>-0.4</v>
      </c>
      <c r="D11" s="2">
        <f>-PL</f>
        <v>-12</v>
      </c>
      <c r="E11" s="47"/>
      <c r="F11" s="47"/>
      <c r="G11" s="47"/>
      <c r="H11" s="52"/>
      <c r="I11" s="18"/>
      <c r="J11" s="2"/>
      <c r="K11" s="2"/>
      <c r="L11" s="9"/>
      <c r="M11" s="10"/>
      <c r="N11" s="11"/>
      <c r="O11" s="12"/>
      <c r="P11" s="2"/>
      <c r="Q11" s="8"/>
      <c r="R11" s="4"/>
    </row>
    <row r="12" spans="2:18">
      <c r="B12" s="51"/>
      <c r="C12" s="2">
        <v>0</v>
      </c>
      <c r="D12" s="2">
        <f>D11</f>
        <v>-12</v>
      </c>
      <c r="E12" s="47"/>
      <c r="F12" s="47"/>
      <c r="G12" s="47"/>
      <c r="H12" s="52"/>
      <c r="I12" s="18"/>
      <c r="J12" s="2"/>
      <c r="K12" s="2"/>
      <c r="L12" s="14" t="s">
        <v>14</v>
      </c>
      <c r="M12" s="19">
        <v>2</v>
      </c>
      <c r="N12" s="6" t="s">
        <v>10</v>
      </c>
      <c r="O12" s="7" t="s">
        <v>15</v>
      </c>
      <c r="P12" s="2"/>
      <c r="Q12" s="8"/>
      <c r="R12" s="4"/>
    </row>
    <row r="13" spans="2:18">
      <c r="B13" s="51"/>
      <c r="C13" s="2">
        <f>-C9</f>
        <v>0.4</v>
      </c>
      <c r="D13" s="2">
        <f>D12</f>
        <v>-12</v>
      </c>
      <c r="E13" s="47"/>
      <c r="F13" s="47"/>
      <c r="G13" s="47"/>
      <c r="H13" s="52"/>
      <c r="I13" s="18"/>
      <c r="J13" s="2"/>
      <c r="K13" s="2"/>
      <c r="L13" s="9"/>
      <c r="M13" s="10"/>
      <c r="N13" s="11"/>
      <c r="O13" s="12"/>
      <c r="P13" s="2"/>
      <c r="Q13" s="8"/>
      <c r="R13" s="15"/>
    </row>
    <row r="14" spans="2:18">
      <c r="B14" s="51"/>
      <c r="C14" s="2">
        <f>-C10</f>
        <v>0.4</v>
      </c>
      <c r="D14" s="2">
        <f>D10</f>
        <v>-6</v>
      </c>
      <c r="E14" s="47"/>
      <c r="F14" s="47"/>
      <c r="G14" s="47"/>
      <c r="H14" s="52"/>
      <c r="I14" s="18"/>
      <c r="J14" s="2"/>
      <c r="K14" s="2"/>
      <c r="L14" s="13" t="s">
        <v>16</v>
      </c>
      <c r="M14" s="19">
        <v>5</v>
      </c>
      <c r="N14" s="6" t="s">
        <v>17</v>
      </c>
      <c r="O14" s="7" t="s">
        <v>18</v>
      </c>
      <c r="P14" s="2"/>
      <c r="Q14" s="2"/>
      <c r="R14" s="4"/>
    </row>
    <row r="15" spans="2:18">
      <c r="B15" s="51"/>
      <c r="C15" s="2">
        <f>-C11</f>
        <v>0.4</v>
      </c>
      <c r="D15" s="2">
        <v>0</v>
      </c>
      <c r="E15" s="47"/>
      <c r="F15" s="47"/>
      <c r="G15" s="47"/>
      <c r="H15" s="52"/>
      <c r="I15" s="18"/>
      <c r="J15" s="2"/>
      <c r="K15" s="2"/>
      <c r="L15" s="9"/>
      <c r="M15" s="10"/>
      <c r="N15" s="11"/>
      <c r="O15" s="12"/>
      <c r="P15" s="2"/>
      <c r="Q15" s="2"/>
      <c r="R15" s="4"/>
    </row>
    <row r="16" spans="2:18" ht="15.75">
      <c r="B16" s="51"/>
      <c r="C16" s="2">
        <f>-C12</f>
        <v>0</v>
      </c>
      <c r="D16" s="2">
        <v>0</v>
      </c>
      <c r="E16" s="47"/>
      <c r="F16" s="47"/>
      <c r="G16" s="47"/>
      <c r="H16" s="52"/>
      <c r="I16" s="18"/>
      <c r="J16" s="2"/>
      <c r="K16" s="3" t="s">
        <v>19</v>
      </c>
      <c r="L16" s="9"/>
      <c r="M16" s="10"/>
      <c r="N16" s="11"/>
      <c r="O16" s="12"/>
      <c r="P16" s="2"/>
      <c r="Q16" s="2"/>
      <c r="R16" s="15"/>
    </row>
    <row r="17" spans="2:18" ht="19.5">
      <c r="B17" s="51"/>
      <c r="C17" s="2">
        <f>D10</f>
        <v>-6</v>
      </c>
      <c r="D17" s="2">
        <v>0</v>
      </c>
      <c r="E17" s="47"/>
      <c r="F17" s="47"/>
      <c r="G17" s="47"/>
      <c r="H17" s="52"/>
      <c r="I17" s="18"/>
      <c r="J17" s="2"/>
      <c r="K17" s="2"/>
      <c r="L17" s="13" t="s">
        <v>20</v>
      </c>
      <c r="M17" s="20" t="s">
        <v>77</v>
      </c>
      <c r="N17" s="11"/>
      <c r="O17" s="7" t="s">
        <v>21</v>
      </c>
      <c r="P17" s="8"/>
      <c r="Q17" s="16"/>
      <c r="R17" s="15"/>
    </row>
    <row r="18" spans="2:18" ht="19.5">
      <c r="B18" s="51"/>
      <c r="C18" s="2">
        <f>-C17</f>
        <v>6</v>
      </c>
      <c r="D18" s="2">
        <v>0</v>
      </c>
      <c r="E18" s="47"/>
      <c r="F18" s="47"/>
      <c r="G18" s="47"/>
      <c r="H18" s="52"/>
      <c r="I18" s="18"/>
      <c r="J18" s="2"/>
      <c r="K18" s="2"/>
      <c r="L18" s="9"/>
      <c r="M18" s="10"/>
      <c r="N18" s="11"/>
      <c r="O18" s="12"/>
      <c r="P18" s="2"/>
      <c r="Q18" s="8"/>
      <c r="R18" s="17"/>
    </row>
    <row r="19" spans="2:18">
      <c r="B19" s="51"/>
      <c r="C19" s="2" t="str">
        <f>"D = "&amp;D&amp;" m"</f>
        <v>D = 0.8 m</v>
      </c>
      <c r="D19" s="2"/>
      <c r="E19" s="47"/>
      <c r="F19" s="47"/>
      <c r="G19" s="47"/>
      <c r="H19" s="52"/>
      <c r="I19" s="18"/>
      <c r="J19" s="2"/>
      <c r="K19" s="2"/>
      <c r="L19" s="13" t="str">
        <f>IF(Shape="Square","Width","Diameter")</f>
        <v>Diameter</v>
      </c>
      <c r="M19" s="21">
        <v>0.8</v>
      </c>
      <c r="N19" s="6" t="s">
        <v>17</v>
      </c>
      <c r="O19" s="7" t="str">
        <f>IF(Shape="Square","Width of pile","Diameter of pile")</f>
        <v>Diameter of pile</v>
      </c>
      <c r="P19" s="8"/>
      <c r="Q19" s="8"/>
      <c r="R19" s="4"/>
    </row>
    <row r="20" spans="2:18">
      <c r="B20" s="51"/>
      <c r="C20" s="2" t="str">
        <f>"P = "&amp;Load&amp;" kN"</f>
        <v>P = 1420 kN</v>
      </c>
      <c r="D20" s="2"/>
      <c r="E20" s="47"/>
      <c r="F20" s="47"/>
      <c r="G20" s="47"/>
      <c r="H20" s="52"/>
      <c r="I20" s="18"/>
      <c r="J20" s="2"/>
      <c r="K20" s="2"/>
      <c r="L20" s="9"/>
      <c r="M20" s="10"/>
      <c r="N20" s="11"/>
      <c r="O20" s="12"/>
      <c r="P20" s="2"/>
      <c r="Q20" s="8"/>
      <c r="R20" s="4"/>
    </row>
    <row r="21" spans="2:18">
      <c r="B21" s="51"/>
      <c r="C21" s="2" t="str">
        <f>"L = "&amp;PL&amp;" m"</f>
        <v>L = 12 m</v>
      </c>
      <c r="D21" s="2" t="str">
        <f>"w.t. = -"&amp;W_T&amp;" m"</f>
        <v>w.t. = -5 m</v>
      </c>
      <c r="E21" s="47"/>
      <c r="F21" s="47"/>
      <c r="G21" s="47"/>
      <c r="H21" s="52"/>
      <c r="I21" s="18"/>
      <c r="J21" s="2"/>
      <c r="K21" s="2"/>
      <c r="L21" s="13" t="s">
        <v>22</v>
      </c>
      <c r="M21" s="21">
        <v>12</v>
      </c>
      <c r="N21" s="6" t="s">
        <v>17</v>
      </c>
      <c r="O21" s="7" t="s">
        <v>23</v>
      </c>
      <c r="P21" s="8"/>
      <c r="Q21" s="2"/>
      <c r="R21" s="4"/>
    </row>
    <row r="22" spans="2:18">
      <c r="B22" s="51"/>
      <c r="C22" s="2">
        <f>C13*3/2</f>
        <v>0.60000000000000009</v>
      </c>
      <c r="D22" s="2">
        <f>-W_T</f>
        <v>-5</v>
      </c>
      <c r="E22" s="47"/>
      <c r="F22" s="47"/>
      <c r="G22" s="47"/>
      <c r="H22" s="52"/>
      <c r="I22" s="18"/>
      <c r="J22" s="2"/>
      <c r="K22" s="2"/>
      <c r="L22" s="9"/>
      <c r="M22" s="10"/>
      <c r="N22" s="11"/>
      <c r="O22" s="12"/>
      <c r="P22" s="2"/>
      <c r="Q22" s="2"/>
      <c r="R22" s="15"/>
    </row>
    <row r="23" spans="2:18">
      <c r="B23" s="51"/>
      <c r="C23" s="2">
        <f>(C22+C24)/2</f>
        <v>2.2999999999999998</v>
      </c>
      <c r="D23" s="2">
        <f>(D22+D24)/2</f>
        <v>-5</v>
      </c>
      <c r="E23" s="47"/>
      <c r="F23" s="47"/>
      <c r="G23" s="47"/>
      <c r="H23" s="52"/>
      <c r="I23" s="18"/>
      <c r="J23" s="2"/>
      <c r="K23" s="2"/>
      <c r="L23" s="13" t="s">
        <v>24</v>
      </c>
      <c r="M23" s="19">
        <v>1420</v>
      </c>
      <c r="N23" s="6" t="s">
        <v>25</v>
      </c>
      <c r="O23" s="7" t="s">
        <v>26</v>
      </c>
      <c r="P23" s="8"/>
      <c r="Q23" s="2"/>
      <c r="R23" s="15"/>
    </row>
    <row r="24" spans="2:18">
      <c r="B24" s="51"/>
      <c r="C24" s="2">
        <f>C18*2/3</f>
        <v>4</v>
      </c>
      <c r="D24" s="2">
        <f>D22</f>
        <v>-5</v>
      </c>
      <c r="E24" s="47"/>
      <c r="F24" s="47"/>
      <c r="G24" s="47"/>
      <c r="H24" s="52"/>
      <c r="I24" s="18"/>
      <c r="J24" s="2"/>
      <c r="K24" s="2"/>
      <c r="L24" s="9"/>
      <c r="M24" s="10"/>
      <c r="N24" s="11"/>
      <c r="O24" s="12"/>
      <c r="P24" s="2"/>
      <c r="Q24" s="2"/>
      <c r="R24" s="15"/>
    </row>
    <row r="25" spans="2:18" ht="15.75">
      <c r="B25" s="51"/>
      <c r="C25" s="47"/>
      <c r="D25" s="47"/>
      <c r="E25" s="47"/>
      <c r="F25" s="47"/>
      <c r="G25" s="47"/>
      <c r="H25" s="52"/>
      <c r="I25" s="18"/>
      <c r="J25" s="2"/>
      <c r="K25" s="3" t="s">
        <v>27</v>
      </c>
      <c r="L25" s="9"/>
      <c r="M25" s="10"/>
      <c r="N25" s="11"/>
      <c r="O25" s="12"/>
      <c r="P25" s="2"/>
      <c r="Q25" s="2"/>
      <c r="R25" s="15"/>
    </row>
    <row r="26" spans="2:18">
      <c r="B26" s="51"/>
      <c r="C26" s="47"/>
      <c r="D26" s="47"/>
      <c r="E26" s="47"/>
      <c r="F26" s="47"/>
      <c r="G26" s="47"/>
      <c r="H26" s="52"/>
      <c r="I26" s="18"/>
      <c r="J26" s="2"/>
      <c r="K26" s="2"/>
      <c r="L26" s="13" t="s">
        <v>28</v>
      </c>
      <c r="M26" s="19">
        <v>2</v>
      </c>
      <c r="N26" s="11"/>
      <c r="O26" s="12"/>
      <c r="P26" s="2"/>
      <c r="Q26" s="2"/>
      <c r="R26" s="15"/>
    </row>
    <row r="27" spans="2:18">
      <c r="B27" s="51"/>
      <c r="C27" s="47"/>
      <c r="D27" s="47" t="str">
        <f>IF(PS="⊙",PL&amp;"m long "&amp;PS&amp;" pile",IF(PS="⊡",PL&amp;"m long "&amp;PS&amp;" pile","Not a valid pile type"))</f>
        <v>12m long ⊙ pile</v>
      </c>
      <c r="E27" s="47"/>
      <c r="F27" s="47"/>
      <c r="G27" s="47"/>
      <c r="H27" s="52"/>
      <c r="I27" s="18"/>
      <c r="J27" s="2"/>
      <c r="K27" s="11"/>
      <c r="L27" s="11"/>
      <c r="M27" s="11"/>
      <c r="N27" s="11"/>
      <c r="O27" s="12"/>
      <c r="P27" s="2"/>
      <c r="Q27" s="2"/>
      <c r="R27" s="15"/>
    </row>
    <row r="28" spans="2:18">
      <c r="B28" s="51"/>
      <c r="C28" s="47"/>
      <c r="D28" s="47" t="str">
        <f>IF(PS="⊙",D&amp;"m"&amp;" diameter",IF(PS="⊡",D&amp;"m"&amp;" x "&amp;D&amp;"m","Check and re-enter pile details"))</f>
        <v>0.8m diameter</v>
      </c>
      <c r="E28" s="47"/>
      <c r="F28" s="47"/>
      <c r="G28" s="47"/>
      <c r="H28" s="52"/>
      <c r="I28" s="18"/>
      <c r="J28" s="2"/>
      <c r="K28" s="2"/>
      <c r="L28" s="13" t="s">
        <v>29</v>
      </c>
      <c r="M28" s="45">
        <v>2</v>
      </c>
      <c r="N28" s="2"/>
      <c r="O28" s="13" t="s">
        <v>30</v>
      </c>
      <c r="P28" s="46">
        <f>(M26+M28)/2</f>
        <v>2</v>
      </c>
      <c r="Q28" s="2"/>
      <c r="R28" s="15"/>
    </row>
    <row r="29" spans="2:18" ht="15.75" thickBot="1">
      <c r="B29" s="53"/>
      <c r="C29" s="54"/>
      <c r="D29" s="54" t="str">
        <f>IF(phi=0,"Undrained Analysis (Phi=0)","Drained Analysis")</f>
        <v>Undrained Analysis (Phi=0)</v>
      </c>
      <c r="E29" s="54"/>
      <c r="F29" s="54"/>
      <c r="G29" s="54"/>
      <c r="H29" s="55"/>
      <c r="I29" s="53"/>
      <c r="J29" s="54"/>
      <c r="K29" s="54"/>
      <c r="L29" s="54"/>
      <c r="M29" s="54"/>
      <c r="N29" s="54"/>
      <c r="O29" s="54"/>
      <c r="P29" s="54"/>
      <c r="Q29" s="54"/>
      <c r="R29" s="55"/>
    </row>
  </sheetData>
  <mergeCells count="4">
    <mergeCell ref="B2:H2"/>
    <mergeCell ref="B3:H3"/>
    <mergeCell ref="B4:H4"/>
    <mergeCell ref="I2:R2"/>
  </mergeCells>
  <dataValidations count="1">
    <dataValidation type="list" allowBlank="1" showInputMessage="1" showErrorMessage="1" sqref="M17">
      <formula1>"⊙,⊡"</formula1>
    </dataValidation>
  </dataValidations>
  <pageMargins left="0.7" right="0.7" top="0.75" bottom="0.75" header="0.3" footer="0.3"/>
  <pageSetup orientation="portrait" horizontalDpi="1200" verticalDpi="1200" r:id="rId1"/>
  <ignoredErrors>
    <ignoredError sqref="D10 D14 D12" evalErro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K29"/>
  <sheetViews>
    <sheetView workbookViewId="0"/>
  </sheetViews>
  <sheetFormatPr defaultRowHeight="15"/>
  <cols>
    <col min="1" max="6" width="9.140625" style="1"/>
    <col min="7" max="7" width="12.5703125" style="1" customWidth="1"/>
    <col min="8" max="16384" width="9.140625" style="1"/>
  </cols>
  <sheetData>
    <row r="1" spans="2:11" ht="3" customHeight="1" thickBot="1"/>
    <row r="2" spans="2:11" ht="24" thickBot="1">
      <c r="B2" s="91" t="s">
        <v>32</v>
      </c>
      <c r="C2" s="92"/>
      <c r="D2" s="92"/>
      <c r="E2" s="92"/>
      <c r="F2" s="92"/>
      <c r="G2" s="92"/>
      <c r="H2" s="92"/>
      <c r="I2" s="92"/>
      <c r="J2" s="92"/>
      <c r="K2" s="93"/>
    </row>
    <row r="3" spans="2:11">
      <c r="B3" s="78"/>
      <c r="C3" s="79"/>
      <c r="D3" s="79"/>
      <c r="E3" s="79"/>
      <c r="F3" s="79"/>
      <c r="G3" s="79"/>
      <c r="H3" s="79"/>
      <c r="I3" s="80"/>
      <c r="J3" s="79"/>
      <c r="K3" s="81"/>
    </row>
    <row r="4" spans="2:11">
      <c r="B4" s="22"/>
      <c r="C4" s="23"/>
      <c r="D4" s="23"/>
      <c r="E4" s="26" t="s">
        <v>33</v>
      </c>
      <c r="F4" s="27"/>
      <c r="G4" s="28"/>
      <c r="H4" s="23"/>
      <c r="I4" s="23"/>
      <c r="J4" s="29"/>
      <c r="K4" s="30"/>
    </row>
    <row r="5" spans="2:11">
      <c r="B5" s="22"/>
      <c r="C5" s="23"/>
      <c r="D5" s="23"/>
      <c r="E5" s="23"/>
      <c r="F5" s="31" t="s">
        <v>34</v>
      </c>
      <c r="G5" s="32">
        <f>EXP((-0.002*DbB^2+0.177*DbB+4.8)*TAN(phi*PI()/180)+(0.001*DbB^2-0.1*DbB+0.15))</f>
        <v>0.32465246735834974</v>
      </c>
      <c r="H5" s="33"/>
      <c r="I5" s="23" t="s">
        <v>76</v>
      </c>
      <c r="J5" s="28"/>
      <c r="K5" s="25"/>
    </row>
    <row r="6" spans="2:11">
      <c r="B6" s="22"/>
      <c r="C6" s="23"/>
      <c r="D6" s="23"/>
      <c r="E6" s="23"/>
      <c r="F6" s="31" t="s">
        <v>35</v>
      </c>
      <c r="G6" s="32">
        <f>IF(phi&lt;25,9,(IF(cohesion=0,0,(Nq-1)/TAN(phi*PI()/180))))</f>
        <v>9</v>
      </c>
      <c r="H6" s="33"/>
      <c r="I6" s="23"/>
      <c r="J6" s="28"/>
      <c r="K6" s="34"/>
    </row>
    <row r="7" spans="2:11">
      <c r="B7" s="22"/>
      <c r="C7" s="23"/>
      <c r="D7" s="23"/>
      <c r="E7" s="23"/>
      <c r="F7" s="35" t="s">
        <v>36</v>
      </c>
      <c r="G7" s="32">
        <f>PL/D</f>
        <v>15</v>
      </c>
      <c r="H7" s="33"/>
      <c r="I7" s="23"/>
      <c r="J7" s="28"/>
      <c r="K7" s="34"/>
    </row>
    <row r="8" spans="2:11">
      <c r="B8" s="22"/>
      <c r="C8" s="23"/>
      <c r="D8" s="23"/>
      <c r="E8" s="23"/>
      <c r="F8" s="23"/>
      <c r="G8" s="36"/>
      <c r="H8" s="33"/>
      <c r="I8" s="24"/>
      <c r="J8" s="23"/>
      <c r="K8" s="25"/>
    </row>
    <row r="9" spans="2:11">
      <c r="B9" s="22"/>
      <c r="C9" s="23"/>
      <c r="D9" s="23"/>
      <c r="E9" s="26" t="s">
        <v>37</v>
      </c>
      <c r="F9" s="28"/>
      <c r="G9" s="37"/>
      <c r="H9" s="33"/>
      <c r="I9" s="28"/>
      <c r="J9" s="28"/>
      <c r="K9" s="34"/>
    </row>
    <row r="10" spans="2:11">
      <c r="B10" s="22"/>
      <c r="C10" s="23"/>
      <c r="D10" s="23"/>
      <c r="E10" s="23"/>
      <c r="F10" s="35" t="s">
        <v>38</v>
      </c>
      <c r="G10" s="32">
        <f>IF(W_T&gt;PL,gama*PL,gama*PL-9.81*(PL-W_T))</f>
        <v>171.32999999999998</v>
      </c>
      <c r="H10" s="33" t="s">
        <v>39</v>
      </c>
      <c r="I10" s="28"/>
      <c r="J10" s="23"/>
      <c r="K10" s="25"/>
    </row>
    <row r="11" spans="2:11">
      <c r="B11" s="22"/>
      <c r="C11" s="23"/>
      <c r="D11" s="23"/>
      <c r="E11" s="23"/>
      <c r="F11" s="35" t="s">
        <v>40</v>
      </c>
      <c r="G11" s="32">
        <f>IF(W_T&gt;PL,gama*PL/2,(2*gama*PL*W_T-gama*W_T*W_T+(gama-9.81)*(PL-W_T)*(PL-W_T))/(2*PL))</f>
        <v>99.971249999999998</v>
      </c>
      <c r="H11" s="33" t="s">
        <v>41</v>
      </c>
      <c r="I11" s="28"/>
      <c r="J11" s="23"/>
      <c r="K11" s="25"/>
    </row>
    <row r="12" spans="2:11">
      <c r="B12" s="22"/>
      <c r="C12" s="23"/>
      <c r="D12" s="23"/>
      <c r="E12" s="35"/>
      <c r="F12" s="38"/>
      <c r="G12" s="37"/>
      <c r="H12" s="33"/>
      <c r="I12" s="28"/>
      <c r="J12" s="23"/>
      <c r="K12" s="25"/>
    </row>
    <row r="13" spans="2:11">
      <c r="B13" s="22"/>
      <c r="C13" s="23"/>
      <c r="D13" s="23"/>
      <c r="E13" s="26" t="s">
        <v>42</v>
      </c>
      <c r="F13" s="28"/>
      <c r="G13" s="36"/>
      <c r="H13" s="33"/>
      <c r="I13" s="28"/>
      <c r="J13" s="28"/>
      <c r="K13" s="34"/>
    </row>
    <row r="14" spans="2:11">
      <c r="B14" s="22"/>
      <c r="C14" s="23"/>
      <c r="D14" s="23"/>
      <c r="E14" s="23"/>
      <c r="F14" s="28" t="s">
        <v>43</v>
      </c>
      <c r="G14" s="37"/>
      <c r="H14" s="33"/>
      <c r="I14" s="28"/>
      <c r="J14" s="28"/>
      <c r="K14" s="25"/>
    </row>
    <row r="15" spans="2:11">
      <c r="B15" s="22"/>
      <c r="C15" s="23"/>
      <c r="D15" s="23"/>
      <c r="E15" s="23"/>
      <c r="F15" s="28" t="s">
        <v>44</v>
      </c>
      <c r="G15" s="37"/>
      <c r="H15" s="33"/>
      <c r="I15" s="28"/>
      <c r="J15" s="28"/>
      <c r="K15" s="25"/>
    </row>
    <row r="16" spans="2:11">
      <c r="B16" s="22"/>
      <c r="C16" s="23"/>
      <c r="D16" s="23"/>
      <c r="E16" s="23"/>
      <c r="F16" s="23"/>
      <c r="G16" s="36"/>
      <c r="H16" s="23"/>
      <c r="I16" s="24"/>
      <c r="J16" s="23"/>
      <c r="K16" s="34"/>
    </row>
    <row r="17" spans="2:11">
      <c r="B17" s="22"/>
      <c r="C17" s="23"/>
      <c r="D17" s="23"/>
      <c r="E17" s="28"/>
      <c r="F17" s="35" t="s">
        <v>45</v>
      </c>
      <c r="G17" s="32">
        <f>IF(PS="⊡",D*D, PI()*D*D/4)</f>
        <v>0.50265482457436694</v>
      </c>
      <c r="H17" s="33" t="s">
        <v>46</v>
      </c>
      <c r="I17" s="24"/>
      <c r="J17" s="28"/>
      <c r="K17" s="34"/>
    </row>
    <row r="18" spans="2:11">
      <c r="B18" s="22"/>
      <c r="C18" s="23"/>
      <c r="D18" s="23"/>
      <c r="E18" s="23"/>
      <c r="F18" s="35" t="s">
        <v>47</v>
      </c>
      <c r="G18" s="32">
        <f>IF(phi=0,cohesion*Nc,cohesion*Nc+sgB*Nq)</f>
        <v>1350</v>
      </c>
      <c r="H18" s="33" t="s">
        <v>7</v>
      </c>
      <c r="I18" s="24"/>
      <c r="J18" s="28"/>
      <c r="K18" s="34"/>
    </row>
    <row r="19" spans="2:11">
      <c r="B19" s="22"/>
      <c r="C19" s="23"/>
      <c r="D19" s="23"/>
      <c r="E19" s="39" t="s">
        <v>48</v>
      </c>
      <c r="F19" s="35" t="s">
        <v>49</v>
      </c>
      <c r="G19" s="32">
        <f>qu_b*Ab</f>
        <v>678.5840131753954</v>
      </c>
      <c r="H19" s="33" t="s">
        <v>25</v>
      </c>
      <c r="I19" s="33" t="s">
        <v>50</v>
      </c>
      <c r="J19" s="23"/>
      <c r="K19" s="34"/>
    </row>
    <row r="20" spans="2:11">
      <c r="B20" s="22"/>
      <c r="C20" s="23"/>
      <c r="D20" s="23"/>
      <c r="E20" s="23"/>
      <c r="F20" s="23"/>
      <c r="G20" s="36"/>
      <c r="H20" s="33"/>
      <c r="I20" s="24"/>
      <c r="J20" s="23"/>
      <c r="K20" s="25"/>
    </row>
    <row r="21" spans="2:11">
      <c r="B21" s="22"/>
      <c r="C21" s="23"/>
      <c r="D21" s="23"/>
      <c r="E21" s="23"/>
      <c r="F21" s="23"/>
      <c r="G21" s="36"/>
      <c r="H21" s="33"/>
      <c r="I21" s="24"/>
      <c r="J21" s="23"/>
      <c r="K21" s="34"/>
    </row>
    <row r="22" spans="2:11">
      <c r="B22" s="22"/>
      <c r="C22" s="23"/>
      <c r="D22" s="23"/>
      <c r="E22" s="26" t="s">
        <v>51</v>
      </c>
      <c r="F22" s="38"/>
      <c r="G22" s="37"/>
      <c r="H22" s="33"/>
      <c r="I22" s="24"/>
      <c r="J22" s="28"/>
      <c r="K22" s="34"/>
    </row>
    <row r="23" spans="2:11">
      <c r="B23" s="22"/>
      <c r="C23" s="23"/>
      <c r="D23" s="23"/>
      <c r="E23" s="23"/>
      <c r="F23" s="27" t="s">
        <v>52</v>
      </c>
      <c r="G23" s="40"/>
      <c r="H23" s="33"/>
      <c r="I23" s="24"/>
      <c r="J23" s="28"/>
      <c r="K23" s="34"/>
    </row>
    <row r="24" spans="2:11">
      <c r="B24" s="22"/>
      <c r="C24" s="23"/>
      <c r="D24" s="23"/>
      <c r="E24" s="23"/>
      <c r="F24" s="28" t="s">
        <v>53</v>
      </c>
      <c r="G24" s="37"/>
      <c r="H24" s="33"/>
      <c r="I24" s="24"/>
      <c r="J24" s="28"/>
      <c r="K24" s="25"/>
    </row>
    <row r="25" spans="2:11">
      <c r="B25" s="22"/>
      <c r="C25" s="23"/>
      <c r="D25" s="23"/>
      <c r="E25" s="23"/>
      <c r="F25" s="23"/>
      <c r="G25" s="36"/>
      <c r="H25" s="33"/>
      <c r="I25" s="24"/>
      <c r="J25" s="28"/>
      <c r="K25" s="25"/>
    </row>
    <row r="26" spans="2:11">
      <c r="B26" s="22"/>
      <c r="C26" s="23"/>
      <c r="D26" s="23"/>
      <c r="E26" s="23"/>
      <c r="F26" s="35" t="s">
        <v>54</v>
      </c>
      <c r="G26" s="32">
        <f>IF(PS="⊡",4*D*PL,PI()*D*PL)</f>
        <v>30.159289474462014</v>
      </c>
      <c r="H26" s="33" t="s">
        <v>46</v>
      </c>
      <c r="I26" s="24"/>
      <c r="J26" s="23"/>
      <c r="K26" s="25"/>
    </row>
    <row r="27" spans="2:11">
      <c r="B27" s="22"/>
      <c r="C27" s="23"/>
      <c r="D27" s="23"/>
      <c r="E27" s="23"/>
      <c r="F27" s="35" t="s">
        <v>55</v>
      </c>
      <c r="G27" s="32">
        <f>IF(phi=0,alpha*cohesion,cohesion+Ks*sgS*TAN(delta*PI()/180))</f>
        <v>75</v>
      </c>
      <c r="H27" s="33" t="s">
        <v>7</v>
      </c>
      <c r="I27" s="24"/>
      <c r="J27" s="23"/>
      <c r="K27" s="25"/>
    </row>
    <row r="28" spans="2:11">
      <c r="B28" s="22"/>
      <c r="C28" s="23"/>
      <c r="D28" s="23"/>
      <c r="E28" s="39" t="s">
        <v>56</v>
      </c>
      <c r="F28" s="35" t="s">
        <v>57</v>
      </c>
      <c r="G28" s="32">
        <f>fs*As</f>
        <v>2261.9467105846511</v>
      </c>
      <c r="H28" s="33" t="s">
        <v>25</v>
      </c>
      <c r="I28" s="33" t="s">
        <v>58</v>
      </c>
      <c r="J28" s="23"/>
      <c r="K28" s="25"/>
    </row>
    <row r="29" spans="2:11" ht="15.75" thickBot="1">
      <c r="B29" s="41"/>
      <c r="C29" s="42"/>
      <c r="D29" s="42"/>
      <c r="E29" s="42"/>
      <c r="F29" s="42"/>
      <c r="G29" s="42"/>
      <c r="H29" s="42"/>
      <c r="I29" s="43"/>
      <c r="J29" s="42"/>
      <c r="K29" s="44"/>
    </row>
  </sheetData>
  <mergeCells count="1">
    <mergeCell ref="B2:K2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K28"/>
  <sheetViews>
    <sheetView workbookViewId="0"/>
  </sheetViews>
  <sheetFormatPr defaultRowHeight="15"/>
  <cols>
    <col min="1" max="1" width="1.85546875" style="1" customWidth="1"/>
    <col min="2" max="16384" width="9.140625" style="1"/>
  </cols>
  <sheetData>
    <row r="1" spans="2:11" ht="8.25" customHeight="1" thickBot="1"/>
    <row r="2" spans="2:11" ht="24" thickBot="1">
      <c r="B2" s="94" t="s">
        <v>59</v>
      </c>
      <c r="C2" s="95"/>
      <c r="D2" s="95"/>
      <c r="E2" s="95"/>
      <c r="F2" s="95"/>
      <c r="G2" s="95"/>
      <c r="H2" s="95"/>
      <c r="I2" s="95"/>
      <c r="J2" s="95"/>
      <c r="K2" s="96"/>
    </row>
    <row r="3" spans="2:11">
      <c r="B3" s="61"/>
      <c r="C3" s="28"/>
      <c r="D3" s="62"/>
      <c r="E3" s="62"/>
      <c r="F3" s="62"/>
      <c r="G3" s="62"/>
      <c r="H3" s="62"/>
      <c r="I3" s="62"/>
      <c r="J3" s="62"/>
      <c r="K3" s="25"/>
    </row>
    <row r="4" spans="2:11">
      <c r="B4" s="61"/>
      <c r="C4" s="28"/>
      <c r="D4" s="23"/>
      <c r="E4" s="63" t="s">
        <v>60</v>
      </c>
      <c r="F4" s="64"/>
      <c r="G4" s="23"/>
      <c r="H4" s="28"/>
      <c r="I4" s="23"/>
      <c r="J4" s="23"/>
      <c r="K4" s="25"/>
    </row>
    <row r="5" spans="2:11">
      <c r="B5" s="61"/>
      <c r="C5" s="28"/>
      <c r="D5" s="23"/>
      <c r="E5" s="65" t="s">
        <v>61</v>
      </c>
      <c r="F5" s="66">
        <f>Load</f>
        <v>1420</v>
      </c>
      <c r="G5" s="33" t="s">
        <v>25</v>
      </c>
      <c r="H5" s="28"/>
      <c r="I5" s="23"/>
      <c r="J5" s="23"/>
      <c r="K5" s="25"/>
    </row>
    <row r="6" spans="2:11">
      <c r="B6" s="61"/>
      <c r="C6" s="28"/>
      <c r="D6" s="23"/>
      <c r="E6" s="67" t="s">
        <v>62</v>
      </c>
      <c r="F6" s="23"/>
      <c r="G6" s="23"/>
      <c r="H6" s="23"/>
      <c r="I6" s="23"/>
      <c r="J6" s="23"/>
      <c r="K6" s="25"/>
    </row>
    <row r="7" spans="2:11">
      <c r="B7" s="61"/>
      <c r="C7" s="28"/>
      <c r="D7" s="23"/>
      <c r="E7" s="65" t="s">
        <v>63</v>
      </c>
      <c r="F7" s="66">
        <f>1-SIN(RADIANS(phi))</f>
        <v>1</v>
      </c>
      <c r="G7" s="23"/>
      <c r="H7" s="68" t="s">
        <v>64</v>
      </c>
      <c r="I7" s="23"/>
      <c r="J7" s="23"/>
      <c r="K7" s="25"/>
    </row>
    <row r="8" spans="2:11">
      <c r="B8" s="61"/>
      <c r="C8" s="23"/>
      <c r="D8" s="23"/>
      <c r="E8" s="23"/>
      <c r="F8" s="23"/>
      <c r="G8" s="23"/>
      <c r="H8" s="23"/>
      <c r="I8" s="23"/>
      <c r="J8" s="23"/>
      <c r="K8" s="25"/>
    </row>
    <row r="9" spans="2:11">
      <c r="B9" s="61"/>
      <c r="C9" s="28"/>
      <c r="D9" s="28"/>
      <c r="E9" s="63" t="s">
        <v>50</v>
      </c>
      <c r="F9" s="64"/>
      <c r="G9" s="23"/>
      <c r="H9" s="23"/>
      <c r="I9" s="23"/>
      <c r="J9" s="23"/>
      <c r="K9" s="25"/>
    </row>
    <row r="10" spans="2:11">
      <c r="B10" s="22"/>
      <c r="C10" s="28"/>
      <c r="D10" s="28"/>
      <c r="E10" s="65" t="s">
        <v>65</v>
      </c>
      <c r="F10" s="66">
        <f>Qb</f>
        <v>678.5840131753954</v>
      </c>
      <c r="G10" s="33" t="s">
        <v>25</v>
      </c>
      <c r="H10" s="23"/>
      <c r="I10" s="23"/>
      <c r="J10" s="23"/>
      <c r="K10" s="25"/>
    </row>
    <row r="11" spans="2:11">
      <c r="B11" s="61"/>
      <c r="C11" s="23"/>
      <c r="D11" s="23"/>
      <c r="E11" s="23"/>
      <c r="F11" s="23"/>
      <c r="G11" s="23"/>
      <c r="H11" s="23"/>
      <c r="I11" s="28"/>
      <c r="J11" s="23"/>
      <c r="K11" s="25"/>
    </row>
    <row r="12" spans="2:11">
      <c r="B12" s="61"/>
      <c r="C12" s="28"/>
      <c r="D12" s="23"/>
      <c r="E12" s="63" t="s">
        <v>58</v>
      </c>
      <c r="F12" s="37"/>
      <c r="G12" s="28"/>
      <c r="H12" s="28"/>
      <c r="I12" s="28"/>
      <c r="J12" s="23"/>
      <c r="K12" s="25"/>
    </row>
    <row r="13" spans="2:11">
      <c r="B13" s="22"/>
      <c r="C13" s="28"/>
      <c r="D13" s="23"/>
      <c r="E13" s="65" t="s">
        <v>66</v>
      </c>
      <c r="F13" s="66">
        <f>Qs</f>
        <v>2261.9467105846511</v>
      </c>
      <c r="G13" s="33" t="s">
        <v>25</v>
      </c>
      <c r="H13" s="23"/>
      <c r="I13" s="23"/>
      <c r="J13" s="23"/>
      <c r="K13" s="25"/>
    </row>
    <row r="14" spans="2:11">
      <c r="B14" s="61"/>
      <c r="C14" s="23"/>
      <c r="D14" s="23"/>
      <c r="E14" s="28"/>
      <c r="F14" s="28"/>
      <c r="G14" s="28"/>
      <c r="H14" s="28"/>
      <c r="I14" s="28"/>
      <c r="J14" s="23"/>
      <c r="K14" s="25"/>
    </row>
    <row r="15" spans="2:11">
      <c r="B15" s="61"/>
      <c r="C15" s="28"/>
      <c r="D15" s="23"/>
      <c r="E15" s="63" t="s">
        <v>67</v>
      </c>
      <c r="F15" s="37"/>
      <c r="G15" s="33"/>
      <c r="H15" s="28"/>
      <c r="I15" s="28"/>
      <c r="J15" s="23"/>
      <c r="K15" s="25"/>
    </row>
    <row r="16" spans="2:11">
      <c r="B16" s="22"/>
      <c r="C16" s="28"/>
      <c r="D16" s="23"/>
      <c r="E16" s="67" t="s">
        <v>68</v>
      </c>
      <c r="F16" s="23"/>
      <c r="G16" s="23"/>
      <c r="H16" s="23"/>
      <c r="I16" s="23"/>
      <c r="J16" s="23"/>
      <c r="K16" s="25"/>
    </row>
    <row r="17" spans="2:11">
      <c r="B17" s="22"/>
      <c r="C17" s="23"/>
      <c r="D17" s="23"/>
      <c r="E17" s="65" t="s">
        <v>69</v>
      </c>
      <c r="F17" s="66">
        <f>Qb+Qs</f>
        <v>2940.5307237600464</v>
      </c>
      <c r="G17" s="33" t="s">
        <v>25</v>
      </c>
      <c r="H17" s="23"/>
      <c r="I17" s="23"/>
      <c r="J17" s="69"/>
      <c r="K17" s="25"/>
    </row>
    <row r="18" spans="2:11" ht="19.5">
      <c r="B18" s="70"/>
      <c r="C18" s="23"/>
      <c r="D18" s="23"/>
      <c r="E18" s="23"/>
      <c r="F18" s="23"/>
      <c r="G18" s="23"/>
      <c r="H18" s="23"/>
      <c r="I18" s="23"/>
      <c r="J18" s="23"/>
      <c r="K18" s="25"/>
    </row>
    <row r="19" spans="2:11" ht="19.5">
      <c r="B19" s="61"/>
      <c r="C19" s="71"/>
      <c r="D19" s="23"/>
      <c r="E19" s="63" t="s">
        <v>70</v>
      </c>
      <c r="F19" s="36"/>
      <c r="G19" s="33"/>
      <c r="H19" s="23"/>
      <c r="I19" s="23"/>
      <c r="J19" s="23"/>
      <c r="K19" s="25"/>
    </row>
    <row r="20" spans="2:11">
      <c r="B20" s="61"/>
      <c r="C20" s="28"/>
      <c r="D20" s="23"/>
      <c r="E20" s="72" t="s">
        <v>74</v>
      </c>
      <c r="F20" s="23"/>
      <c r="G20" s="23"/>
      <c r="H20" s="23"/>
      <c r="I20" s="23"/>
      <c r="J20" s="23"/>
      <c r="K20" s="25"/>
    </row>
    <row r="21" spans="2:11">
      <c r="B21" s="61"/>
      <c r="C21" s="28"/>
      <c r="D21" s="23"/>
      <c r="E21" s="65" t="s">
        <v>71</v>
      </c>
      <c r="F21" s="66">
        <f>(Qb/base)+(Qs/shaft)</f>
        <v>1470.2653618800232</v>
      </c>
      <c r="G21" s="33" t="s">
        <v>25</v>
      </c>
      <c r="H21" s="23"/>
      <c r="I21" s="23"/>
      <c r="J21" s="23"/>
      <c r="K21" s="25"/>
    </row>
    <row r="22" spans="2:11">
      <c r="B22" s="22"/>
      <c r="C22" s="28"/>
      <c r="D22" s="23"/>
      <c r="E22" s="73"/>
      <c r="F22" s="37"/>
      <c r="G22" s="33"/>
      <c r="H22" s="28"/>
      <c r="I22" s="28"/>
      <c r="J22" s="23"/>
      <c r="K22" s="25"/>
    </row>
    <row r="23" spans="2:11">
      <c r="B23" s="22"/>
      <c r="C23" s="23"/>
      <c r="D23" s="62"/>
      <c r="E23" s="63" t="s">
        <v>72</v>
      </c>
      <c r="F23" s="37"/>
      <c r="G23" s="33"/>
      <c r="H23" s="28"/>
      <c r="I23" s="28"/>
      <c r="J23" s="23"/>
      <c r="K23" s="25"/>
    </row>
    <row r="24" spans="2:11">
      <c r="B24" s="22"/>
      <c r="C24" s="23"/>
      <c r="D24" s="74"/>
      <c r="E24" s="65" t="s">
        <v>73</v>
      </c>
      <c r="F24" s="32">
        <f>Qu/Load</f>
        <v>2.0707962843380607</v>
      </c>
      <c r="G24" s="33"/>
      <c r="H24" s="28"/>
      <c r="I24" s="28"/>
      <c r="J24" s="23"/>
      <c r="K24" s="25"/>
    </row>
    <row r="25" spans="2:11">
      <c r="B25" s="22"/>
      <c r="C25" s="23"/>
      <c r="D25" s="62"/>
      <c r="E25" s="24"/>
      <c r="F25" s="36"/>
      <c r="G25" s="33"/>
      <c r="H25" s="28"/>
      <c r="I25" s="28"/>
      <c r="J25" s="23"/>
      <c r="K25" s="25"/>
    </row>
    <row r="26" spans="2:11">
      <c r="B26" s="22"/>
      <c r="C26" s="23"/>
      <c r="D26" s="62"/>
      <c r="E26" s="28"/>
      <c r="F26" s="75" t="str">
        <f>IF(Load&gt;Qa,"Applied Load &gt; Qa….FAIL!",IF(OFS&lt;SF,"Warning - Low Overall factor of safety","OK"))</f>
        <v>OK</v>
      </c>
      <c r="G26" s="76" t="str">
        <f>IF(Load&lt;=Qa,"Actual Load &lt;= Allowable Load","Actual Load &gt; Allowable Load")</f>
        <v>Actual Load &lt;= Allowable Load</v>
      </c>
      <c r="H26" s="28"/>
      <c r="I26" s="28"/>
      <c r="J26" s="23"/>
      <c r="K26" s="25"/>
    </row>
    <row r="27" spans="2:11">
      <c r="B27" s="22"/>
      <c r="C27" s="23"/>
      <c r="D27" s="62"/>
      <c r="E27" s="62"/>
      <c r="F27" s="62"/>
      <c r="G27" s="62"/>
      <c r="H27" s="62"/>
      <c r="I27" s="62"/>
      <c r="J27" s="23"/>
      <c r="K27" s="25"/>
    </row>
    <row r="28" spans="2:11" ht="15.75" thickBot="1">
      <c r="B28" s="41"/>
      <c r="C28" s="42"/>
      <c r="D28" s="77"/>
      <c r="E28" s="42"/>
      <c r="F28" s="42"/>
      <c r="G28" s="42"/>
      <c r="H28" s="42"/>
      <c r="I28" s="42"/>
      <c r="J28" s="42"/>
      <c r="K28" s="44"/>
    </row>
  </sheetData>
  <mergeCells count="1">
    <mergeCell ref="B2:K2"/>
  </mergeCells>
  <conditionalFormatting sqref="F26:G26">
    <cfRule type="expression" dxfId="0" priority="1">
      <formula>IF(P&lt;=Qa,1,0)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38</vt:i4>
      </vt:variant>
    </vt:vector>
  </HeadingPairs>
  <TitlesOfParts>
    <vt:vector size="41" baseType="lpstr">
      <vt:lpstr>INPUT DATA</vt:lpstr>
      <vt:lpstr>CAPACITY</vt:lpstr>
      <vt:lpstr>RESULTS</vt:lpstr>
      <vt:lpstr>Ab</vt:lpstr>
      <vt:lpstr>alpha</vt:lpstr>
      <vt:lpstr>As</vt:lpstr>
      <vt:lpstr>asd</vt:lpstr>
      <vt:lpstr>base</vt:lpstr>
      <vt:lpstr>cohesion</vt:lpstr>
      <vt:lpstr>D</vt:lpstr>
      <vt:lpstr>DbB</vt:lpstr>
      <vt:lpstr>delta</vt:lpstr>
      <vt:lpstr>fs</vt:lpstr>
      <vt:lpstr>gama</vt:lpstr>
      <vt:lpstr>Ks</vt:lpstr>
      <vt:lpstr>L</vt:lpstr>
      <vt:lpstr>Load</vt:lpstr>
      <vt:lpstr>Nc</vt:lpstr>
      <vt:lpstr>Nq</vt:lpstr>
      <vt:lpstr>OFS</vt:lpstr>
      <vt:lpstr>P</vt:lpstr>
      <vt:lpstr>phi</vt:lpstr>
      <vt:lpstr>PL</vt:lpstr>
      <vt:lpstr>PS</vt:lpstr>
      <vt:lpstr>q</vt:lpstr>
      <vt:lpstr>Qa</vt:lpstr>
      <vt:lpstr>Qb</vt:lpstr>
      <vt:lpstr>Qs</vt:lpstr>
      <vt:lpstr>Qu</vt:lpstr>
      <vt:lpstr>qu_b</vt:lpstr>
      <vt:lpstr>SF</vt:lpstr>
      <vt:lpstr>SFbase</vt:lpstr>
      <vt:lpstr>sfort</vt:lpstr>
      <vt:lpstr>SFsaft</vt:lpstr>
      <vt:lpstr>sgB</vt:lpstr>
      <vt:lpstr>sgS</vt:lpstr>
      <vt:lpstr>shaft</vt:lpstr>
      <vt:lpstr>Shape</vt:lpstr>
      <vt:lpstr>W_T</vt:lpstr>
      <vt:lpstr>Width</vt:lpstr>
      <vt:lpstr>WT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2021-05-29T02:36:14Z</dcterms:modified>
</cp:coreProperties>
</file>